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omments2.xml" ContentType="application/vnd.openxmlformats-officedocument.spreadsheetml.comments+xml"/>
  <Override PartName="/xl/drawings/drawing11.xml" ContentType="application/vnd.openxmlformats-officedocument.drawing+xml"/>
  <Override PartName="/xl/comments3.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PP5317\Téléchargement\"/>
    </mc:Choice>
  </mc:AlternateContent>
  <xr:revisionPtr revIDLastSave="0" documentId="8_{C4CC7CAE-CC28-457A-8089-BC98691FFE6B}" xr6:coauthVersionLast="47" xr6:coauthVersionMax="47" xr10:uidLastSave="{00000000-0000-0000-0000-000000000000}"/>
  <bookViews>
    <workbookView xWindow="-120" yWindow="-120" windowWidth="29040" windowHeight="17520" firstSheet="31" activeTab="47" xr2:uid="{038CE942-30B3-4650-9877-E96A31AA2667}"/>
  </bookViews>
  <sheets>
    <sheet name="Sources" sheetId="60" r:id="rId1"/>
    <sheet name="OLD -SOURCES" sheetId="23" state="hidden" r:id="rId2"/>
    <sheet name="Introduction" sheetId="25" r:id="rId3"/>
    <sheet name="SOMMAIRE" sheetId="74" r:id="rId4"/>
    <sheet name="Chiffres clés Pilier 3" sheetId="47" r:id="rId5"/>
    <sheet name="1. DONNEES CONVENTIONNELLES" sheetId="15" r:id="rId6"/>
    <sheet name="A. Consommation" sheetId="65" r:id="rId7"/>
    <sheet name="0. Zones climatiques" sheetId="58" r:id="rId8"/>
    <sheet name="A.1. Conso_bâtiment_EF H2" sheetId="14" r:id="rId9"/>
    <sheet name="Conso_bâtiment_EP" sheetId="54" state="hidden" r:id="rId10"/>
    <sheet name="Clients 360 (2)" sheetId="53" state="hidden" r:id="rId11"/>
    <sheet name="A.1. Conso_bâtiment_EF H1" sheetId="76" r:id="rId12"/>
    <sheet name="A.1. Conso_bâtiment_EF H3" sheetId="77" r:id="rId13"/>
    <sheet name="A.2. Performances_Bâtiment H2" sheetId="17" r:id="rId14"/>
    <sheet name="1.2 bis Perf relatives PCS" sheetId="72" state="hidden" r:id="rId15"/>
    <sheet name="A.2. Performances_Bâtiment H1" sheetId="80" r:id="rId16"/>
    <sheet name="A.2. Performances_Bâtiment H3" sheetId="81" r:id="rId17"/>
    <sheet name="A.3. Conso_chaudière_indus" sheetId="31" r:id="rId18"/>
    <sheet name="A.4 Performances_Industrie" sheetId="48" r:id="rId19"/>
    <sheet name="Tableau techno EE et decarb" sheetId="46" r:id="rId20"/>
    <sheet name="A.5 Km_Conso_Mobilité" sheetId="71" r:id="rId21"/>
    <sheet name="Annexe - DPE" sheetId="50" r:id="rId22"/>
    <sheet name="B. Rénovation (en cours)" sheetId="66" state="hidden" r:id="rId23"/>
    <sheet name="B.1 Rénovation(chauffage+bâti)" sheetId="36" state="hidden" r:id="rId24"/>
    <sheet name="Coûts d'investissement" sheetId="59" state="hidden" r:id="rId25"/>
    <sheet name="Données outil décarbo" sheetId="35" state="hidden" r:id="rId26"/>
    <sheet name="C. Coûts financiers" sheetId="67" r:id="rId27"/>
    <sheet name="C.1 Facteurs éco - coûts" sheetId="24" r:id="rId28"/>
    <sheet name="C.2 Facteurs éco - aides" sheetId="49" state="hidden" r:id="rId29"/>
    <sheet name="D. Poids carbone" sheetId="68" r:id="rId30"/>
    <sheet name="D.1. Facteur d'émissions" sheetId="9" r:id="rId31"/>
    <sheet name="D.2. Equivalents ADEME" sheetId="56" r:id="rId32"/>
    <sheet name="2. DONNEES PROSPECTIVES" sheetId="69" r:id="rId33"/>
    <sheet name="Evolutions du marché gaz" sheetId="38" r:id="rId34"/>
    <sheet name="1.5.1 Evol du marché élec" sheetId="40" state="hidden" r:id="rId35"/>
    <sheet name="Ouvrir pour détail par régions&gt;" sheetId="29" state="hidden" r:id="rId36"/>
    <sheet name="Equipements de chauffage" sheetId="28" state="hidden" r:id="rId37"/>
    <sheet name="Solutions techniques TI" sheetId="12" state="hidden" r:id="rId38"/>
    <sheet name="Solutions techniques Res" sheetId="13" state="hidden" r:id="rId39"/>
    <sheet name="Hypothèses Présage" sheetId="37" state="hidden" r:id="rId40"/>
    <sheet name="Arbre de décision" sheetId="45" state="hidden" r:id="rId41"/>
    <sheet name="Maison" sheetId="41" state="hidden" r:id="rId42"/>
    <sheet name="Appartement individuel" sheetId="42" state="hidden" r:id="rId43"/>
    <sheet name="Appartement collectif" sheetId="43" state="hidden" r:id="rId44"/>
    <sheet name="Bâtiment tertiaire" sheetId="44" state="hidden" r:id="rId45"/>
    <sheet name="Cas moyens" sheetId="19" state="hidden" r:id="rId46"/>
    <sheet name="3. SCENARIOS" sheetId="16" r:id="rId47"/>
    <sheet name="3.1 Affaires CO2 - Clients 360" sheetId="52" r:id="rId48"/>
    <sheet name="3.2 Outil carbone" sheetId="64" r:id="rId49"/>
    <sheet name="Correspondance département" sheetId="75" r:id="rId50"/>
    <sheet name="Gains CO2 B2C par zone" sheetId="79" r:id="rId51"/>
    <sheet name="Feuil1" sheetId="73" state="hidden" r:id="rId52"/>
    <sheet name="OLD Outil - Argumentaire € CO2" sheetId="61" state="hidden" r:id="rId53"/>
    <sheet name="Argumentaires CO2-€" sheetId="55" state="hidden" r:id="rId54"/>
    <sheet name="TEST" sheetId="20" state="hidden" r:id="rId55"/>
    <sheet name="1. Maison indiv" sheetId="1" state="hidden" r:id="rId56"/>
    <sheet name="2. Appartement chauffage indiv" sheetId="2" state="hidden" r:id="rId57"/>
    <sheet name="3. Appartement chauffage coll" sheetId="8" state="hidden" r:id="rId58"/>
    <sheet name="4. Bâtiment tertiaire" sheetId="5" state="hidden" r:id="rId59"/>
    <sheet name="5. Site industriel" sheetId="6" state="hidden" r:id="rId60"/>
    <sheet name="6. Mobilité" sheetId="7" state="hidden" r:id="rId61"/>
  </sheets>
  <externalReferences>
    <externalReference r:id="rId62"/>
    <externalReference r:id="rId63"/>
  </externalReferences>
  <definedNames>
    <definedName name="_xlnm._FilterDatabase" localSheetId="25" hidden="1">'Données outil décarbo'!$A$4:$AL$214</definedName>
    <definedName name="_xlnm._FilterDatabase" localSheetId="39" hidden="1">'Hypothèses Présage'!$A$1:$E$1060</definedName>
    <definedName name="_xlnm._FilterDatabase" localSheetId="19" hidden="1">'Tableau techno EE et decarb'!$G$1:$O$77</definedName>
    <definedName name="H1_chauffage">'0. Zones climatiques'!$F$6</definedName>
    <definedName name="Systèmes" localSheetId="24">[1]Tables!$D$7:$D$27</definedName>
    <definedName name="Systèmes">[2]Tables!$D$7:$D$27</definedName>
    <definedName name="Type_bâtiment" localSheetId="24">[1]Tables!$C$7:$C$12</definedName>
    <definedName name="Type_bâtiment">[2]Tables!$C$7:$C$12</definedName>
  </definedNames>
  <calcPr calcId="191028"/>
  <pivotCaches>
    <pivotCache cacheId="0" r:id="rId6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4" i="47" l="1"/>
  <c r="C25" i="47" s="1"/>
  <c r="C27" i="47"/>
  <c r="V55" i="81"/>
  <c r="P132" i="77"/>
  <c r="P132" i="14"/>
  <c r="P132" i="76"/>
  <c r="P135" i="76"/>
  <c r="P136" i="76" s="1"/>
  <c r="Q136" i="76" s="1"/>
  <c r="P134" i="76"/>
  <c r="P137" i="76"/>
  <c r="P129" i="77"/>
  <c r="D20" i="77"/>
  <c r="D20" i="76"/>
  <c r="D20" i="14"/>
  <c r="D22" i="14" s="1"/>
  <c r="K127" i="14"/>
  <c r="L127" i="14"/>
  <c r="M127" i="14" s="1"/>
  <c r="P127" i="14"/>
  <c r="Q127" i="14"/>
  <c r="R127" i="14"/>
  <c r="S127" i="14"/>
  <c r="P130" i="14"/>
  <c r="Q130" i="14"/>
  <c r="F161" i="64"/>
  <c r="AC28" i="17"/>
  <c r="X28" i="17"/>
  <c r="X29" i="17"/>
  <c r="AC28" i="80"/>
  <c r="X28" i="80"/>
  <c r="AC28" i="81"/>
  <c r="W28" i="81"/>
  <c r="W30" i="81"/>
  <c r="AC19" i="81"/>
  <c r="W19" i="81"/>
  <c r="AC20" i="80"/>
  <c r="W20" i="80"/>
  <c r="AC19" i="80"/>
  <c r="W19" i="80"/>
  <c r="AC20" i="17"/>
  <c r="W19" i="17"/>
  <c r="AC19" i="17"/>
  <c r="X19" i="17"/>
  <c r="S50" i="64"/>
  <c r="G128" i="64"/>
  <c r="G192" i="64"/>
  <c r="G250" i="64"/>
  <c r="E250" i="64"/>
  <c r="E192" i="64"/>
  <c r="E128" i="64"/>
  <c r="G195" i="64"/>
  <c r="G69" i="64"/>
  <c r="G131" i="64"/>
  <c r="E253" i="64"/>
  <c r="G253" i="64"/>
  <c r="E244" i="64"/>
  <c r="E195" i="64"/>
  <c r="G245" i="64"/>
  <c r="E186" i="64"/>
  <c r="S239" i="64"/>
  <c r="M242" i="64"/>
  <c r="S237" i="64"/>
  <c r="M233" i="64"/>
  <c r="S236" i="64"/>
  <c r="M230" i="64"/>
  <c r="S112" i="64"/>
  <c r="V28" i="80"/>
  <c r="B14" i="47"/>
  <c r="E80" i="79"/>
  <c r="E79" i="79"/>
  <c r="E62" i="79"/>
  <c r="E61" i="79"/>
  <c r="E42" i="79"/>
  <c r="E41" i="79"/>
  <c r="C22" i="14"/>
  <c r="T118" i="77"/>
  <c r="Y104" i="77"/>
  <c r="Y105" i="77"/>
  <c r="Y106" i="77"/>
  <c r="Y107" i="77"/>
  <c r="Y108" i="77"/>
  <c r="Y109" i="77"/>
  <c r="Y110" i="77"/>
  <c r="Y111" i="77"/>
  <c r="Y112" i="77"/>
  <c r="Y113" i="77"/>
  <c r="Y114" i="77"/>
  <c r="Y115" i="77"/>
  <c r="Y116" i="77"/>
  <c r="Y117" i="77"/>
  <c r="Y118" i="77"/>
  <c r="Y119" i="77"/>
  <c r="Y120" i="77"/>
  <c r="Y121" i="77"/>
  <c r="Y122" i="77"/>
  <c r="Y123" i="77"/>
  <c r="T104" i="77"/>
  <c r="T105" i="77"/>
  <c r="T106" i="77"/>
  <c r="T107" i="77"/>
  <c r="T108" i="77"/>
  <c r="T109" i="77"/>
  <c r="T110" i="77"/>
  <c r="T111" i="77"/>
  <c r="T112" i="77"/>
  <c r="T113" i="77"/>
  <c r="T114" i="77"/>
  <c r="T115" i="77"/>
  <c r="T116" i="77"/>
  <c r="T117" i="77"/>
  <c r="T119" i="77"/>
  <c r="T120" i="77"/>
  <c r="T121" i="77"/>
  <c r="T122" i="77"/>
  <c r="T123" i="77"/>
  <c r="T103" i="77"/>
  <c r="O104" i="77"/>
  <c r="O105" i="77"/>
  <c r="O106" i="77"/>
  <c r="O107" i="77"/>
  <c r="O108" i="77"/>
  <c r="O109" i="77"/>
  <c r="O110" i="77"/>
  <c r="O111" i="77"/>
  <c r="O112" i="77"/>
  <c r="O113" i="77"/>
  <c r="O114" i="77"/>
  <c r="O115" i="77"/>
  <c r="O116" i="77"/>
  <c r="O117" i="77"/>
  <c r="O118" i="77"/>
  <c r="O119" i="77"/>
  <c r="O120" i="77"/>
  <c r="O121" i="77"/>
  <c r="O122" i="77"/>
  <c r="O123" i="77"/>
  <c r="O103" i="77"/>
  <c r="I103" i="77"/>
  <c r="S119" i="77"/>
  <c r="W117" i="14"/>
  <c r="W116" i="14"/>
  <c r="AB118" i="14"/>
  <c r="C22" i="47"/>
  <c r="C9" i="47"/>
  <c r="I104" i="77"/>
  <c r="I105" i="77"/>
  <c r="I106" i="77"/>
  <c r="I107" i="77"/>
  <c r="I108" i="77"/>
  <c r="I109" i="77"/>
  <c r="I110" i="77"/>
  <c r="I111" i="77"/>
  <c r="I112" i="77"/>
  <c r="I113" i="77"/>
  <c r="I114" i="77"/>
  <c r="I115" i="77"/>
  <c r="I116" i="77"/>
  <c r="I117" i="77"/>
  <c r="I118" i="77"/>
  <c r="I119" i="77"/>
  <c r="I120" i="77"/>
  <c r="I121" i="77"/>
  <c r="I122" i="77"/>
  <c r="I123" i="77"/>
  <c r="J103" i="77"/>
  <c r="N119" i="77"/>
  <c r="M118" i="77"/>
  <c r="Q131" i="76"/>
  <c r="P131" i="76"/>
  <c r="Q127" i="77"/>
  <c r="P127" i="77"/>
  <c r="R127" i="77" s="1"/>
  <c r="S127" i="77" s="1"/>
  <c r="Q127" i="76"/>
  <c r="R127" i="76" s="1"/>
  <c r="S127" i="76" s="1"/>
  <c r="P127" i="76"/>
  <c r="J127" i="14"/>
  <c r="T68" i="77"/>
  <c r="T75" i="77"/>
  <c r="T78" i="77"/>
  <c r="T79" i="77"/>
  <c r="T82" i="77"/>
  <c r="T83" i="77"/>
  <c r="R78" i="77"/>
  <c r="O78" i="77" s="1"/>
  <c r="S79" i="77"/>
  <c r="O67" i="77"/>
  <c r="O69" i="77"/>
  <c r="O70" i="77"/>
  <c r="O71" i="77"/>
  <c r="O72" i="77"/>
  <c r="O73" i="77"/>
  <c r="O74" i="77"/>
  <c r="O75" i="77"/>
  <c r="O76" i="77"/>
  <c r="O77" i="77"/>
  <c r="O79" i="77"/>
  <c r="O80" i="77"/>
  <c r="O82" i="77"/>
  <c r="O83" i="77"/>
  <c r="N79" i="77"/>
  <c r="M78" i="77"/>
  <c r="I78" i="77" s="1"/>
  <c r="I69" i="77"/>
  <c r="I73" i="77"/>
  <c r="I75" i="77"/>
  <c r="I79" i="77"/>
  <c r="I82" i="77"/>
  <c r="I83" i="77"/>
  <c r="Y49" i="77"/>
  <c r="Y50" i="77"/>
  <c r="Y52" i="77"/>
  <c r="T39" i="77"/>
  <c r="T49" i="77"/>
  <c r="T50" i="77"/>
  <c r="T54" i="77"/>
  <c r="I40" i="77"/>
  <c r="I44" i="77"/>
  <c r="I46" i="77"/>
  <c r="O38" i="77"/>
  <c r="O40" i="77"/>
  <c r="O41" i="77"/>
  <c r="O42" i="77"/>
  <c r="O43" i="77"/>
  <c r="O44" i="77"/>
  <c r="O45" i="77"/>
  <c r="O46" i="77"/>
  <c r="O47" i="77"/>
  <c r="O48" i="77"/>
  <c r="O49" i="77"/>
  <c r="O51" i="77"/>
  <c r="O53" i="77"/>
  <c r="R49" i="77"/>
  <c r="S50" i="77"/>
  <c r="O50" i="77" s="1"/>
  <c r="N50" i="77"/>
  <c r="I50" i="77" s="1"/>
  <c r="M49" i="77"/>
  <c r="I49" i="77" s="1"/>
  <c r="T118" i="76"/>
  <c r="T119" i="76"/>
  <c r="Y118" i="76"/>
  <c r="Y119" i="76"/>
  <c r="S119" i="76"/>
  <c r="O119" i="76" s="1"/>
  <c r="I118" i="76"/>
  <c r="I119" i="76"/>
  <c r="O118" i="76"/>
  <c r="N119" i="76"/>
  <c r="M118" i="76"/>
  <c r="O107" i="76"/>
  <c r="O109" i="76"/>
  <c r="O110" i="76"/>
  <c r="O111" i="76"/>
  <c r="O112" i="76"/>
  <c r="O113" i="76"/>
  <c r="O114" i="76"/>
  <c r="O115" i="76"/>
  <c r="O116" i="76"/>
  <c r="O117" i="76"/>
  <c r="O120" i="76"/>
  <c r="O122" i="76"/>
  <c r="I109" i="76"/>
  <c r="I113" i="76"/>
  <c r="I115" i="76"/>
  <c r="T68" i="76"/>
  <c r="T75" i="76"/>
  <c r="T78" i="76"/>
  <c r="T79" i="76"/>
  <c r="T82" i="76"/>
  <c r="T83" i="76"/>
  <c r="O67" i="76"/>
  <c r="O69" i="76"/>
  <c r="O70" i="76"/>
  <c r="O71" i="76"/>
  <c r="O72" i="76"/>
  <c r="O73" i="76"/>
  <c r="O74" i="76"/>
  <c r="O75" i="76"/>
  <c r="O76" i="76"/>
  <c r="O77" i="76"/>
  <c r="O78" i="76"/>
  <c r="O80" i="76"/>
  <c r="O82" i="76"/>
  <c r="O83" i="76"/>
  <c r="I69" i="76"/>
  <c r="I73" i="76"/>
  <c r="I75" i="76"/>
  <c r="Y75" i="76"/>
  <c r="Y78" i="76"/>
  <c r="Y79" i="76"/>
  <c r="Y81" i="76"/>
  <c r="Y82" i="76"/>
  <c r="Y83" i="76"/>
  <c r="Y49" i="76"/>
  <c r="Y50" i="76"/>
  <c r="Y52" i="76"/>
  <c r="T39" i="76"/>
  <c r="T49" i="76"/>
  <c r="T50" i="76"/>
  <c r="T54" i="76"/>
  <c r="O38" i="76"/>
  <c r="O40" i="76"/>
  <c r="O41" i="76"/>
  <c r="O42" i="76"/>
  <c r="O43" i="76"/>
  <c r="O44" i="76"/>
  <c r="O45" i="76"/>
  <c r="O46" i="76"/>
  <c r="O47" i="76"/>
  <c r="O48" i="76"/>
  <c r="O49" i="76"/>
  <c r="O51" i="76"/>
  <c r="O53" i="76"/>
  <c r="I40" i="76"/>
  <c r="I44" i="76"/>
  <c r="I46" i="76"/>
  <c r="Y63" i="14"/>
  <c r="Y104" i="14"/>
  <c r="Y105" i="14"/>
  <c r="Y106" i="14"/>
  <c r="Y107" i="14"/>
  <c r="Y108" i="14"/>
  <c r="Y109" i="14"/>
  <c r="Y110" i="14"/>
  <c r="Y111" i="14"/>
  <c r="Y112" i="14"/>
  <c r="Y113" i="14"/>
  <c r="Y114" i="14"/>
  <c r="Y115" i="14"/>
  <c r="Y116" i="14"/>
  <c r="Y117" i="14"/>
  <c r="Y118" i="14"/>
  <c r="Y119" i="14"/>
  <c r="Y120" i="14"/>
  <c r="Y121" i="14"/>
  <c r="Y122" i="14"/>
  <c r="Y123" i="14"/>
  <c r="Y103" i="14"/>
  <c r="O104" i="14"/>
  <c r="O105" i="14"/>
  <c r="O106" i="14"/>
  <c r="O107" i="14"/>
  <c r="O108" i="14"/>
  <c r="O109" i="14"/>
  <c r="O110" i="14"/>
  <c r="O111" i="14"/>
  <c r="O112" i="14"/>
  <c r="O113" i="14"/>
  <c r="O114" i="14"/>
  <c r="O115" i="14"/>
  <c r="O116" i="14"/>
  <c r="O117" i="14"/>
  <c r="O118" i="14"/>
  <c r="O119" i="14"/>
  <c r="O120" i="14"/>
  <c r="O121" i="14"/>
  <c r="O122" i="14"/>
  <c r="O123" i="14"/>
  <c r="O103" i="14"/>
  <c r="I104" i="14"/>
  <c r="I105" i="14"/>
  <c r="I106" i="14"/>
  <c r="I107" i="14"/>
  <c r="I108" i="14"/>
  <c r="I109" i="14"/>
  <c r="I110" i="14"/>
  <c r="I111" i="14"/>
  <c r="I112" i="14"/>
  <c r="I113" i="14"/>
  <c r="I114" i="14"/>
  <c r="I115" i="14"/>
  <c r="I116" i="14"/>
  <c r="I117" i="14"/>
  <c r="I118" i="14"/>
  <c r="I119" i="14"/>
  <c r="I120" i="14"/>
  <c r="I121" i="14"/>
  <c r="I122" i="14"/>
  <c r="I123" i="14"/>
  <c r="I103" i="14"/>
  <c r="O64" i="14"/>
  <c r="O65" i="14"/>
  <c r="O66" i="14"/>
  <c r="O67" i="14"/>
  <c r="O68" i="14"/>
  <c r="O69" i="14"/>
  <c r="O70" i="14"/>
  <c r="O71" i="14"/>
  <c r="O72" i="14"/>
  <c r="O73" i="14"/>
  <c r="O74" i="14"/>
  <c r="O75" i="14"/>
  <c r="O76" i="14"/>
  <c r="O77" i="14"/>
  <c r="O78" i="14"/>
  <c r="O79" i="14"/>
  <c r="O80" i="14"/>
  <c r="O81" i="14"/>
  <c r="O82" i="14"/>
  <c r="O83" i="14"/>
  <c r="O63" i="14"/>
  <c r="O35" i="14"/>
  <c r="O36" i="14"/>
  <c r="O37" i="14"/>
  <c r="O38" i="14"/>
  <c r="O39" i="14"/>
  <c r="O40" i="14"/>
  <c r="O41" i="14"/>
  <c r="O42" i="14"/>
  <c r="O43" i="14"/>
  <c r="O44" i="14"/>
  <c r="O45" i="14"/>
  <c r="O46" i="14"/>
  <c r="O47" i="14"/>
  <c r="O48" i="14"/>
  <c r="O49" i="14"/>
  <c r="O50" i="14"/>
  <c r="O51" i="14"/>
  <c r="O52" i="14"/>
  <c r="O53" i="14"/>
  <c r="O54" i="14"/>
  <c r="O34" i="14"/>
  <c r="I35" i="14"/>
  <c r="I36" i="14"/>
  <c r="I37" i="14"/>
  <c r="I38" i="14"/>
  <c r="I39" i="14"/>
  <c r="I40" i="14"/>
  <c r="I41" i="14"/>
  <c r="I42" i="14"/>
  <c r="I43" i="14"/>
  <c r="I44" i="14"/>
  <c r="I45" i="14"/>
  <c r="I46" i="14"/>
  <c r="I47" i="14"/>
  <c r="I48" i="14"/>
  <c r="I49" i="14"/>
  <c r="I50" i="14"/>
  <c r="I51" i="14"/>
  <c r="I52" i="14"/>
  <c r="I53" i="14"/>
  <c r="I54" i="14"/>
  <c r="I34" i="14"/>
  <c r="I64" i="14"/>
  <c r="I65" i="14"/>
  <c r="I66" i="14"/>
  <c r="I67" i="14"/>
  <c r="I68" i="14"/>
  <c r="I69" i="14"/>
  <c r="I70" i="14"/>
  <c r="I71" i="14"/>
  <c r="I72" i="14"/>
  <c r="I73" i="14"/>
  <c r="I74" i="14"/>
  <c r="I75" i="14"/>
  <c r="I76" i="14"/>
  <c r="I77" i="14"/>
  <c r="I78" i="14"/>
  <c r="I79" i="14"/>
  <c r="I80" i="14"/>
  <c r="I81" i="14"/>
  <c r="I82" i="14"/>
  <c r="I83" i="14"/>
  <c r="I63" i="14"/>
  <c r="L82" i="76"/>
  <c r="K82" i="76"/>
  <c r="I82" i="76" s="1"/>
  <c r="K83" i="76"/>
  <c r="I83" i="76" s="1"/>
  <c r="S79" i="76"/>
  <c r="O79" i="76" s="1"/>
  <c r="N79" i="76"/>
  <c r="I79" i="76" s="1"/>
  <c r="M78" i="76"/>
  <c r="I78" i="76" s="1"/>
  <c r="S50" i="76"/>
  <c r="O50" i="76" s="1"/>
  <c r="N50" i="76"/>
  <c r="I50" i="76" s="1"/>
  <c r="M49" i="76"/>
  <c r="I49" i="76" s="1"/>
  <c r="J242" i="64"/>
  <c r="I242" i="64" s="1"/>
  <c r="J241" i="64"/>
  <c r="J60" i="64"/>
  <c r="J59" i="64"/>
  <c r="S57" i="64" s="1"/>
  <c r="F35" i="64"/>
  <c r="S119" i="14"/>
  <c r="N119" i="14"/>
  <c r="T119" i="14"/>
  <c r="M118" i="14"/>
  <c r="T118" i="14"/>
  <c r="M49" i="64" l="1"/>
  <c r="S54" i="64"/>
  <c r="M55" i="64"/>
  <c r="S56" i="64"/>
  <c r="M61" i="64"/>
  <c r="C10" i="47"/>
  <c r="J52" i="77" l="1"/>
  <c r="K52" i="77"/>
  <c r="J81" i="77"/>
  <c r="I81" i="77" s="1"/>
  <c r="K81" i="77"/>
  <c r="J81" i="76"/>
  <c r="K81" i="76"/>
  <c r="J52" i="76"/>
  <c r="K52" i="76"/>
  <c r="J121" i="14"/>
  <c r="K121" i="14"/>
  <c r="D27" i="24"/>
  <c r="I52" i="77" l="1"/>
  <c r="I52" i="76"/>
  <c r="I81" i="76"/>
  <c r="J121" i="77"/>
  <c r="J127" i="77" s="1"/>
  <c r="K121" i="77"/>
  <c r="K127" i="77" s="1"/>
  <c r="J121" i="76"/>
  <c r="K121" i="76"/>
  <c r="K127" i="76" s="1"/>
  <c r="E60" i="64"/>
  <c r="J127" i="76" l="1"/>
  <c r="L127" i="76" s="1"/>
  <c r="M127" i="76" s="1"/>
  <c r="I121" i="76"/>
  <c r="L127" i="77"/>
  <c r="M127" i="77" s="1"/>
  <c r="F220" i="64"/>
  <c r="F217" i="64" s="1"/>
  <c r="F163" i="64"/>
  <c r="F97" i="64"/>
  <c r="F95" i="64" s="1"/>
  <c r="F38" i="64"/>
  <c r="AA80" i="77"/>
  <c r="Y80" i="77" s="1"/>
  <c r="AB77" i="77"/>
  <c r="AB76" i="77"/>
  <c r="Y76" i="77" s="1"/>
  <c r="AC73" i="77"/>
  <c r="AA70" i="77"/>
  <c r="AA67" i="77"/>
  <c r="Z64" i="77"/>
  <c r="Z66" i="77"/>
  <c r="Y66" i="77" s="1"/>
  <c r="Z67" i="77"/>
  <c r="Z68" i="77"/>
  <c r="Z69" i="77"/>
  <c r="Y69" i="77" s="1"/>
  <c r="Z70" i="77"/>
  <c r="Z71" i="77"/>
  <c r="Y71" i="77" s="1"/>
  <c r="Z72" i="77"/>
  <c r="Y72" i="77" s="1"/>
  <c r="Z73" i="77"/>
  <c r="Z74" i="77"/>
  <c r="Y74" i="77" s="1"/>
  <c r="Z63" i="77"/>
  <c r="Y63" i="77" s="1"/>
  <c r="X73" i="77"/>
  <c r="W77" i="77"/>
  <c r="T77" i="77" s="1"/>
  <c r="W76" i="77"/>
  <c r="T76" i="77" s="1"/>
  <c r="U81" i="77"/>
  <c r="V81" i="77"/>
  <c r="V121" i="77" s="1"/>
  <c r="V80" i="77"/>
  <c r="U80" i="77"/>
  <c r="T80" i="77" s="1"/>
  <c r="V67" i="77"/>
  <c r="V70" i="77"/>
  <c r="U70" i="77"/>
  <c r="T70" i="77" s="1"/>
  <c r="U71" i="77"/>
  <c r="T71" i="77" s="1"/>
  <c r="U72" i="77"/>
  <c r="T72" i="77" s="1"/>
  <c r="U73" i="77"/>
  <c r="T73" i="77" s="1"/>
  <c r="U74" i="77"/>
  <c r="T74" i="77" s="1"/>
  <c r="U69" i="77"/>
  <c r="T69" i="77" s="1"/>
  <c r="U64" i="77"/>
  <c r="T64" i="77" s="1"/>
  <c r="U66" i="77"/>
  <c r="T66" i="77" s="1"/>
  <c r="U67" i="77"/>
  <c r="T67" i="77" s="1"/>
  <c r="U63" i="77"/>
  <c r="T63" i="77" s="1"/>
  <c r="Q81" i="77"/>
  <c r="P68" i="77"/>
  <c r="O68" i="77" s="1"/>
  <c r="P64" i="77"/>
  <c r="O64" i="77" s="1"/>
  <c r="P66" i="77"/>
  <c r="O66" i="77" s="1"/>
  <c r="P63" i="77"/>
  <c r="O63" i="77" s="1"/>
  <c r="L77" i="77"/>
  <c r="I77" i="77" s="1"/>
  <c r="L76" i="77"/>
  <c r="I76" i="77" s="1"/>
  <c r="K80" i="77"/>
  <c r="J80" i="77"/>
  <c r="I80" i="77" s="1"/>
  <c r="J74" i="77"/>
  <c r="I74" i="77" s="1"/>
  <c r="J71" i="77"/>
  <c r="I71" i="77" s="1"/>
  <c r="J72" i="77"/>
  <c r="I72" i="77" s="1"/>
  <c r="J70" i="77"/>
  <c r="I70" i="77" s="1"/>
  <c r="J64" i="77"/>
  <c r="I64" i="77" s="1"/>
  <c r="J66" i="77"/>
  <c r="I66" i="77" s="1"/>
  <c r="J67" i="77"/>
  <c r="I67" i="77" s="1"/>
  <c r="J68" i="77"/>
  <c r="I68" i="77" s="1"/>
  <c r="J63" i="77"/>
  <c r="I63" i="77" s="1"/>
  <c r="J34" i="77"/>
  <c r="I34" i="77" s="1"/>
  <c r="AA54" i="77"/>
  <c r="Y54" i="77" s="1"/>
  <c r="AA53" i="77"/>
  <c r="AA51" i="77"/>
  <c r="Z51" i="77"/>
  <c r="AB48" i="77"/>
  <c r="Y48" i="77" s="1"/>
  <c r="AB47" i="77"/>
  <c r="Y47" i="77" s="1"/>
  <c r="AC44" i="77"/>
  <c r="Z44" i="77"/>
  <c r="Y44" i="77" s="1"/>
  <c r="AA41" i="77"/>
  <c r="AA39" i="77"/>
  <c r="AA108" i="77" s="1"/>
  <c r="AA38" i="77"/>
  <c r="Z35" i="77"/>
  <c r="Y35" i="77" s="1"/>
  <c r="Z37" i="77"/>
  <c r="Y37" i="77" s="1"/>
  <c r="Z38" i="77"/>
  <c r="Y38" i="77" s="1"/>
  <c r="Z39" i="77"/>
  <c r="Y39" i="77" s="1"/>
  <c r="Z40" i="77"/>
  <c r="Y40" i="77" s="1"/>
  <c r="Z41" i="77"/>
  <c r="Y41" i="77" s="1"/>
  <c r="Z42" i="77"/>
  <c r="Y42" i="77" s="1"/>
  <c r="Z43" i="77"/>
  <c r="Y43" i="77" s="1"/>
  <c r="Z45" i="77"/>
  <c r="Y45" i="77" s="1"/>
  <c r="Z46" i="77"/>
  <c r="Y46" i="77" s="1"/>
  <c r="Z34" i="77"/>
  <c r="Y34" i="77" s="1"/>
  <c r="U34" i="77"/>
  <c r="T34" i="77" s="1"/>
  <c r="V53" i="77"/>
  <c r="W48" i="77"/>
  <c r="T48" i="77" s="1"/>
  <c r="W47" i="77"/>
  <c r="T47" i="77" s="1"/>
  <c r="X44" i="77"/>
  <c r="U44" i="77"/>
  <c r="T44" i="77" s="1"/>
  <c r="V51" i="77"/>
  <c r="U52" i="77"/>
  <c r="T52" i="77" s="1"/>
  <c r="U51" i="77"/>
  <c r="V41" i="77"/>
  <c r="U41" i="77"/>
  <c r="T41" i="77" s="1"/>
  <c r="U42" i="77"/>
  <c r="T42" i="77" s="1"/>
  <c r="U43" i="77"/>
  <c r="T43" i="77" s="1"/>
  <c r="U45" i="77"/>
  <c r="T45" i="77" s="1"/>
  <c r="U46" i="77"/>
  <c r="T46" i="77" s="1"/>
  <c r="U40" i="77"/>
  <c r="T40" i="77" s="1"/>
  <c r="V38" i="77"/>
  <c r="U35" i="77"/>
  <c r="T35" i="77" s="1"/>
  <c r="U37" i="77"/>
  <c r="T37" i="77" s="1"/>
  <c r="U38" i="77"/>
  <c r="P34" i="77"/>
  <c r="O34" i="77" s="1"/>
  <c r="Q54" i="77"/>
  <c r="P52" i="77"/>
  <c r="O52" i="77" s="1"/>
  <c r="Q39" i="77"/>
  <c r="Q108" i="77" s="1"/>
  <c r="P39" i="77"/>
  <c r="P35" i="77"/>
  <c r="O35" i="77" s="1"/>
  <c r="P37" i="77"/>
  <c r="O37" i="77" s="1"/>
  <c r="K54" i="77"/>
  <c r="K53" i="77"/>
  <c r="I53" i="77" s="1"/>
  <c r="L48" i="77"/>
  <c r="I48" i="77" s="1"/>
  <c r="L47" i="77"/>
  <c r="I47" i="77" s="1"/>
  <c r="K51" i="77"/>
  <c r="J51" i="77"/>
  <c r="J45" i="77"/>
  <c r="I45" i="77" s="1"/>
  <c r="K41" i="77"/>
  <c r="K110" i="77" s="1"/>
  <c r="J42" i="77"/>
  <c r="I42" i="77" s="1"/>
  <c r="J43" i="77"/>
  <c r="I43" i="77" s="1"/>
  <c r="J41" i="77"/>
  <c r="K39" i="77"/>
  <c r="K108" i="77" s="1"/>
  <c r="K38" i="77"/>
  <c r="K107" i="77" s="1"/>
  <c r="J35" i="77"/>
  <c r="J37" i="77"/>
  <c r="I37" i="77" s="1"/>
  <c r="J38" i="77"/>
  <c r="I38" i="77" s="1"/>
  <c r="J39" i="77"/>
  <c r="J34" i="76"/>
  <c r="I34" i="76" s="1"/>
  <c r="AA80" i="76"/>
  <c r="Y80" i="76" s="1"/>
  <c r="AB77" i="76"/>
  <c r="Y77" i="76" s="1"/>
  <c r="AB76" i="76"/>
  <c r="Y76" i="76" s="1"/>
  <c r="AC73" i="76"/>
  <c r="AA70" i="76"/>
  <c r="AA67" i="76"/>
  <c r="Z64" i="76"/>
  <c r="Y64" i="76" s="1"/>
  <c r="Z66" i="76"/>
  <c r="Y66" i="76" s="1"/>
  <c r="Z67" i="76"/>
  <c r="Z68" i="76"/>
  <c r="Y68" i="76" s="1"/>
  <c r="Z69" i="76"/>
  <c r="Y69" i="76" s="1"/>
  <c r="Z70" i="76"/>
  <c r="Z71" i="76"/>
  <c r="Y71" i="76" s="1"/>
  <c r="Z72" i="76"/>
  <c r="Y72" i="76" s="1"/>
  <c r="Z73" i="76"/>
  <c r="Z74" i="76"/>
  <c r="Y74" i="76" s="1"/>
  <c r="Z63" i="76"/>
  <c r="Y63" i="76" s="1"/>
  <c r="U63" i="76"/>
  <c r="T63" i="76" s="1"/>
  <c r="V81" i="76"/>
  <c r="V80" i="76"/>
  <c r="U81" i="76"/>
  <c r="T81" i="76" s="1"/>
  <c r="U80" i="76"/>
  <c r="T80" i="76" s="1"/>
  <c r="W77" i="76"/>
  <c r="T77" i="76" s="1"/>
  <c r="W76" i="76"/>
  <c r="T76" i="76" s="1"/>
  <c r="U74" i="76"/>
  <c r="T74" i="76" s="1"/>
  <c r="X73" i="76"/>
  <c r="U73" i="76"/>
  <c r="T73" i="76" s="1"/>
  <c r="V70" i="76"/>
  <c r="V67" i="76"/>
  <c r="U70" i="76"/>
  <c r="T70" i="76" s="1"/>
  <c r="U71" i="76"/>
  <c r="T71" i="76" s="1"/>
  <c r="U72" i="76"/>
  <c r="T72" i="76" s="1"/>
  <c r="U69" i="76"/>
  <c r="T69" i="76" s="1"/>
  <c r="U64" i="76"/>
  <c r="T64" i="76" s="1"/>
  <c r="U66" i="76"/>
  <c r="T66" i="76" s="1"/>
  <c r="U67" i="76"/>
  <c r="P63" i="76"/>
  <c r="O63" i="76" s="1"/>
  <c r="Q81" i="76"/>
  <c r="P68" i="76"/>
  <c r="O68" i="76" s="1"/>
  <c r="P64" i="76"/>
  <c r="O64" i="76" s="1"/>
  <c r="P66" i="76"/>
  <c r="O66" i="76" s="1"/>
  <c r="J63" i="76"/>
  <c r="I63" i="76" s="1"/>
  <c r="L77" i="76"/>
  <c r="I77" i="76" s="1"/>
  <c r="L76" i="76"/>
  <c r="I76" i="76" s="1"/>
  <c r="K80" i="76"/>
  <c r="J80" i="76"/>
  <c r="J74" i="76"/>
  <c r="I74" i="76" s="1"/>
  <c r="J71" i="76"/>
  <c r="I71" i="76" s="1"/>
  <c r="J72" i="76"/>
  <c r="I72" i="76" s="1"/>
  <c r="J70" i="76"/>
  <c r="I70" i="76" s="1"/>
  <c r="J64" i="76"/>
  <c r="I64" i="76" s="1"/>
  <c r="J66" i="76"/>
  <c r="I66" i="76" s="1"/>
  <c r="J67" i="76"/>
  <c r="I67" i="76" s="1"/>
  <c r="J68" i="76"/>
  <c r="I68" i="76" s="1"/>
  <c r="J51" i="76"/>
  <c r="I51" i="76" s="1"/>
  <c r="K54" i="76"/>
  <c r="K53" i="76"/>
  <c r="I53" i="76" s="1"/>
  <c r="K51" i="76"/>
  <c r="AC44" i="76"/>
  <c r="AB48" i="76"/>
  <c r="Y48" i="76" s="1"/>
  <c r="AB47" i="76"/>
  <c r="Y47" i="76" s="1"/>
  <c r="AA51" i="76"/>
  <c r="AA54" i="76"/>
  <c r="AA53" i="76"/>
  <c r="Y53" i="76" s="1"/>
  <c r="Z51" i="76"/>
  <c r="AA41" i="76"/>
  <c r="AA39" i="76"/>
  <c r="AA108" i="76" s="1"/>
  <c r="AA38" i="76"/>
  <c r="Z35" i="76"/>
  <c r="Y35" i="76" s="1"/>
  <c r="Z37" i="76"/>
  <c r="Y37" i="76" s="1"/>
  <c r="Z38" i="76"/>
  <c r="Z39" i="76"/>
  <c r="Z40" i="76"/>
  <c r="Y40" i="76" s="1"/>
  <c r="Z41" i="76"/>
  <c r="Y41" i="76" s="1"/>
  <c r="Z42" i="76"/>
  <c r="Y42" i="76" s="1"/>
  <c r="Z43" i="76"/>
  <c r="Y43" i="76" s="1"/>
  <c r="Z44" i="76"/>
  <c r="Y44" i="76" s="1"/>
  <c r="Z45" i="76"/>
  <c r="Y45" i="76" s="1"/>
  <c r="Z46" i="76"/>
  <c r="Z34" i="76"/>
  <c r="Y34" i="76" s="1"/>
  <c r="U34" i="76"/>
  <c r="T34" i="76" s="1"/>
  <c r="V53" i="76"/>
  <c r="T53" i="76" s="1"/>
  <c r="W48" i="76"/>
  <c r="T48" i="76" s="1"/>
  <c r="W47" i="76"/>
  <c r="T47" i="76" s="1"/>
  <c r="X44" i="76"/>
  <c r="V41" i="76"/>
  <c r="L48" i="76"/>
  <c r="I48" i="76" s="1"/>
  <c r="L47" i="76"/>
  <c r="I47" i="76" s="1"/>
  <c r="J45" i="76"/>
  <c r="I45" i="76" s="1"/>
  <c r="V51" i="76"/>
  <c r="U52" i="76"/>
  <c r="T52" i="76" s="1"/>
  <c r="U51" i="76"/>
  <c r="T51" i="76" s="1"/>
  <c r="U41" i="76"/>
  <c r="U42" i="76"/>
  <c r="T42" i="76" s="1"/>
  <c r="U43" i="76"/>
  <c r="T43" i="76" s="1"/>
  <c r="U44" i="76"/>
  <c r="U45" i="76"/>
  <c r="T45" i="76" s="1"/>
  <c r="U46" i="76"/>
  <c r="U40" i="76"/>
  <c r="T40" i="76" s="1"/>
  <c r="V38" i="76"/>
  <c r="U35" i="76"/>
  <c r="T35" i="76" s="1"/>
  <c r="U37" i="76"/>
  <c r="T37" i="76" s="1"/>
  <c r="U38" i="76"/>
  <c r="P34" i="76"/>
  <c r="O34" i="76" s="1"/>
  <c r="Q54" i="76"/>
  <c r="O54" i="76" s="1"/>
  <c r="P52" i="76"/>
  <c r="Q39" i="76"/>
  <c r="P39" i="76"/>
  <c r="P35" i="76"/>
  <c r="O35" i="76" s="1"/>
  <c r="P37" i="76"/>
  <c r="O37" i="76" s="1"/>
  <c r="K41" i="76"/>
  <c r="K110" i="76" s="1"/>
  <c r="K39" i="76"/>
  <c r="K38" i="76"/>
  <c r="K107" i="76" s="1"/>
  <c r="J43" i="76"/>
  <c r="I43" i="76" s="1"/>
  <c r="J42" i="76"/>
  <c r="I42" i="76" s="1"/>
  <c r="J41" i="76"/>
  <c r="I41" i="76" s="1"/>
  <c r="J35" i="76"/>
  <c r="I35" i="76" s="1"/>
  <c r="J37" i="76"/>
  <c r="I37" i="76" s="1"/>
  <c r="J38" i="76"/>
  <c r="I38" i="76" s="1"/>
  <c r="J39" i="76"/>
  <c r="I39" i="76" s="1"/>
  <c r="Y92" i="77"/>
  <c r="T92" i="77"/>
  <c r="Y91" i="77"/>
  <c r="T91" i="77"/>
  <c r="O91" i="77"/>
  <c r="I91" i="77"/>
  <c r="Y83" i="77"/>
  <c r="Y82" i="77"/>
  <c r="Y81" i="77"/>
  <c r="Y77" i="77"/>
  <c r="Y68" i="77"/>
  <c r="M12" i="77"/>
  <c r="T123" i="76"/>
  <c r="Y92" i="76"/>
  <c r="T92" i="76"/>
  <c r="Y91" i="76"/>
  <c r="T91" i="76"/>
  <c r="O91" i="76"/>
  <c r="I91" i="76"/>
  <c r="M12" i="76"/>
  <c r="Z104" i="14"/>
  <c r="U104" i="14"/>
  <c r="P104" i="14"/>
  <c r="J104" i="14"/>
  <c r="Z65" i="14"/>
  <c r="Z65" i="77" s="1"/>
  <c r="Y65" i="77" s="1"/>
  <c r="U65" i="14"/>
  <c r="U65" i="76" s="1"/>
  <c r="T65" i="76" s="1"/>
  <c r="P65" i="14"/>
  <c r="P65" i="77" s="1"/>
  <c r="O65" i="77" s="1"/>
  <c r="J65" i="14"/>
  <c r="J65" i="77" s="1"/>
  <c r="I65" i="77" s="1"/>
  <c r="Y64" i="14"/>
  <c r="T64" i="14"/>
  <c r="Z36" i="14"/>
  <c r="Y36" i="14" s="1"/>
  <c r="U36" i="14"/>
  <c r="T36" i="14" s="1"/>
  <c r="P36" i="14"/>
  <c r="J36" i="14"/>
  <c r="Y35" i="14"/>
  <c r="T35" i="14"/>
  <c r="F205" i="52"/>
  <c r="F210" i="52" s="1"/>
  <c r="F35" i="48"/>
  <c r="F34" i="48"/>
  <c r="K204" i="52"/>
  <c r="J208" i="52" s="1"/>
  <c r="D68" i="24"/>
  <c r="E58" i="24"/>
  <c r="D58" i="24"/>
  <c r="E54" i="24"/>
  <c r="D54" i="24"/>
  <c r="D43" i="24"/>
  <c r="E43" i="24"/>
  <c r="E39" i="24"/>
  <c r="D39" i="24"/>
  <c r="J186" i="64" l="1"/>
  <c r="J185" i="64"/>
  <c r="Q121" i="77"/>
  <c r="Q131" i="77" s="1"/>
  <c r="O81" i="77"/>
  <c r="T81" i="77"/>
  <c r="T51" i="77"/>
  <c r="T38" i="77"/>
  <c r="V122" i="77"/>
  <c r="T53" i="77"/>
  <c r="J104" i="77"/>
  <c r="I20" i="81" s="1"/>
  <c r="I35" i="77"/>
  <c r="J120" i="77"/>
  <c r="I51" i="77"/>
  <c r="O39" i="77"/>
  <c r="I41" i="77"/>
  <c r="Q123" i="77"/>
  <c r="O54" i="77"/>
  <c r="Z120" i="77"/>
  <c r="Y51" i="77"/>
  <c r="J108" i="77"/>
  <c r="I39" i="77"/>
  <c r="K123" i="77"/>
  <c r="C19" i="77" s="1"/>
  <c r="I54" i="77"/>
  <c r="AA122" i="77"/>
  <c r="Y53" i="77"/>
  <c r="I80" i="76"/>
  <c r="Q121" i="76"/>
  <c r="O81" i="76"/>
  <c r="T41" i="76"/>
  <c r="O39" i="76"/>
  <c r="T67" i="76"/>
  <c r="Y70" i="76"/>
  <c r="P121" i="76"/>
  <c r="O52" i="76"/>
  <c r="U115" i="76"/>
  <c r="T115" i="76" s="1"/>
  <c r="T46" i="76"/>
  <c r="Z120" i="76"/>
  <c r="Y51" i="76"/>
  <c r="Y67" i="76"/>
  <c r="T44" i="76"/>
  <c r="Y39" i="76"/>
  <c r="K123" i="76"/>
  <c r="I54" i="76"/>
  <c r="T38" i="76"/>
  <c r="Z115" i="76"/>
  <c r="Y115" i="76" s="1"/>
  <c r="Y46" i="76"/>
  <c r="Y38" i="76"/>
  <c r="AA123" i="76"/>
  <c r="Y123" i="76" s="1"/>
  <c r="Y54" i="76"/>
  <c r="Y73" i="76"/>
  <c r="J111" i="76"/>
  <c r="I111" i="76" s="1"/>
  <c r="L117" i="76"/>
  <c r="I117" i="76" s="1"/>
  <c r="J112" i="77"/>
  <c r="Y67" i="77"/>
  <c r="U106" i="76"/>
  <c r="T106" i="76" s="1"/>
  <c r="V110" i="76"/>
  <c r="U121" i="76"/>
  <c r="Z112" i="76"/>
  <c r="Y112" i="76" s="1"/>
  <c r="AA110" i="76"/>
  <c r="Z106" i="77"/>
  <c r="J111" i="77"/>
  <c r="U111" i="76"/>
  <c r="T111" i="76" s="1"/>
  <c r="J107" i="77"/>
  <c r="U115" i="77"/>
  <c r="Z115" i="77"/>
  <c r="Z110" i="77"/>
  <c r="P121" i="77"/>
  <c r="P131" i="77" s="1"/>
  <c r="Z108" i="77"/>
  <c r="K120" i="77"/>
  <c r="P65" i="76"/>
  <c r="O65" i="76" s="1"/>
  <c r="J110" i="77"/>
  <c r="Z105" i="14"/>
  <c r="U112" i="77"/>
  <c r="J114" i="77"/>
  <c r="Z109" i="77"/>
  <c r="J104" i="76"/>
  <c r="I104" i="76" s="1"/>
  <c r="U65" i="77"/>
  <c r="T65" i="77" s="1"/>
  <c r="J105" i="14"/>
  <c r="Z65" i="76"/>
  <c r="Y65" i="76" s="1"/>
  <c r="J65" i="76"/>
  <c r="I65" i="76" s="1"/>
  <c r="P105" i="14"/>
  <c r="J36" i="76"/>
  <c r="I36" i="76" s="1"/>
  <c r="Z36" i="77"/>
  <c r="Z36" i="76"/>
  <c r="Y36" i="76" s="1"/>
  <c r="P36" i="76"/>
  <c r="O36" i="76" s="1"/>
  <c r="U105" i="14"/>
  <c r="T105" i="14" s="1"/>
  <c r="J36" i="77"/>
  <c r="I36" i="77" s="1"/>
  <c r="P36" i="77"/>
  <c r="O36" i="77" s="1"/>
  <c r="U36" i="76"/>
  <c r="T36" i="76" s="1"/>
  <c r="U36" i="77"/>
  <c r="T36" i="77" s="1"/>
  <c r="U107" i="77"/>
  <c r="AA123" i="77"/>
  <c r="P103" i="77"/>
  <c r="Y73" i="77"/>
  <c r="Z104" i="77"/>
  <c r="U110" i="77"/>
  <c r="Z114" i="77"/>
  <c r="U114" i="77"/>
  <c r="AA122" i="76"/>
  <c r="Y122" i="76" s="1"/>
  <c r="U111" i="77"/>
  <c r="W116" i="77"/>
  <c r="Z111" i="77"/>
  <c r="J112" i="76"/>
  <c r="I112" i="76" s="1"/>
  <c r="U109" i="76"/>
  <c r="Z114" i="76"/>
  <c r="Y114" i="76" s="1"/>
  <c r="Z109" i="76"/>
  <c r="AC113" i="76"/>
  <c r="Z107" i="77"/>
  <c r="Y64" i="77"/>
  <c r="L116" i="77"/>
  <c r="U121" i="77"/>
  <c r="J106" i="77"/>
  <c r="C20" i="77" s="1"/>
  <c r="Z113" i="77"/>
  <c r="Z113" i="76"/>
  <c r="AA110" i="77"/>
  <c r="X113" i="76"/>
  <c r="W117" i="77"/>
  <c r="U107" i="76"/>
  <c r="U113" i="77"/>
  <c r="V110" i="77"/>
  <c r="AB116" i="76"/>
  <c r="Z112" i="77"/>
  <c r="P106" i="76"/>
  <c r="U113" i="76"/>
  <c r="AA107" i="77"/>
  <c r="AA120" i="77"/>
  <c r="Y70" i="77"/>
  <c r="Z103" i="77"/>
  <c r="X113" i="77"/>
  <c r="V120" i="77"/>
  <c r="U120" i="77"/>
  <c r="V107" i="77"/>
  <c r="U104" i="77"/>
  <c r="U106" i="77"/>
  <c r="U103" i="77"/>
  <c r="P106" i="77"/>
  <c r="P104" i="77"/>
  <c r="AB117" i="77"/>
  <c r="AB116" i="77"/>
  <c r="AC113" i="77"/>
  <c r="U109" i="77"/>
  <c r="P108" i="77"/>
  <c r="D21" i="77" s="1"/>
  <c r="K122" i="77"/>
  <c r="L117" i="77"/>
  <c r="AA120" i="76"/>
  <c r="Y120" i="76" s="1"/>
  <c r="AB117" i="76"/>
  <c r="AA107" i="76"/>
  <c r="Z110" i="76"/>
  <c r="Z103" i="76"/>
  <c r="V121" i="76"/>
  <c r="U120" i="76"/>
  <c r="U114" i="76"/>
  <c r="T114" i="76" s="1"/>
  <c r="P108" i="76"/>
  <c r="L116" i="76"/>
  <c r="I116" i="76" s="1"/>
  <c r="K120" i="76"/>
  <c r="J114" i="76"/>
  <c r="I114" i="76" s="1"/>
  <c r="Z108" i="76"/>
  <c r="V122" i="76"/>
  <c r="T122" i="76" s="1"/>
  <c r="Q123" i="76"/>
  <c r="J120" i="76"/>
  <c r="J103" i="76"/>
  <c r="I103" i="76" s="1"/>
  <c r="J108" i="76"/>
  <c r="J106" i="76"/>
  <c r="Z111" i="76"/>
  <c r="Z107" i="76"/>
  <c r="Z106" i="76"/>
  <c r="Z104" i="76"/>
  <c r="V120" i="76"/>
  <c r="W117" i="76"/>
  <c r="W116" i="76"/>
  <c r="U112" i="76"/>
  <c r="T112" i="76" s="1"/>
  <c r="U110" i="76"/>
  <c r="V107" i="76"/>
  <c r="U104" i="76"/>
  <c r="U103" i="76"/>
  <c r="T103" i="76" s="1"/>
  <c r="Q108" i="76"/>
  <c r="P104" i="76"/>
  <c r="O104" i="76" s="1"/>
  <c r="P103" i="76"/>
  <c r="O103" i="76" s="1"/>
  <c r="K122" i="76"/>
  <c r="I122" i="76" s="1"/>
  <c r="J110" i="76"/>
  <c r="I110" i="76" s="1"/>
  <c r="K108" i="76"/>
  <c r="J107" i="76"/>
  <c r="I107" i="76" s="1"/>
  <c r="E122" i="64"/>
  <c r="G123" i="64" s="1"/>
  <c r="G187" i="64"/>
  <c r="E66" i="64"/>
  <c r="E155" i="38"/>
  <c r="F155" i="38" s="1"/>
  <c r="G155" i="38" s="1"/>
  <c r="H155" i="38" s="1"/>
  <c r="I155" i="38" s="1"/>
  <c r="J155" i="38" s="1"/>
  <c r="E154" i="38"/>
  <c r="F154" i="38" s="1"/>
  <c r="G154" i="38" s="1"/>
  <c r="H154" i="38" s="1"/>
  <c r="I154" i="38" s="1"/>
  <c r="J154" i="38" s="1"/>
  <c r="E153" i="38"/>
  <c r="F153" i="38" s="1"/>
  <c r="G153" i="38" s="1"/>
  <c r="H153" i="38" s="1"/>
  <c r="I153" i="38" s="1"/>
  <c r="J153" i="38" s="1"/>
  <c r="E152" i="38"/>
  <c r="F152" i="38" s="1"/>
  <c r="G152" i="38" s="1"/>
  <c r="H152" i="38" s="1"/>
  <c r="I152" i="38" s="1"/>
  <c r="J152" i="38" s="1"/>
  <c r="S180" i="64" l="1"/>
  <c r="S181" i="64"/>
  <c r="D19" i="77"/>
  <c r="D23" i="77"/>
  <c r="D22" i="77"/>
  <c r="X20" i="81"/>
  <c r="I29" i="81"/>
  <c r="Z105" i="77"/>
  <c r="Y36" i="77"/>
  <c r="I30" i="81"/>
  <c r="I120" i="76"/>
  <c r="C19" i="76"/>
  <c r="I123" i="76"/>
  <c r="O121" i="76"/>
  <c r="D19" i="76"/>
  <c r="O123" i="76"/>
  <c r="C20" i="76"/>
  <c r="I106" i="76"/>
  <c r="K21" i="80" s="1"/>
  <c r="O106" i="76"/>
  <c r="I108" i="76"/>
  <c r="O108" i="76"/>
  <c r="P105" i="76"/>
  <c r="O105" i="76" s="1"/>
  <c r="U105" i="76"/>
  <c r="T105" i="76" s="1"/>
  <c r="T121" i="76"/>
  <c r="X85" i="81"/>
  <c r="Z105" i="76"/>
  <c r="Y105" i="76" s="1"/>
  <c r="I93" i="81"/>
  <c r="W20" i="81"/>
  <c r="H30" i="81"/>
  <c r="W27" i="81"/>
  <c r="H25" i="81"/>
  <c r="H27" i="81"/>
  <c r="X89" i="81"/>
  <c r="AE107" i="77"/>
  <c r="J122" i="64"/>
  <c r="J121" i="64"/>
  <c r="C21" i="77"/>
  <c r="C23" i="77" s="1"/>
  <c r="I85" i="81"/>
  <c r="P105" i="77"/>
  <c r="Z20" i="81"/>
  <c r="W88" i="81"/>
  <c r="I25" i="81"/>
  <c r="K22" i="81"/>
  <c r="X88" i="81"/>
  <c r="X20" i="80"/>
  <c r="Z20" i="80"/>
  <c r="C22" i="76"/>
  <c r="C18" i="77"/>
  <c r="C24" i="77" s="1"/>
  <c r="U105" i="77"/>
  <c r="C18" i="76"/>
  <c r="W67" i="80"/>
  <c r="D21" i="76"/>
  <c r="H20" i="81"/>
  <c r="C22" i="77"/>
  <c r="J105" i="77"/>
  <c r="X89" i="80"/>
  <c r="K20" i="81"/>
  <c r="W27" i="80"/>
  <c r="C21" i="76"/>
  <c r="C23" i="76" s="1"/>
  <c r="K93" i="81"/>
  <c r="F78" i="52"/>
  <c r="D22" i="76"/>
  <c r="Y113" i="76"/>
  <c r="K87" i="81"/>
  <c r="X29" i="80"/>
  <c r="G74" i="80"/>
  <c r="G75" i="80"/>
  <c r="J92" i="81"/>
  <c r="Z88" i="81"/>
  <c r="J87" i="81"/>
  <c r="J93" i="81"/>
  <c r="J85" i="81"/>
  <c r="Y85" i="81" s="1"/>
  <c r="J89" i="81"/>
  <c r="I88" i="81"/>
  <c r="AB28" i="80"/>
  <c r="W28" i="80"/>
  <c r="Z28" i="80"/>
  <c r="I89" i="81"/>
  <c r="T113" i="76"/>
  <c r="H87" i="81"/>
  <c r="H92" i="81"/>
  <c r="Z86" i="81"/>
  <c r="H89" i="81"/>
  <c r="H93" i="81"/>
  <c r="H88" i="81"/>
  <c r="H85" i="81"/>
  <c r="H92" i="80"/>
  <c r="Z86" i="80"/>
  <c r="H93" i="80"/>
  <c r="H87" i="80"/>
  <c r="H89" i="80"/>
  <c r="X21" i="80"/>
  <c r="W21" i="80"/>
  <c r="Z21" i="80"/>
  <c r="Y103" i="76"/>
  <c r="Z83" i="80" s="1"/>
  <c r="X83" i="80"/>
  <c r="W83" i="80"/>
  <c r="X48" i="81"/>
  <c r="V55" i="80"/>
  <c r="X48" i="80"/>
  <c r="H75" i="80"/>
  <c r="H67" i="80"/>
  <c r="H73" i="80"/>
  <c r="H74" i="80"/>
  <c r="Z74" i="81"/>
  <c r="W74" i="81"/>
  <c r="K86" i="81"/>
  <c r="M29" i="80"/>
  <c r="M20" i="80"/>
  <c r="AB20" i="80" s="1"/>
  <c r="M28" i="80"/>
  <c r="AF107" i="76"/>
  <c r="H28" i="80"/>
  <c r="H25" i="80"/>
  <c r="H30" i="80"/>
  <c r="H27" i="80"/>
  <c r="H20" i="80"/>
  <c r="H29" i="80"/>
  <c r="T110" i="76"/>
  <c r="K67" i="80"/>
  <c r="K68" i="80"/>
  <c r="K75" i="80"/>
  <c r="K74" i="80"/>
  <c r="K73" i="80"/>
  <c r="AI107" i="77"/>
  <c r="Z68" i="81"/>
  <c r="Y104" i="76"/>
  <c r="H84" i="80" s="1"/>
  <c r="W84" i="80"/>
  <c r="X84" i="80"/>
  <c r="X86" i="81"/>
  <c r="M74" i="80"/>
  <c r="M67" i="80"/>
  <c r="AB67" i="80" s="1"/>
  <c r="M75" i="80"/>
  <c r="Y106" i="76"/>
  <c r="I85" i="80" s="1"/>
  <c r="W85" i="80"/>
  <c r="X85" i="80"/>
  <c r="Y75" i="81"/>
  <c r="Z70" i="81"/>
  <c r="W70" i="81"/>
  <c r="H91" i="81"/>
  <c r="X91" i="81"/>
  <c r="Z91" i="81"/>
  <c r="W91" i="81"/>
  <c r="I20" i="80"/>
  <c r="I25" i="80"/>
  <c r="I29" i="80"/>
  <c r="I28" i="80"/>
  <c r="I30" i="80"/>
  <c r="I27" i="80"/>
  <c r="Y110" i="76"/>
  <c r="I89" i="80" s="1"/>
  <c r="K93" i="80"/>
  <c r="K86" i="80"/>
  <c r="K87" i="80"/>
  <c r="K92" i="80"/>
  <c r="Z29" i="81"/>
  <c r="W29" i="81"/>
  <c r="X29" i="81"/>
  <c r="AB92" i="81"/>
  <c r="Z92" i="81"/>
  <c r="Y92" i="81"/>
  <c r="X92" i="81"/>
  <c r="W92" i="81"/>
  <c r="V92" i="81"/>
  <c r="V29" i="81"/>
  <c r="Z21" i="81"/>
  <c r="X21" i="81"/>
  <c r="W21" i="81"/>
  <c r="Y109" i="76"/>
  <c r="K88" i="80" s="1"/>
  <c r="W88" i="80"/>
  <c r="X88" i="80"/>
  <c r="Z73" i="81"/>
  <c r="W73" i="81"/>
  <c r="Z29" i="80"/>
  <c r="K29" i="81"/>
  <c r="K88" i="81"/>
  <c r="AB29" i="80"/>
  <c r="W85" i="81"/>
  <c r="I92" i="81"/>
  <c r="H75" i="81"/>
  <c r="H74" i="81"/>
  <c r="Z73" i="80"/>
  <c r="Z67" i="80"/>
  <c r="K75" i="81"/>
  <c r="K68" i="81"/>
  <c r="K74" i="81"/>
  <c r="M65" i="80"/>
  <c r="AB65" i="80" s="1"/>
  <c r="Z65" i="80"/>
  <c r="W65" i="80"/>
  <c r="T116" i="76"/>
  <c r="Z74" i="80"/>
  <c r="W74" i="80"/>
  <c r="V74" i="80"/>
  <c r="Y111" i="76"/>
  <c r="H91" i="80" s="1"/>
  <c r="Z91" i="80"/>
  <c r="X91" i="80"/>
  <c r="W91" i="80"/>
  <c r="X93" i="81"/>
  <c r="V93" i="81"/>
  <c r="AB93" i="81"/>
  <c r="Z93" i="81"/>
  <c r="Y93" i="81"/>
  <c r="W93" i="81"/>
  <c r="Y103" i="77"/>
  <c r="J83" i="81" s="1"/>
  <c r="Y83" i="81" s="1"/>
  <c r="X83" i="81"/>
  <c r="W83" i="81"/>
  <c r="H84" i="81"/>
  <c r="W84" i="81"/>
  <c r="X84" i="81"/>
  <c r="T117" i="76"/>
  <c r="W75" i="80"/>
  <c r="V75" i="80"/>
  <c r="Z75" i="80"/>
  <c r="Z28" i="81"/>
  <c r="X28" i="81"/>
  <c r="F28" i="81"/>
  <c r="F30" i="81"/>
  <c r="F29" i="81"/>
  <c r="W30" i="80"/>
  <c r="W29" i="80"/>
  <c r="G93" i="81"/>
  <c r="Z85" i="81"/>
  <c r="G92" i="81"/>
  <c r="I27" i="81"/>
  <c r="I86" i="81"/>
  <c r="Z87" i="81"/>
  <c r="H28" i="81"/>
  <c r="I47" i="80"/>
  <c r="X47" i="80"/>
  <c r="X47" i="81"/>
  <c r="K92" i="81"/>
  <c r="K22" i="80"/>
  <c r="K29" i="80"/>
  <c r="K28" i="80"/>
  <c r="K20" i="80"/>
  <c r="K27" i="80"/>
  <c r="H19" i="80"/>
  <c r="X19" i="80"/>
  <c r="Z19" i="80"/>
  <c r="X86" i="80"/>
  <c r="K65" i="81"/>
  <c r="Z65" i="81"/>
  <c r="W65" i="81"/>
  <c r="T104" i="76"/>
  <c r="W66" i="80"/>
  <c r="Z66" i="80"/>
  <c r="Y117" i="76"/>
  <c r="V93" i="80"/>
  <c r="AB93" i="80"/>
  <c r="Z93" i="80"/>
  <c r="W93" i="80"/>
  <c r="X93" i="80"/>
  <c r="Y93" i="80"/>
  <c r="H67" i="81"/>
  <c r="W67" i="81"/>
  <c r="Z67" i="81"/>
  <c r="Z75" i="81"/>
  <c r="W75" i="81"/>
  <c r="I46" i="80"/>
  <c r="X46" i="80"/>
  <c r="Z68" i="80"/>
  <c r="T120" i="76"/>
  <c r="Y108" i="76"/>
  <c r="I93" i="80"/>
  <c r="I92" i="80"/>
  <c r="I83" i="80"/>
  <c r="Z87" i="80"/>
  <c r="I86" i="80"/>
  <c r="X55" i="81"/>
  <c r="Z19" i="81"/>
  <c r="X19" i="81"/>
  <c r="W66" i="81"/>
  <c r="Z66" i="81"/>
  <c r="Y116" i="76"/>
  <c r="AB92" i="80"/>
  <c r="Y92" i="80"/>
  <c r="X92" i="80"/>
  <c r="W92" i="80"/>
  <c r="Z92" i="80"/>
  <c r="V92" i="80"/>
  <c r="T109" i="76"/>
  <c r="H70" i="80" s="1"/>
  <c r="W70" i="80"/>
  <c r="Z70" i="80"/>
  <c r="I46" i="81"/>
  <c r="X46" i="81"/>
  <c r="K85" i="81"/>
  <c r="W73" i="80"/>
  <c r="F28" i="80"/>
  <c r="F30" i="80"/>
  <c r="F29" i="80"/>
  <c r="I28" i="81"/>
  <c r="H29" i="81"/>
  <c r="K28" i="81"/>
  <c r="AL107" i="77"/>
  <c r="T107" i="76"/>
  <c r="AJ107" i="76" s="1"/>
  <c r="Y107" i="76"/>
  <c r="AL107" i="76" s="1"/>
  <c r="AF107" i="77"/>
  <c r="X55" i="80"/>
  <c r="J105" i="76"/>
  <c r="I105" i="76" s="1"/>
  <c r="G27" i="24"/>
  <c r="E27" i="24"/>
  <c r="S116" i="64" l="1"/>
  <c r="AB28" i="81"/>
  <c r="M28" i="81"/>
  <c r="M19" i="81"/>
  <c r="AB19" i="81" s="1"/>
  <c r="M20" i="81"/>
  <c r="AB20" i="81" s="1"/>
  <c r="AB29" i="81"/>
  <c r="K27" i="81"/>
  <c r="M29" i="81"/>
  <c r="C24" i="76"/>
  <c r="D23" i="76"/>
  <c r="K83" i="80"/>
  <c r="I84" i="80"/>
  <c r="G83" i="81"/>
  <c r="V83" i="81" s="1"/>
  <c r="AJ107" i="77"/>
  <c r="I91" i="80"/>
  <c r="I48" i="80"/>
  <c r="H65" i="81"/>
  <c r="K84" i="80"/>
  <c r="I88" i="80"/>
  <c r="K91" i="81"/>
  <c r="V75" i="81"/>
  <c r="H88" i="80"/>
  <c r="AE107" i="76"/>
  <c r="AI107" i="76"/>
  <c r="V74" i="81"/>
  <c r="F46" i="80"/>
  <c r="U46" i="80" s="1"/>
  <c r="F65" i="80"/>
  <c r="U65" i="80" s="1"/>
  <c r="K91" i="80"/>
  <c r="J73" i="81"/>
  <c r="Y73" i="81" s="1"/>
  <c r="J74" i="81"/>
  <c r="J71" i="81"/>
  <c r="J65" i="81"/>
  <c r="Y65" i="81" s="1"/>
  <c r="J66" i="81"/>
  <c r="Y66" i="81" s="1"/>
  <c r="J67" i="81"/>
  <c r="Y67" i="81" s="1"/>
  <c r="J75" i="81"/>
  <c r="K19" i="81"/>
  <c r="H19" i="81"/>
  <c r="I19" i="81"/>
  <c r="F46" i="81"/>
  <c r="U46" i="81" s="1"/>
  <c r="Z84" i="81"/>
  <c r="F83" i="81"/>
  <c r="U83" i="81" s="1"/>
  <c r="F92" i="81"/>
  <c r="F93" i="81"/>
  <c r="I84" i="81"/>
  <c r="G92" i="80"/>
  <c r="Z85" i="80"/>
  <c r="G93" i="80"/>
  <c r="G83" i="80"/>
  <c r="V83" i="80" s="1"/>
  <c r="G84" i="80"/>
  <c r="V84" i="80" s="1"/>
  <c r="M19" i="80"/>
  <c r="AB19" i="80" s="1"/>
  <c r="Y74" i="81"/>
  <c r="H66" i="80"/>
  <c r="J84" i="81"/>
  <c r="Y84" i="81" s="1"/>
  <c r="G66" i="80"/>
  <c r="V66" i="80" s="1"/>
  <c r="M74" i="81"/>
  <c r="M65" i="81"/>
  <c r="AB65" i="81" s="1"/>
  <c r="M67" i="81"/>
  <c r="AB67" i="81" s="1"/>
  <c r="M75" i="81"/>
  <c r="M66" i="81"/>
  <c r="I19" i="80"/>
  <c r="AK107" i="76"/>
  <c r="F19" i="80"/>
  <c r="U19" i="80" s="1"/>
  <c r="J74" i="80"/>
  <c r="J71" i="80"/>
  <c r="J65" i="80"/>
  <c r="Y65" i="80" s="1"/>
  <c r="J67" i="80"/>
  <c r="Y67" i="80" s="1"/>
  <c r="J66" i="80"/>
  <c r="Y66" i="80" s="1"/>
  <c r="J75" i="80"/>
  <c r="J73" i="80"/>
  <c r="Y73" i="80" s="1"/>
  <c r="K19" i="80"/>
  <c r="G84" i="81"/>
  <c r="V84" i="81" s="1"/>
  <c r="F19" i="81"/>
  <c r="U19" i="81" s="1"/>
  <c r="Y74" i="80"/>
  <c r="K73" i="81"/>
  <c r="H73" i="81"/>
  <c r="M66" i="80"/>
  <c r="K65" i="80"/>
  <c r="H21" i="80"/>
  <c r="G65" i="80"/>
  <c r="V65" i="80" s="1"/>
  <c r="G47" i="81"/>
  <c r="V47" i="81" s="1"/>
  <c r="G46" i="81"/>
  <c r="V46" i="81" s="1"/>
  <c r="I47" i="81"/>
  <c r="K84" i="81"/>
  <c r="K70" i="81"/>
  <c r="J92" i="80"/>
  <c r="Z88" i="80"/>
  <c r="J87" i="80"/>
  <c r="J93" i="80"/>
  <c r="J85" i="80"/>
  <c r="Y85" i="80" s="1"/>
  <c r="J84" i="80"/>
  <c r="Y84" i="80" s="1"/>
  <c r="J83" i="80"/>
  <c r="Y83" i="80" s="1"/>
  <c r="J91" i="80"/>
  <c r="Y91" i="80" s="1"/>
  <c r="J89" i="80"/>
  <c r="M92" i="81"/>
  <c r="M93" i="81"/>
  <c r="M85" i="81"/>
  <c r="AB85" i="81" s="1"/>
  <c r="M84" i="81"/>
  <c r="AB84" i="81" s="1"/>
  <c r="M83" i="81"/>
  <c r="AB83" i="81" s="1"/>
  <c r="I91" i="81"/>
  <c r="F83" i="80"/>
  <c r="U83" i="80" s="1"/>
  <c r="F92" i="80"/>
  <c r="Z84" i="80"/>
  <c r="F93" i="80"/>
  <c r="K70" i="80"/>
  <c r="M83" i="80"/>
  <c r="AB83" i="80" s="1"/>
  <c r="M93" i="80"/>
  <c r="M85" i="80"/>
  <c r="AB85" i="80" s="1"/>
  <c r="M92" i="80"/>
  <c r="M84" i="80"/>
  <c r="AB84" i="80" s="1"/>
  <c r="G29" i="81"/>
  <c r="G20" i="81"/>
  <c r="V20" i="81" s="1"/>
  <c r="G19" i="81"/>
  <c r="V19" i="81" s="1"/>
  <c r="G28" i="81"/>
  <c r="G30" i="81"/>
  <c r="K21" i="81"/>
  <c r="H21" i="81"/>
  <c r="I21" i="81"/>
  <c r="V30" i="81"/>
  <c r="G19" i="80"/>
  <c r="V19" i="80" s="1"/>
  <c r="G20" i="80"/>
  <c r="V20" i="80" s="1"/>
  <c r="G30" i="80"/>
  <c r="G28" i="80"/>
  <c r="G29" i="80"/>
  <c r="V30" i="80"/>
  <c r="V29" i="80"/>
  <c r="F65" i="81"/>
  <c r="U65" i="81" s="1"/>
  <c r="G75" i="81"/>
  <c r="G74" i="81"/>
  <c r="G65" i="81"/>
  <c r="V65" i="81" s="1"/>
  <c r="G66" i="81"/>
  <c r="V66" i="81" s="1"/>
  <c r="V28" i="81"/>
  <c r="Z83" i="81"/>
  <c r="I83" i="81"/>
  <c r="K67" i="81"/>
  <c r="H70" i="81"/>
  <c r="M21" i="81"/>
  <c r="AB21" i="81" s="1"/>
  <c r="K85" i="80"/>
  <c r="M21" i="80"/>
  <c r="AB21" i="80" s="1"/>
  <c r="H65" i="80"/>
  <c r="H83" i="80"/>
  <c r="H83" i="81"/>
  <c r="J91" i="81"/>
  <c r="Y91" i="81" s="1"/>
  <c r="I48" i="81"/>
  <c r="Y75" i="80"/>
  <c r="K66" i="81"/>
  <c r="H66" i="81"/>
  <c r="K83" i="81"/>
  <c r="I21" i="80"/>
  <c r="K66" i="80"/>
  <c r="G47" i="80"/>
  <c r="V47" i="80" s="1"/>
  <c r="G46" i="80"/>
  <c r="V46" i="80" s="1"/>
  <c r="H85" i="80"/>
  <c r="AK107" i="77"/>
  <c r="AA122" i="14"/>
  <c r="AA123" i="14"/>
  <c r="V122" i="14"/>
  <c r="Q123" i="14"/>
  <c r="D19" i="14" s="1"/>
  <c r="K123" i="14"/>
  <c r="C19" i="14" s="1"/>
  <c r="K122" i="14"/>
  <c r="C18" i="14" s="1"/>
  <c r="G61" i="64"/>
  <c r="H45" i="61"/>
  <c r="Q310" i="64"/>
  <c r="J310" i="64"/>
  <c r="Q309" i="64"/>
  <c r="J309" i="64"/>
  <c r="Q259" i="64"/>
  <c r="J259" i="64"/>
  <c r="Q258" i="64"/>
  <c r="J258" i="64"/>
  <c r="K229" i="64"/>
  <c r="I217" i="64"/>
  <c r="Q207" i="64"/>
  <c r="J207" i="64"/>
  <c r="Q206" i="64"/>
  <c r="J206" i="64"/>
  <c r="I162" i="64"/>
  <c r="Q152" i="64"/>
  <c r="J152" i="64"/>
  <c r="Q151" i="64"/>
  <c r="J151" i="64"/>
  <c r="I99" i="64"/>
  <c r="Q88" i="64"/>
  <c r="J88" i="64"/>
  <c r="Q87" i="64"/>
  <c r="J87" i="64"/>
  <c r="I35" i="64"/>
  <c r="J190" i="52"/>
  <c r="K169" i="52"/>
  <c r="J191" i="52"/>
  <c r="I159" i="52"/>
  <c r="J148" i="52"/>
  <c r="J149" i="52"/>
  <c r="I120" i="52"/>
  <c r="J56" i="52"/>
  <c r="J57" i="52"/>
  <c r="J109" i="52"/>
  <c r="J110" i="52"/>
  <c r="J71" i="52"/>
  <c r="Q71" i="52"/>
  <c r="Q304" i="64" l="1" a="1"/>
  <c r="Q304" i="64" s="1"/>
  <c r="Q303" i="64" s="1"/>
  <c r="N303" i="64"/>
  <c r="I50" i="52"/>
  <c r="J73" i="61"/>
  <c r="F104" i="61"/>
  <c r="F100" i="61"/>
  <c r="E100" i="24"/>
  <c r="D103" i="24"/>
  <c r="D101" i="24"/>
  <c r="E101" i="24"/>
  <c r="E131" i="64" l="1"/>
  <c r="E69" i="64"/>
  <c r="G66" i="64"/>
  <c r="F108" i="61"/>
  <c r="I86" i="61" l="1"/>
  <c r="J88" i="61" s="1"/>
  <c r="I85" i="61"/>
  <c r="I74" i="61"/>
  <c r="G78" i="61"/>
  <c r="G73" i="61"/>
  <c r="Q176" i="61"/>
  <c r="J176" i="61"/>
  <c r="Q175" i="61"/>
  <c r="J175" i="61"/>
  <c r="G163" i="61"/>
  <c r="G165" i="61" s="1"/>
  <c r="G161" i="61"/>
  <c r="Q151" i="61"/>
  <c r="J151" i="61"/>
  <c r="Q150" i="61"/>
  <c r="J150" i="61"/>
  <c r="H148" i="61"/>
  <c r="L145" i="61"/>
  <c r="I145" i="61"/>
  <c r="Q132" i="61"/>
  <c r="J132" i="61"/>
  <c r="Q131" i="61"/>
  <c r="J131" i="61"/>
  <c r="H129" i="61"/>
  <c r="L127" i="61"/>
  <c r="I127" i="61"/>
  <c r="O126" i="61"/>
  <c r="G120" i="61"/>
  <c r="Q113" i="61"/>
  <c r="J113" i="61"/>
  <c r="Q112" i="61"/>
  <c r="J112" i="61"/>
  <c r="F96" i="61"/>
  <c r="F92" i="61"/>
  <c r="Q61" i="61"/>
  <c r="J61" i="61"/>
  <c r="Q60" i="61"/>
  <c r="J60" i="61"/>
  <c r="H49" i="61"/>
  <c r="N43" i="61"/>
  <c r="M43" i="61" s="1"/>
  <c r="N42" i="61"/>
  <c r="L42" i="61"/>
  <c r="I42" i="61"/>
  <c r="G34" i="61"/>
  <c r="G33" i="61"/>
  <c r="G31" i="61"/>
  <c r="Q109" i="52"/>
  <c r="M72" i="61" l="1"/>
  <c r="I89" i="61"/>
  <c r="L41" i="61"/>
  <c r="Q127" i="61" a="1"/>
  <c r="Q127" i="61" s="1"/>
  <c r="N44" i="61"/>
  <c r="J127" i="61" a="1"/>
  <c r="J127" i="61" s="1"/>
  <c r="J126" i="61" s="1"/>
  <c r="N126" i="61" s="1"/>
  <c r="Q126" i="61" s="1"/>
  <c r="O41" i="61"/>
  <c r="AB117" i="14" l="1"/>
  <c r="AB116" i="14"/>
  <c r="T116" i="14"/>
  <c r="L117" i="14"/>
  <c r="L116" i="14"/>
  <c r="T77" i="14"/>
  <c r="T76" i="14"/>
  <c r="Y77" i="14"/>
  <c r="Y76" i="14"/>
  <c r="Y47" i="14"/>
  <c r="Y48" i="14"/>
  <c r="T47" i="14"/>
  <c r="T48" i="14"/>
  <c r="M12" i="14"/>
  <c r="N107" i="36"/>
  <c r="N101" i="36"/>
  <c r="N94" i="36"/>
  <c r="N88" i="36"/>
  <c r="N81" i="36"/>
  <c r="Q48" i="36"/>
  <c r="Q42" i="36"/>
  <c r="Q35" i="36"/>
  <c r="Q28" i="36"/>
  <c r="Q21" i="36"/>
  <c r="N28" i="36"/>
  <c r="N21" i="36"/>
  <c r="B25" i="59"/>
  <c r="C13" i="59"/>
  <c r="C12" i="59"/>
  <c r="D11" i="59"/>
  <c r="C11" i="59"/>
  <c r="D10" i="59"/>
  <c r="C10" i="59"/>
  <c r="L9" i="59"/>
  <c r="J9" i="59"/>
  <c r="F9" i="59"/>
  <c r="G9" i="59" s="1"/>
  <c r="D9" i="59"/>
  <c r="C9" i="59"/>
  <c r="L8" i="59"/>
  <c r="L13" i="59" s="1"/>
  <c r="K8" i="59"/>
  <c r="K13" i="59" s="1"/>
  <c r="F8" i="59"/>
  <c r="J8" i="59" s="1"/>
  <c r="D8" i="59"/>
  <c r="D13" i="59" s="1"/>
  <c r="L7" i="59"/>
  <c r="L12" i="59" s="1"/>
  <c r="K7" i="59"/>
  <c r="K12" i="59" s="1"/>
  <c r="F7" i="59"/>
  <c r="F12" i="59" s="1"/>
  <c r="D7" i="59"/>
  <c r="D12" i="59" s="1"/>
  <c r="L6" i="59"/>
  <c r="L11" i="59" s="1"/>
  <c r="K6" i="59"/>
  <c r="K11" i="59" s="1"/>
  <c r="F6" i="59"/>
  <c r="J6" i="59" s="1"/>
  <c r="L5" i="59"/>
  <c r="L10" i="59" s="1"/>
  <c r="K5" i="59"/>
  <c r="K10" i="59" s="1"/>
  <c r="J5" i="59"/>
  <c r="F5" i="59"/>
  <c r="F10" i="59" s="1"/>
  <c r="L4" i="59"/>
  <c r="K4" i="59"/>
  <c r="K9" i="59" s="1"/>
  <c r="J4" i="59"/>
  <c r="F4" i="59"/>
  <c r="G4" i="59" s="1"/>
  <c r="D4" i="59"/>
  <c r="F40" i="64" l="1"/>
  <c r="S48" i="64" s="1"/>
  <c r="T48" i="64" s="1"/>
  <c r="S49" i="64" s="1"/>
  <c r="F159" i="52"/>
  <c r="F162" i="52" s="1"/>
  <c r="T117" i="14"/>
  <c r="F35" i="52"/>
  <c r="F37" i="52" s="1"/>
  <c r="F73" i="61"/>
  <c r="G10" i="59"/>
  <c r="J10" i="59"/>
  <c r="J12" i="59"/>
  <c r="G12" i="59"/>
  <c r="H4" i="59"/>
  <c r="I4" i="59"/>
  <c r="I9" i="59"/>
  <c r="H9" i="59"/>
  <c r="F13" i="59"/>
  <c r="G6" i="59"/>
  <c r="G7" i="59"/>
  <c r="G8" i="59"/>
  <c r="G5" i="59"/>
  <c r="F11" i="59"/>
  <c r="J7" i="59"/>
  <c r="F78" i="61" l="1"/>
  <c r="G11" i="59"/>
  <c r="J11" i="59"/>
  <c r="I5" i="59"/>
  <c r="H5" i="59"/>
  <c r="I12" i="59"/>
  <c r="H12" i="59"/>
  <c r="I7" i="59"/>
  <c r="H7" i="59"/>
  <c r="I8" i="59"/>
  <c r="H8" i="59"/>
  <c r="I6" i="59"/>
  <c r="H6" i="59"/>
  <c r="J13" i="59"/>
  <c r="G13" i="59"/>
  <c r="H10" i="59"/>
  <c r="I10" i="59"/>
  <c r="I13" i="59" l="1"/>
  <c r="H13" i="59"/>
  <c r="I11" i="59"/>
  <c r="H11" i="59"/>
  <c r="AA107" i="14" l="1"/>
  <c r="AA108" i="14"/>
  <c r="AA110" i="14"/>
  <c r="AC113" i="14"/>
  <c r="Z106" i="14"/>
  <c r="Z107" i="14"/>
  <c r="Z108" i="14"/>
  <c r="Z109" i="14"/>
  <c r="W89" i="17" s="1"/>
  <c r="Z110" i="14"/>
  <c r="Z111" i="14"/>
  <c r="Z112" i="14"/>
  <c r="Z113" i="14"/>
  <c r="Z114" i="14"/>
  <c r="Z115" i="14"/>
  <c r="Q108" i="14"/>
  <c r="K107" i="14"/>
  <c r="K108" i="14"/>
  <c r="K110" i="14"/>
  <c r="K120" i="14"/>
  <c r="J106" i="14"/>
  <c r="J107" i="14"/>
  <c r="J108" i="14"/>
  <c r="J110" i="14"/>
  <c r="J111" i="14"/>
  <c r="J112" i="14"/>
  <c r="J114" i="14"/>
  <c r="J120" i="14"/>
  <c r="V107" i="14"/>
  <c r="V110" i="14"/>
  <c r="X113" i="14"/>
  <c r="U106" i="14"/>
  <c r="U107" i="14"/>
  <c r="U109" i="14"/>
  <c r="U110" i="14"/>
  <c r="U111" i="14"/>
  <c r="U112" i="14"/>
  <c r="U113" i="14"/>
  <c r="U114" i="14"/>
  <c r="U115" i="14"/>
  <c r="P108" i="14"/>
  <c r="I30" i="17" l="1"/>
  <c r="I31" i="17"/>
  <c r="H30" i="17"/>
  <c r="H31" i="17"/>
  <c r="I29" i="17"/>
  <c r="C21" i="14"/>
  <c r="C23" i="14" s="1"/>
  <c r="H29" i="17"/>
  <c r="W30" i="17"/>
  <c r="W31" i="17"/>
  <c r="G23" i="79" s="1"/>
  <c r="W29" i="17"/>
  <c r="W86" i="17"/>
  <c r="C20" i="14"/>
  <c r="W92" i="17"/>
  <c r="D21" i="14"/>
  <c r="D23" i="14" s="1"/>
  <c r="W93" i="17"/>
  <c r="W94" i="17"/>
  <c r="Z85" i="72"/>
  <c r="I90" i="72"/>
  <c r="I84" i="72"/>
  <c r="I91" i="72"/>
  <c r="Z66" i="72"/>
  <c r="W75" i="17"/>
  <c r="W72" i="72"/>
  <c r="W73" i="72"/>
  <c r="W76" i="17"/>
  <c r="K72" i="72"/>
  <c r="K66" i="72"/>
  <c r="K73" i="72"/>
  <c r="W82" i="72"/>
  <c r="X82" i="72"/>
  <c r="H29" i="72"/>
  <c r="H28" i="72"/>
  <c r="H25" i="72"/>
  <c r="W83" i="72"/>
  <c r="X83" i="72"/>
  <c r="X86" i="17"/>
  <c r="V90" i="72"/>
  <c r="V94" i="17"/>
  <c r="V91" i="72"/>
  <c r="V93" i="17"/>
  <c r="X87" i="72"/>
  <c r="I25" i="72"/>
  <c r="I29" i="72"/>
  <c r="I28" i="72"/>
  <c r="Z84" i="72"/>
  <c r="H91" i="72"/>
  <c r="H87" i="72"/>
  <c r="H85" i="72"/>
  <c r="H90" i="72"/>
  <c r="I73" i="61"/>
  <c r="T74" i="61" s="1"/>
  <c r="Z21" i="72"/>
  <c r="W21" i="72"/>
  <c r="X21" i="72"/>
  <c r="Z68" i="72"/>
  <c r="W68" i="72"/>
  <c r="W20" i="72"/>
  <c r="X20" i="72"/>
  <c r="Z20" i="72"/>
  <c r="H73" i="72"/>
  <c r="H72" i="72"/>
  <c r="Z29" i="72"/>
  <c r="Z28" i="72"/>
  <c r="W27" i="72"/>
  <c r="X29" i="72"/>
  <c r="X28" i="72"/>
  <c r="K91" i="72"/>
  <c r="K84" i="72"/>
  <c r="K90" i="72"/>
  <c r="K85" i="72"/>
  <c r="Z91" i="72"/>
  <c r="Z94" i="17"/>
  <c r="Z93" i="17"/>
  <c r="Z90" i="72"/>
  <c r="X90" i="72"/>
  <c r="X93" i="17"/>
  <c r="X91" i="72"/>
  <c r="X94" i="17"/>
  <c r="Z73" i="72"/>
  <c r="Z72" i="72"/>
  <c r="Z76" i="17"/>
  <c r="Z75" i="17"/>
  <c r="W71" i="72"/>
  <c r="Z71" i="72"/>
  <c r="W65" i="72"/>
  <c r="Z65" i="72"/>
  <c r="W89" i="72"/>
  <c r="X89" i="72"/>
  <c r="Z89" i="72"/>
  <c r="X92" i="17"/>
  <c r="Z92" i="17"/>
  <c r="AB90" i="72"/>
  <c r="AB93" i="17"/>
  <c r="AB94" i="17"/>
  <c r="AB91" i="72"/>
  <c r="W64" i="72"/>
  <c r="Z64" i="72"/>
  <c r="K28" i="72"/>
  <c r="K29" i="72"/>
  <c r="K22" i="72"/>
  <c r="W29" i="72"/>
  <c r="W28" i="72"/>
  <c r="W86" i="72"/>
  <c r="X86" i="72"/>
  <c r="X89" i="17"/>
  <c r="Y93" i="17"/>
  <c r="Y90" i="72"/>
  <c r="Y94" i="17"/>
  <c r="Y91" i="72"/>
  <c r="X84" i="72"/>
  <c r="W90" i="72"/>
  <c r="W91" i="72"/>
  <c r="W74" i="17"/>
  <c r="Z74" i="17"/>
  <c r="Z20" i="17"/>
  <c r="F80" i="52"/>
  <c r="H94" i="17"/>
  <c r="I28" i="17"/>
  <c r="I25" i="17"/>
  <c r="I94" i="17"/>
  <c r="I93" i="17"/>
  <c r="W85" i="17"/>
  <c r="H25" i="17"/>
  <c r="H28" i="17"/>
  <c r="H93" i="17"/>
  <c r="J35" i="64" s="1" a="1"/>
  <c r="J35" i="64" s="1"/>
  <c r="H90" i="17"/>
  <c r="H88" i="17"/>
  <c r="K69" i="17"/>
  <c r="K76" i="17"/>
  <c r="K75" i="17"/>
  <c r="H76" i="17"/>
  <c r="H75" i="17"/>
  <c r="J159" i="52" s="1" a="1"/>
  <c r="J159" i="52" s="1"/>
  <c r="Z28" i="17"/>
  <c r="Z29" i="17"/>
  <c r="K94" i="17"/>
  <c r="K88" i="17"/>
  <c r="K93" i="17"/>
  <c r="K87" i="17"/>
  <c r="W27" i="17"/>
  <c r="K29" i="17"/>
  <c r="K22" i="17"/>
  <c r="K28" i="17"/>
  <c r="W28" i="17"/>
  <c r="G21" i="79" s="1"/>
  <c r="Z69" i="17"/>
  <c r="X90" i="17"/>
  <c r="W71" i="17"/>
  <c r="Z71" i="17"/>
  <c r="X20" i="17"/>
  <c r="W20" i="17"/>
  <c r="X85" i="17"/>
  <c r="Z67" i="17"/>
  <c r="W67" i="17"/>
  <c r="X87" i="17"/>
  <c r="Z21" i="17"/>
  <c r="X21" i="17"/>
  <c r="W21" i="17"/>
  <c r="Z68" i="17"/>
  <c r="I87" i="17"/>
  <c r="Z88" i="17"/>
  <c r="Z87" i="17"/>
  <c r="T104" i="14"/>
  <c r="K86" i="72"/>
  <c r="T106" i="14"/>
  <c r="T110" i="14"/>
  <c r="T109" i="14"/>
  <c r="H68" i="72" s="1"/>
  <c r="K27" i="72"/>
  <c r="H82" i="72"/>
  <c r="T107" i="14"/>
  <c r="N145" i="61" s="1"/>
  <c r="X56" i="17"/>
  <c r="O21" i="79" s="1"/>
  <c r="I90" i="17"/>
  <c r="AG5" i="35"/>
  <c r="N146" i="61" l="1"/>
  <c r="M146" i="61" s="1"/>
  <c r="F31" i="17"/>
  <c r="F30" i="17"/>
  <c r="C24" i="14"/>
  <c r="G31" i="17"/>
  <c r="G30" i="17"/>
  <c r="G29" i="17"/>
  <c r="V31" i="17"/>
  <c r="E23" i="79" s="1"/>
  <c r="V30" i="17"/>
  <c r="E22" i="79" s="1"/>
  <c r="V29" i="17"/>
  <c r="J177" i="64"/>
  <c r="F29" i="17"/>
  <c r="J52" i="64"/>
  <c r="L92" i="61"/>
  <c r="I88" i="61"/>
  <c r="L78" i="61" s="1"/>
  <c r="F28" i="72"/>
  <c r="F29" i="72"/>
  <c r="H86" i="17"/>
  <c r="Z83" i="72"/>
  <c r="G90" i="72"/>
  <c r="G91" i="72"/>
  <c r="G82" i="72"/>
  <c r="V82" i="72" s="1"/>
  <c r="Q78" i="61"/>
  <c r="H20" i="72"/>
  <c r="I83" i="72"/>
  <c r="M28" i="72"/>
  <c r="M29" i="72"/>
  <c r="M21" i="72"/>
  <c r="AB21" i="72" s="1"/>
  <c r="M20" i="72"/>
  <c r="AB20" i="72" s="1"/>
  <c r="AB29" i="72"/>
  <c r="AB28" i="72"/>
  <c r="V28" i="17"/>
  <c r="E21" i="79" s="1"/>
  <c r="G28" i="72"/>
  <c r="G29" i="72"/>
  <c r="G20" i="72"/>
  <c r="V20" i="72" s="1"/>
  <c r="V28" i="72"/>
  <c r="V29" i="72"/>
  <c r="J103" i="52"/>
  <c r="I103" i="52" s="1"/>
  <c r="I27" i="72"/>
  <c r="H27" i="72"/>
  <c r="H83" i="72"/>
  <c r="H21" i="72"/>
  <c r="I82" i="72"/>
  <c r="Z86" i="72"/>
  <c r="J90" i="72"/>
  <c r="J85" i="72"/>
  <c r="J82" i="72"/>
  <c r="Y82" i="72" s="1"/>
  <c r="J91" i="72"/>
  <c r="J87" i="72"/>
  <c r="J83" i="72"/>
  <c r="Y83" i="72" s="1"/>
  <c r="Z89" i="17"/>
  <c r="J102" i="52"/>
  <c r="M94" i="52" s="1"/>
  <c r="K21" i="72"/>
  <c r="K82" i="72"/>
  <c r="I20" i="72"/>
  <c r="K64" i="72"/>
  <c r="K20" i="72"/>
  <c r="J73" i="72"/>
  <c r="J69" i="72"/>
  <c r="J65" i="72"/>
  <c r="Y65" i="72" s="1"/>
  <c r="J64" i="72"/>
  <c r="Y64" i="72" s="1"/>
  <c r="J72" i="72"/>
  <c r="Y72" i="72"/>
  <c r="Y76" i="17"/>
  <c r="Y75" i="17"/>
  <c r="Y73" i="72"/>
  <c r="H86" i="72"/>
  <c r="H64" i="72"/>
  <c r="K68" i="72"/>
  <c r="Z82" i="72"/>
  <c r="F90" i="72"/>
  <c r="F91" i="72"/>
  <c r="G73" i="72"/>
  <c r="G72" i="72"/>
  <c r="G64" i="72"/>
  <c r="V64" i="72" s="1"/>
  <c r="V72" i="72"/>
  <c r="V73" i="72"/>
  <c r="V76" i="17"/>
  <c r="V75" i="17"/>
  <c r="I21" i="72"/>
  <c r="I87" i="72"/>
  <c r="K83" i="72"/>
  <c r="H65" i="72"/>
  <c r="K65" i="72"/>
  <c r="I86" i="72"/>
  <c r="K48" i="64"/>
  <c r="J51" i="64"/>
  <c r="K34" i="64"/>
  <c r="I53" i="64"/>
  <c r="J61" i="64"/>
  <c r="I114" i="64"/>
  <c r="K109" i="64"/>
  <c r="K98" i="64"/>
  <c r="J112" i="64"/>
  <c r="J181" i="52"/>
  <c r="I122" i="64"/>
  <c r="J113" i="64"/>
  <c r="G93" i="17"/>
  <c r="G94" i="17"/>
  <c r="J141" i="52"/>
  <c r="F93" i="17"/>
  <c r="F94" i="17"/>
  <c r="J182" i="52"/>
  <c r="J142" i="52"/>
  <c r="I85" i="17"/>
  <c r="H85" i="17"/>
  <c r="K85" i="17"/>
  <c r="G85" i="17"/>
  <c r="V85" i="17" s="1"/>
  <c r="K86" i="17"/>
  <c r="J48" i="52"/>
  <c r="J49" i="52"/>
  <c r="J93" i="17"/>
  <c r="K89" i="17"/>
  <c r="J86" i="17"/>
  <c r="J85" i="17"/>
  <c r="Y85" i="17" s="1"/>
  <c r="H89" i="17"/>
  <c r="J94" i="17"/>
  <c r="J90" i="17"/>
  <c r="J88" i="17"/>
  <c r="G76" i="17"/>
  <c r="G138" i="61"/>
  <c r="U144" i="61" s="1"/>
  <c r="G75" i="17"/>
  <c r="H68" i="17"/>
  <c r="K68" i="17"/>
  <c r="G67" i="17"/>
  <c r="V67" i="17" s="1"/>
  <c r="J67" i="17"/>
  <c r="Y67" i="17" s="1"/>
  <c r="H71" i="17"/>
  <c r="J76" i="17"/>
  <c r="K71" i="17"/>
  <c r="J75" i="17"/>
  <c r="J68" i="17"/>
  <c r="M145" i="61"/>
  <c r="O144" i="61"/>
  <c r="Q144" i="61"/>
  <c r="N147" i="61"/>
  <c r="H67" i="17"/>
  <c r="K67" i="17"/>
  <c r="M21" i="17"/>
  <c r="M20" i="17"/>
  <c r="AB20" i="17" s="1"/>
  <c r="I27" i="17"/>
  <c r="M28" i="17"/>
  <c r="H27" i="17"/>
  <c r="K27" i="17"/>
  <c r="AB29" i="17"/>
  <c r="AB28" i="17"/>
  <c r="M29" i="17"/>
  <c r="F28" i="17"/>
  <c r="I20" i="17"/>
  <c r="H20" i="17"/>
  <c r="K20" i="17"/>
  <c r="I77" i="61"/>
  <c r="H77" i="61" s="1"/>
  <c r="I78" i="61"/>
  <c r="H78" i="61" s="1"/>
  <c r="G20" i="17"/>
  <c r="V20" i="17" s="1"/>
  <c r="L79" i="61" a="1"/>
  <c r="L79" i="61" s="1"/>
  <c r="H21" i="17"/>
  <c r="G28" i="17"/>
  <c r="K21" i="17"/>
  <c r="I21" i="17"/>
  <c r="Z86" i="17"/>
  <c r="J72" i="17"/>
  <c r="I86" i="17"/>
  <c r="Z85" i="17"/>
  <c r="I89" i="17"/>
  <c r="W68" i="17"/>
  <c r="I60" i="64" l="1"/>
  <c r="M177" i="64"/>
  <c r="M174" i="64"/>
  <c r="I186" i="64"/>
  <c r="L95" i="61"/>
  <c r="K79" i="52"/>
  <c r="N78" i="61"/>
  <c r="N79" i="61" s="1"/>
  <c r="J93" i="52"/>
  <c r="M91" i="52"/>
  <c r="J94" i="52"/>
  <c r="K90" i="52"/>
  <c r="M103" i="52"/>
  <c r="J34" i="64"/>
  <c r="J48" i="64" s="1"/>
  <c r="K35" i="64"/>
  <c r="I95" i="52"/>
  <c r="J114" i="64"/>
  <c r="J53" i="64"/>
  <c r="J173" i="52"/>
  <c r="I182" i="52"/>
  <c r="I174" i="52"/>
  <c r="K158" i="52"/>
  <c r="J172" i="52"/>
  <c r="M170" i="52"/>
  <c r="M182" i="52"/>
  <c r="M176" i="52"/>
  <c r="J233" i="64"/>
  <c r="I178" i="64"/>
  <c r="K161" i="64"/>
  <c r="J176" i="64"/>
  <c r="J178" i="64" s="1"/>
  <c r="K173" i="64"/>
  <c r="K216" i="64"/>
  <c r="J232" i="64"/>
  <c r="I234" i="64"/>
  <c r="I142" i="52"/>
  <c r="J133" i="52"/>
  <c r="J132" i="52"/>
  <c r="K119" i="52"/>
  <c r="I134" i="52"/>
  <c r="M130" i="52"/>
  <c r="K129" i="52"/>
  <c r="M133" i="52"/>
  <c r="M142" i="52"/>
  <c r="J80" i="52" a="1"/>
  <c r="J80" i="52" s="1"/>
  <c r="J158" i="52"/>
  <c r="J169" i="52" s="1"/>
  <c r="K159" i="52"/>
  <c r="J50" i="52"/>
  <c r="L90" i="61"/>
  <c r="L85" i="61"/>
  <c r="K45" i="52"/>
  <c r="K34" i="52"/>
  <c r="J145" i="61" a="1"/>
  <c r="J145" i="61" s="1"/>
  <c r="J144" i="61" s="1"/>
  <c r="N144" i="61" s="1"/>
  <c r="L74" i="61" a="1"/>
  <c r="L74" i="61" s="1"/>
  <c r="L73" i="61" a="1"/>
  <c r="L73" i="61" s="1"/>
  <c r="L72" i="61" s="1"/>
  <c r="Q145" i="61" a="1"/>
  <c r="Q145" i="61" s="1"/>
  <c r="X47" i="72"/>
  <c r="T92" i="14"/>
  <c r="Y92" i="14"/>
  <c r="Y91" i="14"/>
  <c r="T91" i="14"/>
  <c r="O91" i="14"/>
  <c r="I91" i="14"/>
  <c r="Y65" i="14"/>
  <c r="T65" i="14"/>
  <c r="T46" i="14"/>
  <c r="N130" i="55"/>
  <c r="H130" i="55"/>
  <c r="N129" i="55"/>
  <c r="H129" i="55"/>
  <c r="E117" i="55"/>
  <c r="E119" i="55" s="1"/>
  <c r="E115" i="55"/>
  <c r="N105" i="55"/>
  <c r="H105" i="55"/>
  <c r="N104" i="55"/>
  <c r="H104" i="55"/>
  <c r="I99" i="55"/>
  <c r="G99" i="55"/>
  <c r="N86" i="55"/>
  <c r="H86" i="55"/>
  <c r="N85" i="55"/>
  <c r="H85" i="55"/>
  <c r="I81" i="55"/>
  <c r="G81" i="55"/>
  <c r="L80" i="55"/>
  <c r="N67" i="55"/>
  <c r="H67" i="55"/>
  <c r="N66" i="55"/>
  <c r="H66" i="55"/>
  <c r="I62" i="55"/>
  <c r="G62" i="55"/>
  <c r="N51" i="55"/>
  <c r="H51" i="55"/>
  <c r="N50" i="55"/>
  <c r="H50" i="55"/>
  <c r="I42" i="55"/>
  <c r="G42" i="55"/>
  <c r="E34" i="55"/>
  <c r="E31" i="55"/>
  <c r="M57" i="64" l="1"/>
  <c r="N85" i="61"/>
  <c r="J95" i="52"/>
  <c r="J234" i="64"/>
  <c r="M178" i="52"/>
  <c r="M173" i="52" s="1"/>
  <c r="F119" i="52"/>
  <c r="F121" i="52" s="1"/>
  <c r="J174" i="52"/>
  <c r="J134" i="52"/>
  <c r="K80" i="52"/>
  <c r="J79" i="52"/>
  <c r="J90" i="52" s="1"/>
  <c r="M99" i="52" s="1"/>
  <c r="M97" i="52" s="1"/>
  <c r="X48" i="17"/>
  <c r="J70" i="64" l="1"/>
  <c r="M52" i="64"/>
  <c r="M63" i="64" s="1"/>
  <c r="S55" i="64"/>
  <c r="S58" i="64" s="1"/>
  <c r="T58" i="64" s="1"/>
  <c r="S61" i="64" s="1"/>
  <c r="I47" i="72"/>
  <c r="I48" i="17"/>
  <c r="AA120" i="14"/>
  <c r="Z120" i="14"/>
  <c r="Y80" i="14"/>
  <c r="Y81" i="14"/>
  <c r="V121" i="14"/>
  <c r="V120" i="14"/>
  <c r="U121" i="14"/>
  <c r="U120" i="14"/>
  <c r="T80" i="14"/>
  <c r="T81" i="14"/>
  <c r="Q121" i="14"/>
  <c r="P121" i="14"/>
  <c r="M68" i="64" l="1"/>
  <c r="M67" i="64"/>
  <c r="M69" i="64"/>
  <c r="J120" i="52" a="1"/>
  <c r="J120" i="52" s="1"/>
  <c r="T121" i="14"/>
  <c r="T120" i="14"/>
  <c r="I35" i="52"/>
  <c r="I80" i="52"/>
  <c r="I57" i="52"/>
  <c r="J58" i="52"/>
  <c r="J119" i="52" l="1"/>
  <c r="J129" i="52" s="1"/>
  <c r="M138" i="52" s="1"/>
  <c r="M136" i="52" s="1"/>
  <c r="K120" i="52"/>
  <c r="J16" i="48"/>
  <c r="J17" i="48"/>
  <c r="J18" i="48"/>
  <c r="J15" i="48"/>
  <c r="G18" i="48"/>
  <c r="G17" i="48"/>
  <c r="G16" i="48"/>
  <c r="G15" i="48"/>
  <c r="I8" i="48"/>
  <c r="J7" i="48"/>
  <c r="J12" i="48" s="1"/>
  <c r="F8" i="48"/>
  <c r="G7" i="48"/>
  <c r="G9" i="48" s="1"/>
  <c r="N83" i="53"/>
  <c r="H83" i="53"/>
  <c r="N82" i="53"/>
  <c r="H82" i="53"/>
  <c r="E69" i="53"/>
  <c r="N64" i="53"/>
  <c r="H64" i="53"/>
  <c r="N63" i="53"/>
  <c r="H63" i="53"/>
  <c r="E51" i="53"/>
  <c r="N45" i="53"/>
  <c r="H45" i="53"/>
  <c r="N44" i="53"/>
  <c r="H44" i="53"/>
  <c r="H39" i="53" a="1"/>
  <c r="H39" i="53" s="1"/>
  <c r="E32" i="53"/>
  <c r="E31" i="53"/>
  <c r="N28" i="53"/>
  <c r="H28" i="53"/>
  <c r="N27" i="53"/>
  <c r="H27" i="53"/>
  <c r="K22" i="53" a="1"/>
  <c r="K22" i="53" s="1"/>
  <c r="E14" i="53"/>
  <c r="Q149" i="52"/>
  <c r="Q148" i="52"/>
  <c r="Q191" i="52"/>
  <c r="Q190" i="52"/>
  <c r="Q110" i="52"/>
  <c r="J72" i="52"/>
  <c r="J35" i="52" s="1" a="1"/>
  <c r="J35" i="52" s="1"/>
  <c r="Q72" i="52"/>
  <c r="J11" i="48" l="1"/>
  <c r="J170" i="61" a="1"/>
  <c r="J170" i="61" s="1"/>
  <c r="J169" i="61" s="1"/>
  <c r="N169" i="61" s="1"/>
  <c r="Q170" i="61" a="1"/>
  <c r="Q170" i="61" s="1"/>
  <c r="Q169" i="61" s="1"/>
  <c r="H124" i="55" a="1"/>
  <c r="H124" i="55" s="1"/>
  <c r="H123" i="55" s="1"/>
  <c r="K123" i="55" s="1"/>
  <c r="N124" i="55" a="1"/>
  <c r="N124" i="55" s="1"/>
  <c r="N123" i="55" s="1"/>
  <c r="J9" i="48"/>
  <c r="J10" i="48"/>
  <c r="J34" i="52"/>
  <c r="K35" i="52"/>
  <c r="J8" i="48"/>
  <c r="G8" i="48"/>
  <c r="G12" i="48"/>
  <c r="G11" i="48"/>
  <c r="G10" i="48"/>
  <c r="J45" i="52" l="1"/>
  <c r="M46" i="52" s="1"/>
  <c r="M58" i="52"/>
  <c r="Y68" i="14"/>
  <c r="Y41" i="14"/>
  <c r="Y42" i="14"/>
  <c r="Y43" i="14"/>
  <c r="Y44" i="14"/>
  <c r="Y45" i="14"/>
  <c r="Y46" i="14"/>
  <c r="Y51" i="14"/>
  <c r="Y53" i="14"/>
  <c r="Y39" i="14"/>
  <c r="I7" i="50"/>
  <c r="I8" i="50"/>
  <c r="I9" i="50"/>
  <c r="I10" i="50"/>
  <c r="I11" i="50"/>
  <c r="I12" i="50"/>
  <c r="I6" i="50"/>
  <c r="J13" i="50"/>
  <c r="I13" i="50" s="1"/>
  <c r="M54" i="52" l="1"/>
  <c r="C8" i="50"/>
  <c r="C7" i="50"/>
  <c r="C12" i="50"/>
  <c r="C11" i="50"/>
  <c r="C10" i="50"/>
  <c r="C9" i="50"/>
  <c r="C6" i="50"/>
  <c r="M52" i="52" l="1"/>
  <c r="M49" i="52"/>
  <c r="G19" i="49"/>
  <c r="G18" i="49"/>
  <c r="G17" i="49"/>
  <c r="G16" i="49"/>
  <c r="G15" i="49"/>
  <c r="G12" i="49"/>
  <c r="G11" i="49"/>
  <c r="G10" i="49"/>
  <c r="G9" i="49"/>
  <c r="G8" i="49"/>
  <c r="Q9" i="48" l="1"/>
  <c r="Q10" i="48"/>
  <c r="Q11" i="48"/>
  <c r="Q12" i="48"/>
  <c r="Q8" i="48"/>
  <c r="P8" i="48"/>
  <c r="P9" i="48"/>
  <c r="P10" i="48"/>
  <c r="P11" i="48"/>
  <c r="P12" i="48"/>
  <c r="O8" i="48"/>
  <c r="O9" i="48"/>
  <c r="O10" i="48"/>
  <c r="O11" i="48"/>
  <c r="O12" i="48"/>
  <c r="N9" i="48"/>
  <c r="N10" i="48"/>
  <c r="N11" i="48"/>
  <c r="N12" i="48"/>
  <c r="N8" i="48"/>
  <c r="M8" i="48"/>
  <c r="M9" i="48"/>
  <c r="M10" i="48"/>
  <c r="M11" i="48"/>
  <c r="M12" i="48"/>
  <c r="L8" i="48"/>
  <c r="L9" i="48"/>
  <c r="L10" i="48"/>
  <c r="L11" i="48"/>
  <c r="L12" i="48"/>
  <c r="K8" i="48"/>
  <c r="K9" i="48"/>
  <c r="K10" i="48"/>
  <c r="K11" i="48"/>
  <c r="K12" i="48"/>
  <c r="I9" i="48"/>
  <c r="I10" i="48"/>
  <c r="I11" i="48"/>
  <c r="I12" i="48"/>
  <c r="H9" i="48"/>
  <c r="H10" i="48"/>
  <c r="H11" i="48"/>
  <c r="H12" i="48"/>
  <c r="H8" i="48"/>
  <c r="F9" i="48"/>
  <c r="F10" i="48"/>
  <c r="F11" i="48"/>
  <c r="F12" i="48"/>
  <c r="E9" i="48"/>
  <c r="E10" i="48"/>
  <c r="E11" i="48"/>
  <c r="E12" i="48"/>
  <c r="E8" i="48"/>
  <c r="H16" i="38"/>
  <c r="H17" i="38"/>
  <c r="H18" i="38"/>
  <c r="H20" i="38"/>
  <c r="H21" i="38"/>
  <c r="H22" i="38"/>
  <c r="H23" i="38"/>
  <c r="C54" i="47"/>
  <c r="C85" i="47"/>
  <c r="D54" i="47" l="1"/>
  <c r="D126" i="41"/>
  <c r="D118" i="41"/>
  <c r="D123" i="41" s="1"/>
  <c r="D97" i="41"/>
  <c r="D60" i="41"/>
  <c r="D3" i="45"/>
  <c r="J37" i="31" l="1"/>
  <c r="I37" i="31"/>
  <c r="H37" i="31"/>
  <c r="G37" i="31"/>
  <c r="F37" i="31"/>
  <c r="E37" i="31"/>
  <c r="D37" i="31"/>
  <c r="C37" i="31"/>
  <c r="D68" i="41"/>
  <c r="D61" i="41"/>
  <c r="D65" i="41" s="1"/>
  <c r="D28" i="41"/>
  <c r="U129" i="38"/>
  <c r="V129" i="38" s="1"/>
  <c r="U130" i="38"/>
  <c r="V130" i="38" s="1"/>
  <c r="U131" i="38"/>
  <c r="V131" i="38" s="1"/>
  <c r="U132" i="38"/>
  <c r="V132" i="38" s="1"/>
  <c r="U133" i="38"/>
  <c r="V133" i="38" s="1"/>
  <c r="U134" i="38"/>
  <c r="V134" i="38" s="1"/>
  <c r="U135" i="38"/>
  <c r="V135" i="38" s="1"/>
  <c r="U136" i="38"/>
  <c r="V136" i="38" s="1"/>
  <c r="U137" i="38"/>
  <c r="V137" i="38" s="1"/>
  <c r="U138" i="38"/>
  <c r="V138" i="38" s="1"/>
  <c r="U139" i="38"/>
  <c r="V139" i="38" s="1"/>
  <c r="U128" i="38"/>
  <c r="V128" i="38" s="1"/>
  <c r="U115" i="38"/>
  <c r="V115" i="38" s="1"/>
  <c r="U116" i="38"/>
  <c r="V116" i="38" s="1"/>
  <c r="U117" i="38"/>
  <c r="V117" i="38" s="1"/>
  <c r="U118" i="38"/>
  <c r="V118" i="38" s="1"/>
  <c r="U119" i="38"/>
  <c r="V119" i="38" s="1"/>
  <c r="U120" i="38"/>
  <c r="V120" i="38" s="1"/>
  <c r="U121" i="38"/>
  <c r="V121" i="38" s="1"/>
  <c r="U122" i="38"/>
  <c r="V122" i="38" s="1"/>
  <c r="U123" i="38"/>
  <c r="V123" i="38" s="1"/>
  <c r="U124" i="38"/>
  <c r="V124" i="38" s="1"/>
  <c r="U125" i="38"/>
  <c r="V125" i="38" s="1"/>
  <c r="U114" i="38"/>
  <c r="V114" i="38" s="1"/>
  <c r="U101" i="38"/>
  <c r="V101" i="38" s="1"/>
  <c r="U102" i="38"/>
  <c r="V102" i="38" s="1"/>
  <c r="U103" i="38"/>
  <c r="V103" i="38" s="1"/>
  <c r="U104" i="38"/>
  <c r="V104" i="38" s="1"/>
  <c r="U105" i="38"/>
  <c r="V105" i="38" s="1"/>
  <c r="U106" i="38"/>
  <c r="V106" i="38" s="1"/>
  <c r="U107" i="38"/>
  <c r="V107" i="38" s="1"/>
  <c r="U108" i="38"/>
  <c r="V108" i="38" s="1"/>
  <c r="U109" i="38"/>
  <c r="V109" i="38" s="1"/>
  <c r="U110" i="38"/>
  <c r="V110" i="38" s="1"/>
  <c r="U111" i="38"/>
  <c r="V111" i="38" s="1"/>
  <c r="U100" i="38"/>
  <c r="V100" i="38" s="1"/>
  <c r="U87" i="38"/>
  <c r="V87" i="38" s="1"/>
  <c r="U88" i="38"/>
  <c r="V88" i="38" s="1"/>
  <c r="U89" i="38"/>
  <c r="V89" i="38" s="1"/>
  <c r="U90" i="38"/>
  <c r="V90" i="38" s="1"/>
  <c r="U91" i="38"/>
  <c r="V91" i="38" s="1"/>
  <c r="U92" i="38"/>
  <c r="V92" i="38" s="1"/>
  <c r="U93" i="38"/>
  <c r="V93" i="38" s="1"/>
  <c r="U94" i="38"/>
  <c r="V94" i="38" s="1"/>
  <c r="U95" i="38"/>
  <c r="V95" i="38" s="1"/>
  <c r="U96" i="38"/>
  <c r="V96" i="38" s="1"/>
  <c r="U97" i="38"/>
  <c r="V97" i="38" s="1"/>
  <c r="U86" i="38"/>
  <c r="V86" i="38" s="1"/>
  <c r="R129" i="38"/>
  <c r="S129" i="38" s="1"/>
  <c r="R130" i="38"/>
  <c r="S130" i="38" s="1"/>
  <c r="R131" i="38"/>
  <c r="S131" i="38" s="1"/>
  <c r="R132" i="38"/>
  <c r="S132" i="38" s="1"/>
  <c r="R133" i="38"/>
  <c r="S133" i="38" s="1"/>
  <c r="R134" i="38"/>
  <c r="S134" i="38" s="1"/>
  <c r="R135" i="38"/>
  <c r="S135" i="38" s="1"/>
  <c r="R136" i="38"/>
  <c r="S136" i="38" s="1"/>
  <c r="R137" i="38"/>
  <c r="S137" i="38" s="1"/>
  <c r="R138" i="38"/>
  <c r="S138" i="38" s="1"/>
  <c r="R139" i="38"/>
  <c r="S139" i="38" s="1"/>
  <c r="R128" i="38"/>
  <c r="S128" i="38" s="1"/>
  <c r="O129" i="38"/>
  <c r="P129" i="38" s="1"/>
  <c r="O130" i="38"/>
  <c r="P130" i="38" s="1"/>
  <c r="O131" i="38"/>
  <c r="P131" i="38" s="1"/>
  <c r="O132" i="38"/>
  <c r="P132" i="38" s="1"/>
  <c r="O133" i="38"/>
  <c r="P133" i="38" s="1"/>
  <c r="O134" i="38"/>
  <c r="P134" i="38" s="1"/>
  <c r="O135" i="38"/>
  <c r="P135" i="38" s="1"/>
  <c r="O136" i="38"/>
  <c r="P136" i="38" s="1"/>
  <c r="O137" i="38"/>
  <c r="P137" i="38" s="1"/>
  <c r="O138" i="38"/>
  <c r="P138" i="38" s="1"/>
  <c r="O139" i="38"/>
  <c r="P139" i="38" s="1"/>
  <c r="O128" i="38"/>
  <c r="P128" i="38" s="1"/>
  <c r="L129" i="38"/>
  <c r="M129" i="38" s="1"/>
  <c r="L130" i="38"/>
  <c r="M130" i="38" s="1"/>
  <c r="L131" i="38"/>
  <c r="M131" i="38" s="1"/>
  <c r="L132" i="38"/>
  <c r="M132" i="38" s="1"/>
  <c r="L133" i="38"/>
  <c r="M133" i="38" s="1"/>
  <c r="L134" i="38"/>
  <c r="M134" i="38" s="1"/>
  <c r="L135" i="38"/>
  <c r="M135" i="38" s="1"/>
  <c r="L136" i="38"/>
  <c r="M136" i="38" s="1"/>
  <c r="L137" i="38"/>
  <c r="M137" i="38" s="1"/>
  <c r="L138" i="38"/>
  <c r="M138" i="38" s="1"/>
  <c r="L139" i="38"/>
  <c r="M139" i="38" s="1"/>
  <c r="L128" i="38"/>
  <c r="M128" i="38" s="1"/>
  <c r="I129" i="38"/>
  <c r="J129" i="38" s="1"/>
  <c r="I130" i="38"/>
  <c r="J130" i="38" s="1"/>
  <c r="I131" i="38"/>
  <c r="J131" i="38" s="1"/>
  <c r="I132" i="38"/>
  <c r="J132" i="38" s="1"/>
  <c r="I133" i="38"/>
  <c r="J133" i="38" s="1"/>
  <c r="I134" i="38"/>
  <c r="J134" i="38" s="1"/>
  <c r="I135" i="38"/>
  <c r="J135" i="38" s="1"/>
  <c r="I136" i="38"/>
  <c r="J136" i="38" s="1"/>
  <c r="I137" i="38"/>
  <c r="J137" i="38" s="1"/>
  <c r="I138" i="38"/>
  <c r="J138" i="38" s="1"/>
  <c r="I139" i="38"/>
  <c r="J139" i="38" s="1"/>
  <c r="I128" i="38"/>
  <c r="J128" i="38" s="1"/>
  <c r="F129" i="38"/>
  <c r="G129" i="38" s="1"/>
  <c r="F130" i="38"/>
  <c r="G130" i="38" s="1"/>
  <c r="F131" i="38"/>
  <c r="G131" i="38" s="1"/>
  <c r="F132" i="38"/>
  <c r="G132" i="38" s="1"/>
  <c r="F133" i="38"/>
  <c r="G133" i="38" s="1"/>
  <c r="F134" i="38"/>
  <c r="G134" i="38" s="1"/>
  <c r="F135" i="38"/>
  <c r="G135" i="38" s="1"/>
  <c r="F136" i="38"/>
  <c r="G136" i="38" s="1"/>
  <c r="F137" i="38"/>
  <c r="G137" i="38" s="1"/>
  <c r="F138" i="38"/>
  <c r="G138" i="38" s="1"/>
  <c r="F139" i="38"/>
  <c r="G139" i="38" s="1"/>
  <c r="F128" i="38"/>
  <c r="G128" i="38" s="1"/>
  <c r="R115" i="38"/>
  <c r="S115" i="38" s="1"/>
  <c r="R116" i="38"/>
  <c r="S116" i="38" s="1"/>
  <c r="R117" i="38"/>
  <c r="S117" i="38" s="1"/>
  <c r="R118" i="38"/>
  <c r="S118" i="38" s="1"/>
  <c r="R119" i="38"/>
  <c r="S119" i="38" s="1"/>
  <c r="R120" i="38"/>
  <c r="S120" i="38" s="1"/>
  <c r="R121" i="38"/>
  <c r="S121" i="38" s="1"/>
  <c r="R122" i="38"/>
  <c r="S122" i="38" s="1"/>
  <c r="R123" i="38"/>
  <c r="S123" i="38" s="1"/>
  <c r="R124" i="38"/>
  <c r="S124" i="38" s="1"/>
  <c r="R125" i="38"/>
  <c r="S125" i="38" s="1"/>
  <c r="R114" i="38"/>
  <c r="S114" i="38" s="1"/>
  <c r="O115" i="38"/>
  <c r="P115" i="38" s="1"/>
  <c r="O116" i="38"/>
  <c r="P116" i="38" s="1"/>
  <c r="O117" i="38"/>
  <c r="P117" i="38" s="1"/>
  <c r="O118" i="38"/>
  <c r="P118" i="38" s="1"/>
  <c r="O119" i="38"/>
  <c r="P119" i="38" s="1"/>
  <c r="O120" i="38"/>
  <c r="P120" i="38" s="1"/>
  <c r="O121" i="38"/>
  <c r="P121" i="38" s="1"/>
  <c r="O122" i="38"/>
  <c r="P122" i="38" s="1"/>
  <c r="O123" i="38"/>
  <c r="P123" i="38" s="1"/>
  <c r="O124" i="38"/>
  <c r="P124" i="38" s="1"/>
  <c r="O125" i="38"/>
  <c r="P125" i="38" s="1"/>
  <c r="O114" i="38"/>
  <c r="P114" i="38" s="1"/>
  <c r="L115" i="38"/>
  <c r="M115" i="38" s="1"/>
  <c r="L116" i="38"/>
  <c r="M116" i="38" s="1"/>
  <c r="L117" i="38"/>
  <c r="M117" i="38" s="1"/>
  <c r="L118" i="38"/>
  <c r="M118" i="38" s="1"/>
  <c r="L119" i="38"/>
  <c r="M119" i="38" s="1"/>
  <c r="L120" i="38"/>
  <c r="M120" i="38" s="1"/>
  <c r="L121" i="38"/>
  <c r="M121" i="38" s="1"/>
  <c r="L122" i="38"/>
  <c r="M122" i="38" s="1"/>
  <c r="L123" i="38"/>
  <c r="M123" i="38" s="1"/>
  <c r="L124" i="38"/>
  <c r="M124" i="38" s="1"/>
  <c r="L125" i="38"/>
  <c r="M125" i="38" s="1"/>
  <c r="L114" i="38"/>
  <c r="M114" i="38" s="1"/>
  <c r="I115" i="38"/>
  <c r="J115" i="38" s="1"/>
  <c r="I116" i="38"/>
  <c r="J116" i="38" s="1"/>
  <c r="I117" i="38"/>
  <c r="J117" i="38" s="1"/>
  <c r="I118" i="38"/>
  <c r="J118" i="38" s="1"/>
  <c r="I119" i="38"/>
  <c r="J119" i="38" s="1"/>
  <c r="I120" i="38"/>
  <c r="J120" i="38" s="1"/>
  <c r="I121" i="38"/>
  <c r="J121" i="38" s="1"/>
  <c r="I122" i="38"/>
  <c r="J122" i="38" s="1"/>
  <c r="I123" i="38"/>
  <c r="J123" i="38" s="1"/>
  <c r="I124" i="38"/>
  <c r="J124" i="38" s="1"/>
  <c r="I125" i="38"/>
  <c r="J125" i="38" s="1"/>
  <c r="I114" i="38"/>
  <c r="J114" i="38" s="1"/>
  <c r="F115" i="38"/>
  <c r="G115" i="38" s="1"/>
  <c r="F116" i="38"/>
  <c r="G116" i="38" s="1"/>
  <c r="F117" i="38"/>
  <c r="G117" i="38" s="1"/>
  <c r="F118" i="38"/>
  <c r="G118" i="38" s="1"/>
  <c r="F119" i="38"/>
  <c r="G119" i="38" s="1"/>
  <c r="F120" i="38"/>
  <c r="G120" i="38" s="1"/>
  <c r="F121" i="38"/>
  <c r="G121" i="38" s="1"/>
  <c r="F122" i="38"/>
  <c r="G122" i="38" s="1"/>
  <c r="F123" i="38"/>
  <c r="G123" i="38" s="1"/>
  <c r="F124" i="38"/>
  <c r="G124" i="38" s="1"/>
  <c r="F125" i="38"/>
  <c r="G125" i="38" s="1"/>
  <c r="F114" i="38"/>
  <c r="G114" i="38" s="1"/>
  <c r="R101" i="38"/>
  <c r="S101" i="38" s="1"/>
  <c r="R102" i="38"/>
  <c r="S102" i="38" s="1"/>
  <c r="R103" i="38"/>
  <c r="S103" i="38" s="1"/>
  <c r="R104" i="38"/>
  <c r="S104" i="38" s="1"/>
  <c r="R105" i="38"/>
  <c r="S105" i="38" s="1"/>
  <c r="R106" i="38"/>
  <c r="S106" i="38" s="1"/>
  <c r="R107" i="38"/>
  <c r="S107" i="38" s="1"/>
  <c r="R108" i="38"/>
  <c r="S108" i="38" s="1"/>
  <c r="R109" i="38"/>
  <c r="S109" i="38" s="1"/>
  <c r="R110" i="38"/>
  <c r="S110" i="38" s="1"/>
  <c r="R111" i="38"/>
  <c r="S111" i="38" s="1"/>
  <c r="R100" i="38"/>
  <c r="S100" i="38" s="1"/>
  <c r="O101" i="38"/>
  <c r="P101" i="38" s="1"/>
  <c r="O102" i="38"/>
  <c r="P102" i="38" s="1"/>
  <c r="O103" i="38"/>
  <c r="P103" i="38" s="1"/>
  <c r="O104" i="38"/>
  <c r="P104" i="38" s="1"/>
  <c r="O105" i="38"/>
  <c r="P105" i="38" s="1"/>
  <c r="O106" i="38"/>
  <c r="P106" i="38" s="1"/>
  <c r="O107" i="38"/>
  <c r="P107" i="38" s="1"/>
  <c r="O108" i="38"/>
  <c r="P108" i="38" s="1"/>
  <c r="O109" i="38"/>
  <c r="P109" i="38" s="1"/>
  <c r="O110" i="38"/>
  <c r="P110" i="38" s="1"/>
  <c r="O111" i="38"/>
  <c r="P111" i="38" s="1"/>
  <c r="O100" i="38"/>
  <c r="P100" i="38" s="1"/>
  <c r="L101" i="38"/>
  <c r="M101" i="38" s="1"/>
  <c r="L102" i="38"/>
  <c r="M102" i="38" s="1"/>
  <c r="L103" i="38"/>
  <c r="M103" i="38" s="1"/>
  <c r="L104" i="38"/>
  <c r="M104" i="38" s="1"/>
  <c r="L105" i="38"/>
  <c r="M105" i="38" s="1"/>
  <c r="L106" i="38"/>
  <c r="M106" i="38" s="1"/>
  <c r="L107" i="38"/>
  <c r="M107" i="38" s="1"/>
  <c r="L108" i="38"/>
  <c r="M108" i="38" s="1"/>
  <c r="L109" i="38"/>
  <c r="M109" i="38" s="1"/>
  <c r="L110" i="38"/>
  <c r="M110" i="38" s="1"/>
  <c r="L111" i="38"/>
  <c r="M111" i="38" s="1"/>
  <c r="L100" i="38"/>
  <c r="M100" i="38" s="1"/>
  <c r="I101" i="38"/>
  <c r="J101" i="38" s="1"/>
  <c r="I102" i="38"/>
  <c r="J102" i="38" s="1"/>
  <c r="I103" i="38"/>
  <c r="J103" i="38" s="1"/>
  <c r="I104" i="38"/>
  <c r="J104" i="38" s="1"/>
  <c r="I105" i="38"/>
  <c r="J105" i="38" s="1"/>
  <c r="I106" i="38"/>
  <c r="J106" i="38" s="1"/>
  <c r="I107" i="38"/>
  <c r="J107" i="38" s="1"/>
  <c r="I108" i="38"/>
  <c r="J108" i="38" s="1"/>
  <c r="I109" i="38"/>
  <c r="J109" i="38" s="1"/>
  <c r="I110" i="38"/>
  <c r="J110" i="38" s="1"/>
  <c r="I111" i="38"/>
  <c r="J111" i="38" s="1"/>
  <c r="I100" i="38"/>
  <c r="J100" i="38" s="1"/>
  <c r="F101" i="38"/>
  <c r="G101" i="38" s="1"/>
  <c r="F102" i="38"/>
  <c r="G102" i="38" s="1"/>
  <c r="F103" i="38"/>
  <c r="G103" i="38" s="1"/>
  <c r="F104" i="38"/>
  <c r="G104" i="38" s="1"/>
  <c r="F105" i="38"/>
  <c r="G105" i="38" s="1"/>
  <c r="F106" i="38"/>
  <c r="G106" i="38" s="1"/>
  <c r="F107" i="38"/>
  <c r="G107" i="38" s="1"/>
  <c r="F108" i="38"/>
  <c r="G108" i="38" s="1"/>
  <c r="F109" i="38"/>
  <c r="G109" i="38" s="1"/>
  <c r="F110" i="38"/>
  <c r="G110" i="38" s="1"/>
  <c r="F111" i="38"/>
  <c r="G111" i="38" s="1"/>
  <c r="F100" i="38"/>
  <c r="G100" i="38" s="1"/>
  <c r="R87" i="38"/>
  <c r="S87" i="38" s="1"/>
  <c r="R88" i="38"/>
  <c r="S88" i="38" s="1"/>
  <c r="R89" i="38"/>
  <c r="S89" i="38" s="1"/>
  <c r="R90" i="38"/>
  <c r="S90" i="38" s="1"/>
  <c r="R91" i="38"/>
  <c r="S91" i="38" s="1"/>
  <c r="R92" i="38"/>
  <c r="S92" i="38" s="1"/>
  <c r="R93" i="38"/>
  <c r="S93" i="38" s="1"/>
  <c r="R94" i="38"/>
  <c r="S94" i="38" s="1"/>
  <c r="R95" i="38"/>
  <c r="S95" i="38" s="1"/>
  <c r="R96" i="38"/>
  <c r="S96" i="38" s="1"/>
  <c r="R97" i="38"/>
  <c r="S97" i="38" s="1"/>
  <c r="R86" i="38"/>
  <c r="S86" i="38" s="1"/>
  <c r="O87" i="38"/>
  <c r="P87" i="38" s="1"/>
  <c r="O88" i="38"/>
  <c r="P88" i="38" s="1"/>
  <c r="O89" i="38"/>
  <c r="P89" i="38" s="1"/>
  <c r="O90" i="38"/>
  <c r="P90" i="38" s="1"/>
  <c r="O91" i="38"/>
  <c r="P91" i="38" s="1"/>
  <c r="O92" i="38"/>
  <c r="P92" i="38" s="1"/>
  <c r="O93" i="38"/>
  <c r="P93" i="38" s="1"/>
  <c r="O94" i="38"/>
  <c r="P94" i="38" s="1"/>
  <c r="O95" i="38"/>
  <c r="P95" i="38" s="1"/>
  <c r="O96" i="38"/>
  <c r="P96" i="38" s="1"/>
  <c r="O97" i="38"/>
  <c r="P97" i="38" s="1"/>
  <c r="O86" i="38"/>
  <c r="P86" i="38" s="1"/>
  <c r="F87" i="38"/>
  <c r="G87" i="38" s="1"/>
  <c r="F88" i="38"/>
  <c r="G88" i="38" s="1"/>
  <c r="F89" i="38"/>
  <c r="G89" i="38" s="1"/>
  <c r="F90" i="38"/>
  <c r="G90" i="38" s="1"/>
  <c r="F91" i="38"/>
  <c r="G91" i="38" s="1"/>
  <c r="F92" i="38"/>
  <c r="G92" i="38" s="1"/>
  <c r="F93" i="38"/>
  <c r="G93" i="38" s="1"/>
  <c r="F94" i="38"/>
  <c r="G94" i="38" s="1"/>
  <c r="F95" i="38"/>
  <c r="G95" i="38" s="1"/>
  <c r="F96" i="38"/>
  <c r="G96" i="38" s="1"/>
  <c r="F97" i="38"/>
  <c r="G97" i="38" s="1"/>
  <c r="F86" i="38"/>
  <c r="G86" i="38" s="1"/>
  <c r="I87" i="38"/>
  <c r="J87" i="38" s="1"/>
  <c r="I88" i="38"/>
  <c r="J88" i="38" s="1"/>
  <c r="I89" i="38"/>
  <c r="J89" i="38" s="1"/>
  <c r="I90" i="38"/>
  <c r="J90" i="38" s="1"/>
  <c r="I91" i="38"/>
  <c r="J91" i="38" s="1"/>
  <c r="I92" i="38"/>
  <c r="J92" i="38" s="1"/>
  <c r="I93" i="38"/>
  <c r="J93" i="38" s="1"/>
  <c r="I94" i="38"/>
  <c r="J94" i="38" s="1"/>
  <c r="I95" i="38"/>
  <c r="J95" i="38" s="1"/>
  <c r="I96" i="38"/>
  <c r="J96" i="38" s="1"/>
  <c r="I97" i="38"/>
  <c r="J97" i="38" s="1"/>
  <c r="I86" i="38"/>
  <c r="J86" i="38" s="1"/>
  <c r="L87" i="38"/>
  <c r="M87" i="38" s="1"/>
  <c r="L88" i="38"/>
  <c r="M88" i="38" s="1"/>
  <c r="L89" i="38"/>
  <c r="M89" i="38" s="1"/>
  <c r="L90" i="38"/>
  <c r="M90" i="38" s="1"/>
  <c r="L91" i="38"/>
  <c r="M91" i="38" s="1"/>
  <c r="L92" i="38"/>
  <c r="M92" i="38" s="1"/>
  <c r="L93" i="38"/>
  <c r="M93" i="38" s="1"/>
  <c r="L94" i="38"/>
  <c r="M94" i="38" s="1"/>
  <c r="L95" i="38"/>
  <c r="M95" i="38" s="1"/>
  <c r="L96" i="38"/>
  <c r="M96" i="38" s="1"/>
  <c r="L97" i="38"/>
  <c r="M97" i="38" s="1"/>
  <c r="L86" i="38"/>
  <c r="M86" i="38" s="1"/>
  <c r="T41" i="14"/>
  <c r="T42" i="14"/>
  <c r="T43" i="14"/>
  <c r="T44" i="14"/>
  <c r="T45" i="14"/>
  <c r="T51" i="14"/>
  <c r="T52" i="14"/>
  <c r="T53" i="14"/>
  <c r="T54" i="14"/>
  <c r="W127" i="38"/>
  <c r="T127" i="38"/>
  <c r="Q127" i="38"/>
  <c r="N127" i="38"/>
  <c r="K127" i="38"/>
  <c r="H127" i="38"/>
  <c r="E127" i="38"/>
  <c r="D127" i="38"/>
  <c r="E113" i="38"/>
  <c r="H113" i="38"/>
  <c r="K113" i="38"/>
  <c r="N113" i="38"/>
  <c r="Q113" i="38"/>
  <c r="T113" i="38"/>
  <c r="W113" i="38"/>
  <c r="D113" i="38"/>
  <c r="E99" i="38"/>
  <c r="H99" i="38"/>
  <c r="K99" i="38"/>
  <c r="N99" i="38"/>
  <c r="Q99" i="38"/>
  <c r="T99" i="38"/>
  <c r="W99" i="38"/>
  <c r="D99" i="38"/>
  <c r="E85" i="38"/>
  <c r="H85" i="38"/>
  <c r="K85" i="38"/>
  <c r="N85" i="38"/>
  <c r="Q85" i="38"/>
  <c r="T85" i="38"/>
  <c r="W85" i="38"/>
  <c r="D85" i="38"/>
  <c r="D60" i="38"/>
  <c r="F60" i="38"/>
  <c r="G60" i="38"/>
  <c r="H60" i="38"/>
  <c r="I60" i="38"/>
  <c r="J60" i="38"/>
  <c r="K60" i="38"/>
  <c r="L60" i="38"/>
  <c r="E60" i="38"/>
  <c r="F47" i="38"/>
  <c r="G47" i="38"/>
  <c r="H47" i="38"/>
  <c r="I47" i="38"/>
  <c r="J47" i="38"/>
  <c r="K47" i="38"/>
  <c r="L47" i="38"/>
  <c r="E47" i="38"/>
  <c r="F34" i="38"/>
  <c r="G34" i="38"/>
  <c r="H34" i="38"/>
  <c r="I34" i="38"/>
  <c r="J34" i="38"/>
  <c r="K34" i="38"/>
  <c r="L34" i="38"/>
  <c r="E34" i="38"/>
  <c r="D14" i="38"/>
  <c r="E15" i="38"/>
  <c r="F15" i="38"/>
  <c r="G15" i="38"/>
  <c r="D15" i="38"/>
  <c r="E14" i="38"/>
  <c r="F14" i="38"/>
  <c r="G14" i="38"/>
  <c r="D84" i="38" l="1"/>
  <c r="G33" i="38"/>
  <c r="F33" i="38"/>
  <c r="I99" i="38"/>
  <c r="J99" i="38" s="1"/>
  <c r="U85" i="38"/>
  <c r="V85" i="38" s="1"/>
  <c r="M73" i="38"/>
  <c r="M60" i="38"/>
  <c r="H15" i="38"/>
  <c r="X85" i="38"/>
  <c r="X113" i="38"/>
  <c r="M47" i="38"/>
  <c r="X99" i="38"/>
  <c r="L113" i="38"/>
  <c r="M113" i="38" s="1"/>
  <c r="L33" i="38"/>
  <c r="M34" i="38"/>
  <c r="U99" i="38"/>
  <c r="V99" i="38" s="1"/>
  <c r="U113" i="38"/>
  <c r="V113" i="38" s="1"/>
  <c r="R127" i="38"/>
  <c r="S127" i="38" s="1"/>
  <c r="I113" i="38"/>
  <c r="J113" i="38" s="1"/>
  <c r="U127" i="38"/>
  <c r="V127" i="38" s="1"/>
  <c r="H14" i="38"/>
  <c r="X127" i="38"/>
  <c r="O127" i="38"/>
  <c r="P127" i="38" s="1"/>
  <c r="F127" i="38"/>
  <c r="G127" i="38" s="1"/>
  <c r="I127" i="38"/>
  <c r="J127" i="38" s="1"/>
  <c r="F99" i="38"/>
  <c r="G99" i="38" s="1"/>
  <c r="F113" i="38"/>
  <c r="G113" i="38" s="1"/>
  <c r="R99" i="38"/>
  <c r="S99" i="38" s="1"/>
  <c r="R113" i="38"/>
  <c r="S113" i="38" s="1"/>
  <c r="L127" i="38"/>
  <c r="M127" i="38" s="1"/>
  <c r="O99" i="38"/>
  <c r="P99" i="38" s="1"/>
  <c r="O113" i="38"/>
  <c r="P113" i="38" s="1"/>
  <c r="I33" i="38"/>
  <c r="I32" i="38" s="1"/>
  <c r="L99" i="38"/>
  <c r="M99" i="38" s="1"/>
  <c r="R85" i="38"/>
  <c r="S85" i="38" s="1"/>
  <c r="O85" i="38"/>
  <c r="P85" i="38" s="1"/>
  <c r="F85" i="38"/>
  <c r="G85" i="38" s="1"/>
  <c r="L85" i="38"/>
  <c r="M85" i="38" s="1"/>
  <c r="H84" i="38"/>
  <c r="I85" i="38"/>
  <c r="J85" i="38" s="1"/>
  <c r="L32" i="38"/>
  <c r="N84" i="38"/>
  <c r="T84" i="38"/>
  <c r="K84" i="38"/>
  <c r="W84" i="38"/>
  <c r="E84" i="38"/>
  <c r="Q84" i="38"/>
  <c r="H33" i="38"/>
  <c r="G32" i="38"/>
  <c r="F32" i="38"/>
  <c r="E33" i="38"/>
  <c r="K33" i="38"/>
  <c r="K32" i="38" s="1"/>
  <c r="J33" i="38"/>
  <c r="J32" i="38" s="1"/>
  <c r="E32" i="38"/>
  <c r="H32" i="38"/>
  <c r="F84" i="38" l="1"/>
  <c r="G84" i="38" s="1"/>
  <c r="M32" i="38"/>
  <c r="X84" i="38"/>
  <c r="M33" i="38"/>
  <c r="U84" i="38"/>
  <c r="V84" i="38" s="1"/>
  <c r="O84" i="38"/>
  <c r="P84" i="38" s="1"/>
  <c r="R84" i="38"/>
  <c r="S84" i="38" s="1"/>
  <c r="I84" i="38"/>
  <c r="J84" i="38" s="1"/>
  <c r="L84" i="38"/>
  <c r="M84" i="38" s="1"/>
  <c r="Y72" i="14"/>
  <c r="Y73" i="14"/>
  <c r="Y74" i="14"/>
  <c r="Y82" i="14"/>
  <c r="Y83" i="14"/>
  <c r="T72" i="14"/>
  <c r="T73" i="14"/>
  <c r="T74" i="14"/>
  <c r="AL214" i="35"/>
  <c r="AH214" i="35"/>
  <c r="AG214" i="35"/>
  <c r="AF214" i="35"/>
  <c r="AL213" i="35"/>
  <c r="AH213" i="35"/>
  <c r="AG213" i="35"/>
  <c r="AF213" i="35"/>
  <c r="AL212" i="35"/>
  <c r="AH212" i="35"/>
  <c r="AG212" i="35"/>
  <c r="AF212" i="35"/>
  <c r="AL211" i="35"/>
  <c r="AH211" i="35"/>
  <c r="AG211" i="35"/>
  <c r="AF211" i="35"/>
  <c r="AL210" i="35"/>
  <c r="AH210" i="35"/>
  <c r="AG210" i="35"/>
  <c r="AF210" i="35"/>
  <c r="AL209" i="35"/>
  <c r="AH209" i="35"/>
  <c r="AG209" i="35"/>
  <c r="AF209" i="35"/>
  <c r="AL208" i="35"/>
  <c r="AH208" i="35"/>
  <c r="AG208" i="35"/>
  <c r="AF208" i="35"/>
  <c r="AL207" i="35"/>
  <c r="AH207" i="35"/>
  <c r="AG207" i="35"/>
  <c r="AF207" i="35"/>
  <c r="AL206" i="35"/>
  <c r="AH206" i="35"/>
  <c r="AG206" i="35"/>
  <c r="AF206" i="35"/>
  <c r="AL205" i="35"/>
  <c r="AH205" i="35"/>
  <c r="AG205" i="35"/>
  <c r="AF205" i="35"/>
  <c r="AL204" i="35"/>
  <c r="AH204" i="35"/>
  <c r="AG204" i="35"/>
  <c r="AF204" i="35"/>
  <c r="AL203" i="35"/>
  <c r="AH203" i="35"/>
  <c r="AG203" i="35"/>
  <c r="AF203" i="35"/>
  <c r="AL202" i="35"/>
  <c r="AH202" i="35"/>
  <c r="AG202" i="35"/>
  <c r="AF202" i="35"/>
  <c r="AL201" i="35"/>
  <c r="AH201" i="35"/>
  <c r="AG201" i="35"/>
  <c r="AF201" i="35"/>
  <c r="AL200" i="35"/>
  <c r="AH200" i="35"/>
  <c r="AG200" i="35"/>
  <c r="AF200" i="35"/>
  <c r="AL199" i="35"/>
  <c r="AH199" i="35"/>
  <c r="AG199" i="35"/>
  <c r="AF199" i="35"/>
  <c r="AL198" i="35"/>
  <c r="AH198" i="35"/>
  <c r="AG198" i="35"/>
  <c r="AF198" i="35"/>
  <c r="AL197" i="35"/>
  <c r="AH197" i="35"/>
  <c r="AG197" i="35"/>
  <c r="AF197" i="35"/>
  <c r="AL196" i="35"/>
  <c r="AH196" i="35"/>
  <c r="AG196" i="35"/>
  <c r="AF196" i="35"/>
  <c r="AL195" i="35"/>
  <c r="AH195" i="35"/>
  <c r="AG195" i="35"/>
  <c r="AF195" i="35"/>
  <c r="AL194" i="35"/>
  <c r="AH194" i="35"/>
  <c r="AG194" i="35"/>
  <c r="AF194" i="35"/>
  <c r="AL193" i="35"/>
  <c r="AH193" i="35"/>
  <c r="AG193" i="35"/>
  <c r="AF193" i="35"/>
  <c r="AL192" i="35"/>
  <c r="AH192" i="35"/>
  <c r="AG192" i="35"/>
  <c r="AF192" i="35"/>
  <c r="AL191" i="35"/>
  <c r="AH191" i="35"/>
  <c r="AG191" i="35"/>
  <c r="AF191" i="35"/>
  <c r="AL190" i="35"/>
  <c r="AH190" i="35"/>
  <c r="AG190" i="35"/>
  <c r="AF190" i="35"/>
  <c r="AL189" i="35"/>
  <c r="AH189" i="35"/>
  <c r="AG189" i="35"/>
  <c r="AF189" i="35"/>
  <c r="AL188" i="35"/>
  <c r="AH188" i="35"/>
  <c r="AG188" i="35"/>
  <c r="AF188" i="35"/>
  <c r="AL187" i="35"/>
  <c r="AH187" i="35"/>
  <c r="AG187" i="35"/>
  <c r="AF187" i="35"/>
  <c r="AL186" i="35"/>
  <c r="AH186" i="35"/>
  <c r="AG186" i="35"/>
  <c r="AF186" i="35"/>
  <c r="AL185" i="35"/>
  <c r="AH185" i="35"/>
  <c r="AG185" i="35"/>
  <c r="AF185" i="35"/>
  <c r="AL184" i="35"/>
  <c r="AH184" i="35"/>
  <c r="AG184" i="35"/>
  <c r="AF184" i="35"/>
  <c r="AL183" i="35"/>
  <c r="AH183" i="35"/>
  <c r="AG183" i="35"/>
  <c r="AF183" i="35"/>
  <c r="AL182" i="35"/>
  <c r="AH182" i="35"/>
  <c r="AG182" i="35"/>
  <c r="AF182" i="35"/>
  <c r="AL181" i="35"/>
  <c r="AH181" i="35"/>
  <c r="AG181" i="35"/>
  <c r="AF181" i="35"/>
  <c r="AL180" i="35"/>
  <c r="AH180" i="35"/>
  <c r="AG180" i="35"/>
  <c r="AF180" i="35"/>
  <c r="AL179" i="35"/>
  <c r="AH179" i="35"/>
  <c r="AG179" i="35"/>
  <c r="AF179" i="35"/>
  <c r="AL178" i="35"/>
  <c r="AH178" i="35"/>
  <c r="AG178" i="35"/>
  <c r="AF178" i="35"/>
  <c r="AL177" i="35"/>
  <c r="AH177" i="35"/>
  <c r="AG177" i="35"/>
  <c r="AF177" i="35"/>
  <c r="AL176" i="35"/>
  <c r="AH176" i="35"/>
  <c r="AG176" i="35"/>
  <c r="AF176" i="35"/>
  <c r="AL175" i="35"/>
  <c r="AH175" i="35"/>
  <c r="AG175" i="35"/>
  <c r="AF175" i="35"/>
  <c r="AL174" i="35"/>
  <c r="AH174" i="35"/>
  <c r="AG174" i="35"/>
  <c r="AF174" i="35"/>
  <c r="AL173" i="35"/>
  <c r="AH173" i="35"/>
  <c r="AG173" i="35"/>
  <c r="AF173" i="35"/>
  <c r="AL172" i="35"/>
  <c r="AH172" i="35"/>
  <c r="AG172" i="35"/>
  <c r="AF172" i="35"/>
  <c r="AL171" i="35"/>
  <c r="AH171" i="35"/>
  <c r="AG171" i="35"/>
  <c r="AF171" i="35"/>
  <c r="AL170" i="35"/>
  <c r="AH170" i="35"/>
  <c r="AG170" i="35"/>
  <c r="AF170" i="35"/>
  <c r="AL169" i="35"/>
  <c r="AH169" i="35"/>
  <c r="AG169" i="35"/>
  <c r="AF169" i="35"/>
  <c r="AL168" i="35"/>
  <c r="AH168" i="35"/>
  <c r="AG168" i="35"/>
  <c r="AF168" i="35"/>
  <c r="AL167" i="35"/>
  <c r="AH167" i="35"/>
  <c r="AG167" i="35"/>
  <c r="AF167" i="35"/>
  <c r="AL166" i="35"/>
  <c r="AH166" i="35"/>
  <c r="AG166" i="35"/>
  <c r="AF166" i="35"/>
  <c r="AL165" i="35"/>
  <c r="AH165" i="35"/>
  <c r="AG165" i="35"/>
  <c r="AF165" i="35"/>
  <c r="AL164" i="35"/>
  <c r="AH164" i="35"/>
  <c r="AG164" i="35"/>
  <c r="AF164" i="35"/>
  <c r="AL163" i="35"/>
  <c r="AH163" i="35"/>
  <c r="AG163" i="35"/>
  <c r="AF163" i="35"/>
  <c r="AL162" i="35"/>
  <c r="AH162" i="35"/>
  <c r="AG162" i="35"/>
  <c r="AF162" i="35"/>
  <c r="AL161" i="35"/>
  <c r="AH161" i="35"/>
  <c r="AG161" i="35"/>
  <c r="AF161" i="35"/>
  <c r="AL160" i="35"/>
  <c r="AH160" i="35"/>
  <c r="AG160" i="35"/>
  <c r="AF160" i="35"/>
  <c r="AL159" i="35"/>
  <c r="AH159" i="35"/>
  <c r="AG159" i="35"/>
  <c r="AF159" i="35"/>
  <c r="AL158" i="35"/>
  <c r="AH158" i="35"/>
  <c r="AG158" i="35"/>
  <c r="AF158" i="35"/>
  <c r="AL157" i="35"/>
  <c r="AH157" i="35"/>
  <c r="AG157" i="35"/>
  <c r="AF157" i="35"/>
  <c r="AL156" i="35"/>
  <c r="AH156" i="35"/>
  <c r="AG156" i="35"/>
  <c r="AF156" i="35"/>
  <c r="AL155" i="35"/>
  <c r="AH155" i="35"/>
  <c r="AG155" i="35"/>
  <c r="AF155" i="35"/>
  <c r="AL154" i="35"/>
  <c r="AH154" i="35"/>
  <c r="AG154" i="35"/>
  <c r="AF154" i="35"/>
  <c r="AL153" i="35"/>
  <c r="AH153" i="35"/>
  <c r="AG153" i="35"/>
  <c r="AF153" i="35"/>
  <c r="AL152" i="35"/>
  <c r="AH152" i="35"/>
  <c r="AG152" i="35"/>
  <c r="AF152" i="35"/>
  <c r="AL151" i="35"/>
  <c r="AH151" i="35"/>
  <c r="AG151" i="35"/>
  <c r="AF151" i="35"/>
  <c r="AL150" i="35"/>
  <c r="AH150" i="35"/>
  <c r="AG150" i="35"/>
  <c r="AF150" i="35"/>
  <c r="AL149" i="35"/>
  <c r="AH149" i="35"/>
  <c r="AG149" i="35"/>
  <c r="AF149" i="35"/>
  <c r="AL148" i="35"/>
  <c r="AH148" i="35"/>
  <c r="AG148" i="35"/>
  <c r="AF148" i="35"/>
  <c r="AL147" i="35"/>
  <c r="AH147" i="35"/>
  <c r="AG147" i="35"/>
  <c r="AF147" i="35"/>
  <c r="AL146" i="35"/>
  <c r="AH146" i="35"/>
  <c r="AG146" i="35"/>
  <c r="AF146" i="35"/>
  <c r="AL145" i="35"/>
  <c r="AH145" i="35"/>
  <c r="AG145" i="35"/>
  <c r="AF145" i="35"/>
  <c r="AL144" i="35"/>
  <c r="AH144" i="35"/>
  <c r="AG144" i="35"/>
  <c r="AF144" i="35"/>
  <c r="AL143" i="35"/>
  <c r="AH143" i="35"/>
  <c r="AG143" i="35"/>
  <c r="AF143" i="35"/>
  <c r="AL142" i="35"/>
  <c r="AH142" i="35"/>
  <c r="AG142" i="35"/>
  <c r="AF142" i="35"/>
  <c r="AL141" i="35"/>
  <c r="AH141" i="35"/>
  <c r="AG141" i="35"/>
  <c r="AF141" i="35"/>
  <c r="AL140" i="35"/>
  <c r="AH140" i="35"/>
  <c r="AG140" i="35"/>
  <c r="AF140" i="35"/>
  <c r="AL139" i="35"/>
  <c r="AH139" i="35"/>
  <c r="AG139" i="35"/>
  <c r="AF139" i="35"/>
  <c r="AL138" i="35"/>
  <c r="AH138" i="35"/>
  <c r="AG138" i="35"/>
  <c r="AF138" i="35"/>
  <c r="AL137" i="35"/>
  <c r="AH137" i="35"/>
  <c r="AG137" i="35"/>
  <c r="AF137" i="35"/>
  <c r="AL136" i="35"/>
  <c r="AH136" i="35"/>
  <c r="AG136" i="35"/>
  <c r="AF136" i="35"/>
  <c r="AL135" i="35"/>
  <c r="AH135" i="35"/>
  <c r="AG135" i="35"/>
  <c r="AF135" i="35"/>
  <c r="AL134" i="35"/>
  <c r="AH134" i="35"/>
  <c r="AG134" i="35"/>
  <c r="AF134" i="35"/>
  <c r="AL133" i="35"/>
  <c r="AH133" i="35"/>
  <c r="AG133" i="35"/>
  <c r="AF133" i="35"/>
  <c r="AL132" i="35"/>
  <c r="AH132" i="35"/>
  <c r="AG132" i="35"/>
  <c r="AF132" i="35"/>
  <c r="AL131" i="35"/>
  <c r="AH131" i="35"/>
  <c r="AG131" i="35"/>
  <c r="AF131" i="35"/>
  <c r="AL130" i="35"/>
  <c r="AH130" i="35"/>
  <c r="AG130" i="35"/>
  <c r="AF130" i="35"/>
  <c r="AL129" i="35"/>
  <c r="AH129" i="35"/>
  <c r="AG129" i="35"/>
  <c r="AF129" i="35"/>
  <c r="AL128" i="35"/>
  <c r="AH128" i="35"/>
  <c r="AG128" i="35"/>
  <c r="AF128" i="35"/>
  <c r="AL127" i="35"/>
  <c r="AH127" i="35"/>
  <c r="AG127" i="35"/>
  <c r="AF127" i="35"/>
  <c r="AL126" i="35"/>
  <c r="AH126" i="35"/>
  <c r="AG126" i="35"/>
  <c r="AF126" i="35"/>
  <c r="AL125" i="35"/>
  <c r="AH125" i="35"/>
  <c r="AG125" i="35"/>
  <c r="AF125" i="35"/>
  <c r="AL124" i="35"/>
  <c r="AH124" i="35"/>
  <c r="AG124" i="35"/>
  <c r="AF124" i="35"/>
  <c r="AL123" i="35"/>
  <c r="AH123" i="35"/>
  <c r="AG123" i="35"/>
  <c r="AF123" i="35"/>
  <c r="AL122" i="35"/>
  <c r="AH122" i="35"/>
  <c r="AG122" i="35"/>
  <c r="AF122" i="35"/>
  <c r="AL121" i="35"/>
  <c r="AH121" i="35"/>
  <c r="AG121" i="35"/>
  <c r="AF121" i="35"/>
  <c r="AL120" i="35"/>
  <c r="AH120" i="35"/>
  <c r="AG120" i="35"/>
  <c r="AF120" i="35"/>
  <c r="AL119" i="35"/>
  <c r="AH119" i="35"/>
  <c r="AG119" i="35"/>
  <c r="AF119" i="35"/>
  <c r="AL118" i="35"/>
  <c r="AH118" i="35"/>
  <c r="AG118" i="35"/>
  <c r="AF118" i="35"/>
  <c r="AL117" i="35"/>
  <c r="AH117" i="35"/>
  <c r="AG117" i="35"/>
  <c r="AF117" i="35"/>
  <c r="AL116" i="35"/>
  <c r="AH116" i="35"/>
  <c r="AG116" i="35"/>
  <c r="AF116" i="35"/>
  <c r="AL115" i="35"/>
  <c r="AH115" i="35"/>
  <c r="AG115" i="35"/>
  <c r="AF115" i="35"/>
  <c r="AL114" i="35"/>
  <c r="AH114" i="35"/>
  <c r="AG114" i="35"/>
  <c r="AF114" i="35"/>
  <c r="AL113" i="35"/>
  <c r="AH113" i="35"/>
  <c r="AG113" i="35"/>
  <c r="AF113" i="35"/>
  <c r="AL112" i="35"/>
  <c r="AH112" i="35"/>
  <c r="AG112" i="35"/>
  <c r="AF112" i="35"/>
  <c r="AL111" i="35"/>
  <c r="AH111" i="35"/>
  <c r="AG111" i="35"/>
  <c r="AF111" i="35"/>
  <c r="AL110" i="35"/>
  <c r="AH110" i="35"/>
  <c r="AG110" i="35"/>
  <c r="AF110" i="35"/>
  <c r="AL109" i="35"/>
  <c r="AH109" i="35"/>
  <c r="AG109" i="35"/>
  <c r="AF109" i="35"/>
  <c r="AL108" i="35"/>
  <c r="AH108" i="35"/>
  <c r="AG108" i="35"/>
  <c r="AF108" i="35"/>
  <c r="AL107" i="35"/>
  <c r="AH107" i="35"/>
  <c r="AG107" i="35"/>
  <c r="AF107" i="35"/>
  <c r="AL106" i="35"/>
  <c r="AH106" i="35"/>
  <c r="AG106" i="35"/>
  <c r="AF106" i="35"/>
  <c r="AL105" i="35"/>
  <c r="AH105" i="35"/>
  <c r="AG105" i="35"/>
  <c r="AF105" i="35"/>
  <c r="AL104" i="35"/>
  <c r="AH104" i="35"/>
  <c r="AG104" i="35"/>
  <c r="AF104" i="35"/>
  <c r="AL103" i="35"/>
  <c r="AH103" i="35"/>
  <c r="AG103" i="35"/>
  <c r="AF103" i="35"/>
  <c r="AL102" i="35"/>
  <c r="AH102" i="35"/>
  <c r="AG102" i="35"/>
  <c r="AF102" i="35"/>
  <c r="AL101" i="35"/>
  <c r="AH101" i="35"/>
  <c r="AG101" i="35"/>
  <c r="AF101" i="35"/>
  <c r="AL100" i="35"/>
  <c r="AH100" i="35"/>
  <c r="AG100" i="35"/>
  <c r="AF100" i="35"/>
  <c r="AL99" i="35"/>
  <c r="AH99" i="35"/>
  <c r="AG99" i="35"/>
  <c r="AF99" i="35"/>
  <c r="AL98" i="35"/>
  <c r="AH98" i="35"/>
  <c r="AG98" i="35"/>
  <c r="AF98" i="35"/>
  <c r="AL97" i="35"/>
  <c r="AH97" i="35"/>
  <c r="AG97" i="35"/>
  <c r="AF97" i="35"/>
  <c r="AL96" i="35"/>
  <c r="AH96" i="35"/>
  <c r="AG96" i="35"/>
  <c r="AF96" i="35"/>
  <c r="AL95" i="35"/>
  <c r="AH95" i="35"/>
  <c r="AG95" i="35"/>
  <c r="AF95" i="35"/>
  <c r="AL94" i="35"/>
  <c r="AH94" i="35"/>
  <c r="AG94" i="35"/>
  <c r="AF94" i="35"/>
  <c r="AL93" i="35"/>
  <c r="AH93" i="35"/>
  <c r="AG93" i="35"/>
  <c r="AF93" i="35"/>
  <c r="AL92" i="35"/>
  <c r="AH92" i="35"/>
  <c r="AG92" i="35"/>
  <c r="AF92" i="35"/>
  <c r="AL91" i="35"/>
  <c r="AH91" i="35"/>
  <c r="AG91" i="35"/>
  <c r="AF91" i="35"/>
  <c r="AL90" i="35"/>
  <c r="AH90" i="35"/>
  <c r="AG90" i="35"/>
  <c r="AF90" i="35"/>
  <c r="AL89" i="35"/>
  <c r="AH89" i="35"/>
  <c r="AG89" i="35"/>
  <c r="AF89" i="35"/>
  <c r="AL88" i="35"/>
  <c r="AH88" i="35"/>
  <c r="AG88" i="35"/>
  <c r="AF88" i="35"/>
  <c r="AL87" i="35"/>
  <c r="AH87" i="35"/>
  <c r="AG87" i="35"/>
  <c r="AF87" i="35"/>
  <c r="AL86" i="35"/>
  <c r="AH86" i="35"/>
  <c r="AG86" i="35"/>
  <c r="AF86" i="35"/>
  <c r="AL85" i="35"/>
  <c r="AH85" i="35"/>
  <c r="AG85" i="35"/>
  <c r="AF85" i="35"/>
  <c r="AL84" i="35"/>
  <c r="AH84" i="35"/>
  <c r="AG84" i="35"/>
  <c r="AF84" i="35"/>
  <c r="AL83" i="35"/>
  <c r="AH83" i="35"/>
  <c r="AG83" i="35"/>
  <c r="AF83" i="35"/>
  <c r="AL82" i="35"/>
  <c r="AH82" i="35"/>
  <c r="AG82" i="35"/>
  <c r="AF82" i="35"/>
  <c r="AL81" i="35"/>
  <c r="AH81" i="35"/>
  <c r="AG81" i="35"/>
  <c r="AF81" i="35"/>
  <c r="AL80" i="35"/>
  <c r="AH80" i="35"/>
  <c r="AG80" i="35"/>
  <c r="AF80" i="35"/>
  <c r="AL79" i="35"/>
  <c r="AH79" i="35"/>
  <c r="AG79" i="35"/>
  <c r="AF79" i="35"/>
  <c r="AL78" i="35"/>
  <c r="AH78" i="35"/>
  <c r="AG78" i="35"/>
  <c r="AF78" i="35"/>
  <c r="AL77" i="35"/>
  <c r="AH77" i="35"/>
  <c r="AG77" i="35"/>
  <c r="AF77" i="35"/>
  <c r="AL76" i="35"/>
  <c r="AH76" i="35"/>
  <c r="AG76" i="35"/>
  <c r="AF76" i="35"/>
  <c r="AL75" i="35"/>
  <c r="AH75" i="35"/>
  <c r="AG75" i="35"/>
  <c r="AF75" i="35"/>
  <c r="AL74" i="35"/>
  <c r="AH74" i="35"/>
  <c r="AG74" i="35"/>
  <c r="AF74" i="35"/>
  <c r="AL73" i="35"/>
  <c r="AH73" i="35"/>
  <c r="AG73" i="35"/>
  <c r="AF73" i="35"/>
  <c r="AL72" i="35"/>
  <c r="AH72" i="35"/>
  <c r="AG72" i="35"/>
  <c r="AF72" i="35"/>
  <c r="AL71" i="35"/>
  <c r="AH71" i="35"/>
  <c r="AG71" i="35"/>
  <c r="AF71" i="35"/>
  <c r="AL70" i="35"/>
  <c r="AH70" i="35"/>
  <c r="AG70" i="35"/>
  <c r="AF70" i="35"/>
  <c r="AL69" i="35"/>
  <c r="AH69" i="35"/>
  <c r="AG69" i="35"/>
  <c r="AF69" i="35"/>
  <c r="AL68" i="35"/>
  <c r="AH68" i="35"/>
  <c r="AG68" i="35"/>
  <c r="AF68" i="35"/>
  <c r="AL67" i="35"/>
  <c r="AH67" i="35"/>
  <c r="AG67" i="35"/>
  <c r="AF67" i="35"/>
  <c r="AL66" i="35"/>
  <c r="AH66" i="35"/>
  <c r="AG66" i="35"/>
  <c r="AF66" i="35"/>
  <c r="AL65" i="35"/>
  <c r="AH65" i="35"/>
  <c r="AG65" i="35"/>
  <c r="AF65" i="35"/>
  <c r="AL64" i="35"/>
  <c r="AH64" i="35"/>
  <c r="AG64" i="35"/>
  <c r="AF64" i="35"/>
  <c r="AL63" i="35"/>
  <c r="AH63" i="35"/>
  <c r="AG63" i="35"/>
  <c r="AF63" i="35"/>
  <c r="AL62" i="35"/>
  <c r="AH62" i="35"/>
  <c r="AG62" i="35"/>
  <c r="AF62" i="35"/>
  <c r="AL61" i="35"/>
  <c r="AH61" i="35"/>
  <c r="AG61" i="35"/>
  <c r="AF61" i="35"/>
  <c r="AL60" i="35"/>
  <c r="AH60" i="35"/>
  <c r="AG60" i="35"/>
  <c r="AF60" i="35"/>
  <c r="AL59" i="35"/>
  <c r="AH59" i="35"/>
  <c r="AG59" i="35"/>
  <c r="AF59" i="35"/>
  <c r="AL58" i="35"/>
  <c r="AH58" i="35"/>
  <c r="AG58" i="35"/>
  <c r="AF58" i="35"/>
  <c r="AL57" i="35"/>
  <c r="AH57" i="35"/>
  <c r="AG57" i="35"/>
  <c r="AF57" i="35"/>
  <c r="AL56" i="35"/>
  <c r="AH56" i="35"/>
  <c r="AG56" i="35"/>
  <c r="AF56" i="35"/>
  <c r="AL55" i="35"/>
  <c r="AH55" i="35"/>
  <c r="AG55" i="35"/>
  <c r="AF55" i="35"/>
  <c r="AL54" i="35"/>
  <c r="AH54" i="35"/>
  <c r="AG54" i="35"/>
  <c r="AF54" i="35"/>
  <c r="AL53" i="35"/>
  <c r="AH53" i="35"/>
  <c r="AG53" i="35"/>
  <c r="AF53" i="35"/>
  <c r="AL52" i="35"/>
  <c r="AH52" i="35"/>
  <c r="AG52" i="35"/>
  <c r="AF52" i="35"/>
  <c r="AL51" i="35"/>
  <c r="AH51" i="35"/>
  <c r="AG51" i="35"/>
  <c r="AF51" i="35"/>
  <c r="AL50" i="35"/>
  <c r="AH50" i="35"/>
  <c r="AG50" i="35"/>
  <c r="AF50" i="35"/>
  <c r="AL49" i="35"/>
  <c r="AH49" i="35"/>
  <c r="AG49" i="35"/>
  <c r="AF49" i="35"/>
  <c r="AL48" i="35"/>
  <c r="AH48" i="35"/>
  <c r="AG48" i="35"/>
  <c r="AF48" i="35"/>
  <c r="AL47" i="35"/>
  <c r="AH47" i="35"/>
  <c r="AG47" i="35"/>
  <c r="AF47" i="35"/>
  <c r="AL46" i="35"/>
  <c r="AH46" i="35"/>
  <c r="AG46" i="35"/>
  <c r="AF46" i="35"/>
  <c r="AL45" i="35"/>
  <c r="AH45" i="35"/>
  <c r="AG45" i="35"/>
  <c r="AF45" i="35"/>
  <c r="AL44" i="35"/>
  <c r="AH44" i="35"/>
  <c r="AG44" i="35"/>
  <c r="AF44" i="35"/>
  <c r="AL43" i="35"/>
  <c r="AH43" i="35"/>
  <c r="AG43" i="35"/>
  <c r="AF43" i="35"/>
  <c r="AL42" i="35"/>
  <c r="AH42" i="35"/>
  <c r="AG42" i="35"/>
  <c r="AF42" i="35"/>
  <c r="AL41" i="35"/>
  <c r="AH41" i="35"/>
  <c r="AG41" i="35"/>
  <c r="AF41" i="35"/>
  <c r="AL40" i="35"/>
  <c r="AH40" i="35"/>
  <c r="AG40" i="35"/>
  <c r="AF40" i="35"/>
  <c r="AL39" i="35"/>
  <c r="AH39" i="35"/>
  <c r="AG39" i="35"/>
  <c r="AF39" i="35"/>
  <c r="AL38" i="35"/>
  <c r="AH38" i="35"/>
  <c r="AG38" i="35"/>
  <c r="AF38" i="35"/>
  <c r="AL37" i="35"/>
  <c r="AH37" i="35"/>
  <c r="AG37" i="35"/>
  <c r="AF37" i="35"/>
  <c r="AL36" i="35"/>
  <c r="AH36" i="35"/>
  <c r="AG36" i="35"/>
  <c r="AF36" i="35"/>
  <c r="AL35" i="35"/>
  <c r="AH35" i="35"/>
  <c r="AG35" i="35"/>
  <c r="AF35" i="35"/>
  <c r="AL34" i="35"/>
  <c r="AH34" i="35"/>
  <c r="AG34" i="35"/>
  <c r="AF34" i="35"/>
  <c r="AL33" i="35"/>
  <c r="AH33" i="35"/>
  <c r="AG33" i="35"/>
  <c r="AF33" i="35"/>
  <c r="AL32" i="35"/>
  <c r="AH32" i="35"/>
  <c r="AG32" i="35"/>
  <c r="AF32" i="35"/>
  <c r="AL31" i="35"/>
  <c r="AH31" i="35"/>
  <c r="AG31" i="35"/>
  <c r="AF31" i="35"/>
  <c r="AL30" i="35"/>
  <c r="AH30" i="35"/>
  <c r="AG30" i="35"/>
  <c r="AF30" i="35"/>
  <c r="AL29" i="35"/>
  <c r="AH29" i="35"/>
  <c r="AG29" i="35"/>
  <c r="AF29" i="35"/>
  <c r="AL28" i="35"/>
  <c r="AH28" i="35"/>
  <c r="AG28" i="35"/>
  <c r="AF28" i="35"/>
  <c r="AL27" i="35"/>
  <c r="AH27" i="35"/>
  <c r="AG27" i="35"/>
  <c r="AF27" i="35"/>
  <c r="AL26" i="35"/>
  <c r="AH26" i="35"/>
  <c r="AG26" i="35"/>
  <c r="AF26" i="35"/>
  <c r="AL25" i="35"/>
  <c r="AH25" i="35"/>
  <c r="AG25" i="35"/>
  <c r="AF25" i="35"/>
  <c r="AL24" i="35"/>
  <c r="AH24" i="35"/>
  <c r="AG24" i="35"/>
  <c r="AF24" i="35"/>
  <c r="AL23" i="35"/>
  <c r="AH23" i="35"/>
  <c r="AG23" i="35"/>
  <c r="AF23" i="35"/>
  <c r="AL22" i="35"/>
  <c r="AH22" i="35"/>
  <c r="AG22" i="35"/>
  <c r="AF22" i="35"/>
  <c r="AL21" i="35"/>
  <c r="AH21" i="35"/>
  <c r="AG21" i="35"/>
  <c r="AF21" i="35"/>
  <c r="AL20" i="35"/>
  <c r="AH20" i="35"/>
  <c r="AG20" i="35"/>
  <c r="AF20" i="35"/>
  <c r="AL19" i="35"/>
  <c r="AH19" i="35"/>
  <c r="AG19" i="35"/>
  <c r="AF19" i="35"/>
  <c r="AL18" i="35"/>
  <c r="AH18" i="35"/>
  <c r="AG18" i="35"/>
  <c r="AF18" i="35"/>
  <c r="AL17" i="35"/>
  <c r="AH17" i="35"/>
  <c r="AG17" i="35"/>
  <c r="AF17" i="35"/>
  <c r="AL16" i="35"/>
  <c r="AH16" i="35"/>
  <c r="AG16" i="35"/>
  <c r="AF16" i="35"/>
  <c r="AL15" i="35"/>
  <c r="AH15" i="35"/>
  <c r="AG15" i="35"/>
  <c r="AF15" i="35"/>
  <c r="AL14" i="35"/>
  <c r="AH14" i="35"/>
  <c r="AG14" i="35"/>
  <c r="AF14" i="35"/>
  <c r="AL13" i="35"/>
  <c r="AH13" i="35"/>
  <c r="AG13" i="35"/>
  <c r="AF13" i="35"/>
  <c r="AL12" i="35"/>
  <c r="AH12" i="35"/>
  <c r="AG12" i="35"/>
  <c r="AF12" i="35"/>
  <c r="AL11" i="35"/>
  <c r="AH11" i="35"/>
  <c r="AG11" i="35"/>
  <c r="AF11" i="35"/>
  <c r="AL10" i="35"/>
  <c r="AH10" i="35"/>
  <c r="AG10" i="35"/>
  <c r="AF10" i="35"/>
  <c r="AL9" i="35"/>
  <c r="AH9" i="35"/>
  <c r="AG9" i="35"/>
  <c r="AF9" i="35"/>
  <c r="AL8" i="35"/>
  <c r="AH8" i="35"/>
  <c r="AG8" i="35"/>
  <c r="AF8" i="35"/>
  <c r="AL7" i="35"/>
  <c r="AH7" i="35"/>
  <c r="AG7" i="35"/>
  <c r="AF7" i="35"/>
  <c r="AL6" i="35"/>
  <c r="AH6" i="35"/>
  <c r="AG6" i="35"/>
  <c r="AF6" i="35"/>
  <c r="AL5" i="35"/>
  <c r="AH5" i="35"/>
  <c r="AF5" i="35"/>
  <c r="T112" i="14" l="1"/>
  <c r="T113" i="14"/>
  <c r="T114" i="14"/>
  <c r="T115" i="14"/>
  <c r="D89" i="41" l="1"/>
  <c r="T82" i="14"/>
  <c r="T83" i="14"/>
  <c r="Y70" i="14"/>
  <c r="T70" i="14"/>
  <c r="D94" i="41" l="1"/>
  <c r="T123" i="14"/>
  <c r="Z103" i="14"/>
  <c r="U103" i="14"/>
  <c r="P106" i="14"/>
  <c r="P103" i="14"/>
  <c r="X46" i="72" s="1"/>
  <c r="J103" i="14"/>
  <c r="F99" i="64" s="1"/>
  <c r="Y66" i="14"/>
  <c r="Y67" i="14"/>
  <c r="Y69" i="14"/>
  <c r="Y71" i="14"/>
  <c r="T66" i="14"/>
  <c r="T67" i="14"/>
  <c r="T69" i="14"/>
  <c r="T71" i="14"/>
  <c r="T63" i="14"/>
  <c r="Y37" i="14"/>
  <c r="Y38" i="14"/>
  <c r="Y40" i="14"/>
  <c r="Y54" i="14"/>
  <c r="Y34" i="14"/>
  <c r="T37" i="14"/>
  <c r="T38" i="14"/>
  <c r="T40" i="14"/>
  <c r="T34" i="14"/>
  <c r="S110" i="64" l="1"/>
  <c r="T110" i="64" s="1"/>
  <c r="S111" i="64" s="1"/>
  <c r="Z63" i="72"/>
  <c r="W63" i="72"/>
  <c r="W84" i="17"/>
  <c r="W81" i="72"/>
  <c r="X81" i="72"/>
  <c r="W19" i="72"/>
  <c r="X19" i="72"/>
  <c r="Z19" i="72"/>
  <c r="X48" i="72"/>
  <c r="Z19" i="17"/>
  <c r="X47" i="17"/>
  <c r="O20" i="79" s="1"/>
  <c r="V56" i="17"/>
  <c r="M21" i="79" s="1"/>
  <c r="X49" i="17"/>
  <c r="Z66" i="17"/>
  <c r="W66" i="17"/>
  <c r="X84" i="17"/>
  <c r="E56" i="55"/>
  <c r="N99" i="55" a="1"/>
  <c r="N99" i="55" s="1"/>
  <c r="D110" i="41"/>
  <c r="D81" i="41"/>
  <c r="D52" i="41"/>
  <c r="D12" i="41"/>
  <c r="C56" i="47"/>
  <c r="C55" i="47"/>
  <c r="C87" i="47"/>
  <c r="T103" i="14"/>
  <c r="F222" i="64" s="1"/>
  <c r="S230" i="64" s="1"/>
  <c r="T111" i="14"/>
  <c r="H38" i="53"/>
  <c r="T122" i="14"/>
  <c r="T230" i="64" l="1"/>
  <c r="S231" i="64" s="1"/>
  <c r="F165" i="64"/>
  <c r="S174" i="64" s="1"/>
  <c r="G20" i="79"/>
  <c r="E28" i="79"/>
  <c r="G46" i="72"/>
  <c r="V46" i="72" s="1"/>
  <c r="G47" i="72"/>
  <c r="V47" i="72" s="1"/>
  <c r="I48" i="72"/>
  <c r="M63" i="72"/>
  <c r="AB63" i="72" s="1"/>
  <c r="M72" i="72"/>
  <c r="M65" i="72"/>
  <c r="AB65" i="72" s="1"/>
  <c r="M64" i="72"/>
  <c r="M73" i="72"/>
  <c r="H71" i="72"/>
  <c r="K71" i="72"/>
  <c r="J71" i="72"/>
  <c r="Y71" i="72" s="1"/>
  <c r="H19" i="72"/>
  <c r="K19" i="72"/>
  <c r="H19" i="17"/>
  <c r="I19" i="72"/>
  <c r="M19" i="72"/>
  <c r="AB19" i="72" s="1"/>
  <c r="F19" i="72"/>
  <c r="U19" i="72" s="1"/>
  <c r="G19" i="72"/>
  <c r="V19" i="72" s="1"/>
  <c r="K63" i="72"/>
  <c r="H63" i="72"/>
  <c r="F63" i="72"/>
  <c r="U63" i="72" s="1"/>
  <c r="J63" i="72"/>
  <c r="Y63" i="72" s="1"/>
  <c r="G63" i="72"/>
  <c r="V63" i="72" s="1"/>
  <c r="H84" i="17"/>
  <c r="Z81" i="72"/>
  <c r="H81" i="72"/>
  <c r="I81" i="72"/>
  <c r="K81" i="72"/>
  <c r="F81" i="72"/>
  <c r="U81" i="72" s="1"/>
  <c r="G81" i="72"/>
  <c r="V81" i="72" s="1"/>
  <c r="J81" i="72"/>
  <c r="Y81" i="72" s="1"/>
  <c r="I46" i="72"/>
  <c r="F46" i="72"/>
  <c r="U46" i="72" s="1"/>
  <c r="M82" i="72"/>
  <c r="AB82" i="72" s="1"/>
  <c r="M90" i="72"/>
  <c r="M83" i="72"/>
  <c r="AB83" i="72" s="1"/>
  <c r="M91" i="72"/>
  <c r="M81" i="72"/>
  <c r="AB81" i="72" s="1"/>
  <c r="I89" i="72"/>
  <c r="K89" i="72"/>
  <c r="H89" i="72"/>
  <c r="J89" i="72"/>
  <c r="Y89" i="72" s="1"/>
  <c r="G48" i="17"/>
  <c r="V48" i="17" s="1"/>
  <c r="G47" i="17"/>
  <c r="I49" i="17"/>
  <c r="I47" i="17"/>
  <c r="F47" i="17"/>
  <c r="U47" i="17" s="1"/>
  <c r="K84" i="17"/>
  <c r="F84" i="17"/>
  <c r="U84" i="17" s="1"/>
  <c r="G84" i="17"/>
  <c r="J42" i="61" s="1" a="1"/>
  <c r="J42" i="61" s="1"/>
  <c r="J41" i="61" s="1"/>
  <c r="N41" i="61" s="1"/>
  <c r="Q41" i="61" s="1"/>
  <c r="X41" i="61" s="1"/>
  <c r="J84" i="17"/>
  <c r="Y84" i="17" s="1"/>
  <c r="M85" i="17"/>
  <c r="AB85" i="17" s="1"/>
  <c r="K92" i="17"/>
  <c r="M94" i="17"/>
  <c r="M93" i="17"/>
  <c r="H92" i="17"/>
  <c r="M84" i="17"/>
  <c r="AB84" i="17" s="1"/>
  <c r="I92" i="17"/>
  <c r="M86" i="17"/>
  <c r="AB86" i="17" s="1"/>
  <c r="J92" i="17"/>
  <c r="Y92" i="17" s="1"/>
  <c r="E92" i="55"/>
  <c r="M67" i="17"/>
  <c r="H74" i="17"/>
  <c r="K74" i="17"/>
  <c r="M75" i="17"/>
  <c r="M76" i="17"/>
  <c r="M66" i="17"/>
  <c r="AB66" i="17" s="1"/>
  <c r="M68" i="17"/>
  <c r="AB68" i="17" s="1"/>
  <c r="J74" i="17"/>
  <c r="Y74" i="17" s="1"/>
  <c r="H66" i="17"/>
  <c r="K66" i="17"/>
  <c r="G66" i="17"/>
  <c r="V66" i="17" s="1"/>
  <c r="J66" i="17"/>
  <c r="Y66" i="17" s="1"/>
  <c r="F66" i="17"/>
  <c r="U66" i="17" s="1"/>
  <c r="K19" i="17"/>
  <c r="I19" i="17"/>
  <c r="F19" i="17"/>
  <c r="U19" i="17" s="1"/>
  <c r="M19" i="17"/>
  <c r="AB19" i="17" s="1"/>
  <c r="G19" i="17"/>
  <c r="E74" i="55"/>
  <c r="E33" i="55"/>
  <c r="C86" i="47"/>
  <c r="Z84" i="17"/>
  <c r="I84" i="17"/>
  <c r="H81" i="55" a="1"/>
  <c r="H81" i="55" s="1"/>
  <c r="K100" i="55"/>
  <c r="J100" i="55" s="1"/>
  <c r="K99" i="55"/>
  <c r="K42" i="55"/>
  <c r="K43" i="55"/>
  <c r="J43" i="55" s="1"/>
  <c r="K62" i="55"/>
  <c r="K63" i="55"/>
  <c r="J63" i="55" s="1"/>
  <c r="N62" i="55" a="1"/>
  <c r="N62" i="55" s="1"/>
  <c r="C57" i="47"/>
  <c r="C59" i="47" s="1"/>
  <c r="AE107" i="14"/>
  <c r="N22" i="53" a="1"/>
  <c r="N22" i="53" s="1"/>
  <c r="N19" i="53" s="1"/>
  <c r="K38" i="53"/>
  <c r="H40" i="53"/>
  <c r="E68" i="53"/>
  <c r="H75" i="53" s="1"/>
  <c r="K75" i="53" s="1"/>
  <c r="D87" i="47"/>
  <c r="D14" i="41"/>
  <c r="Y86" i="17"/>
  <c r="D20" i="41"/>
  <c r="H51" i="41"/>
  <c r="H61" i="41" s="1"/>
  <c r="D62" i="41"/>
  <c r="D54" i="41"/>
  <c r="H59" i="41" s="1"/>
  <c r="H60" i="41" s="1"/>
  <c r="D83" i="41"/>
  <c r="H88" i="41" s="1"/>
  <c r="H89" i="41" s="1"/>
  <c r="H80" i="41"/>
  <c r="H90" i="41" s="1"/>
  <c r="D91" i="41"/>
  <c r="D112" i="41"/>
  <c r="H117" i="41" s="1"/>
  <c r="H109" i="41"/>
  <c r="H118" i="41" s="1"/>
  <c r="D120" i="41"/>
  <c r="AB21" i="17"/>
  <c r="E50" i="53"/>
  <c r="C58" i="47"/>
  <c r="Y68" i="17"/>
  <c r="E13" i="53"/>
  <c r="H62" i="55" a="1"/>
  <c r="H62" i="55" s="1"/>
  <c r="N76" i="53" a="1"/>
  <c r="N76" i="53" s="1"/>
  <c r="AK107" i="14"/>
  <c r="AL107" i="14"/>
  <c r="AJ107" i="14"/>
  <c r="AI107" i="14"/>
  <c r="AF107" i="14"/>
  <c r="W10" i="20"/>
  <c r="V10" i="20"/>
  <c r="U10" i="20"/>
  <c r="S10" i="20"/>
  <c r="R10" i="20"/>
  <c r="Q10" i="20"/>
  <c r="N10" i="20"/>
  <c r="O10" i="20"/>
  <c r="M10" i="20"/>
  <c r="K10" i="20"/>
  <c r="J10" i="20"/>
  <c r="I10" i="20"/>
  <c r="G10" i="20"/>
  <c r="F10" i="20"/>
  <c r="E10" i="20"/>
  <c r="E9" i="20" a="1"/>
  <c r="E9" i="20" s="1"/>
  <c r="T174" i="64" l="1"/>
  <c r="S175" i="64" s="1"/>
  <c r="J217" i="64" a="1"/>
  <c r="J217" i="64" s="1"/>
  <c r="K217" i="64" s="1"/>
  <c r="J162" i="64" a="1"/>
  <c r="J162" i="64" s="1"/>
  <c r="J161" i="64" s="1"/>
  <c r="J173" i="64" s="1"/>
  <c r="V19" i="17"/>
  <c r="E20" i="79" s="1"/>
  <c r="J99" i="64" a="1"/>
  <c r="J99" i="64" s="1"/>
  <c r="J98" i="64" s="1"/>
  <c r="J109" i="64" s="1"/>
  <c r="M110" i="64" s="1"/>
  <c r="Q43" i="61"/>
  <c r="Q44" i="61" s="1"/>
  <c r="T73" i="61" a="1"/>
  <c r="T73" i="61" s="1"/>
  <c r="D86" i="47"/>
  <c r="E86" i="47"/>
  <c r="L61" i="55"/>
  <c r="J62" i="55"/>
  <c r="K64" i="55"/>
  <c r="I41" i="55"/>
  <c r="L41" i="55"/>
  <c r="K44" i="55"/>
  <c r="J42" i="55"/>
  <c r="J99" i="55"/>
  <c r="L98" i="55"/>
  <c r="K101" i="55"/>
  <c r="H61" i="55"/>
  <c r="K61" i="55" s="1"/>
  <c r="N61" i="55" s="1"/>
  <c r="H80" i="55"/>
  <c r="K80" i="55" s="1"/>
  <c r="N80" i="55" s="1"/>
  <c r="H99" i="55" a="1"/>
  <c r="H99" i="55" s="1"/>
  <c r="H42" i="55" a="1"/>
  <c r="H42" i="55" s="1"/>
  <c r="H41" i="55" s="1"/>
  <c r="N21" i="53"/>
  <c r="H22" i="53" a="1"/>
  <c r="H22" i="53" s="1"/>
  <c r="H21" i="53" s="1"/>
  <c r="K21" i="53" s="1"/>
  <c r="V84" i="17"/>
  <c r="Q42" i="61" s="1" a="1"/>
  <c r="Q42" i="61" s="1"/>
  <c r="N75" i="53"/>
  <c r="N39" i="53" a="1"/>
  <c r="N39" i="53" s="1"/>
  <c r="N38" i="53" s="1"/>
  <c r="H76" i="53" a="1"/>
  <c r="H76" i="53" s="1"/>
  <c r="H77" i="53" s="1"/>
  <c r="H57" i="53"/>
  <c r="K57" i="53" s="1"/>
  <c r="H58" i="53" a="1"/>
  <c r="H58" i="53" s="1"/>
  <c r="H59" i="53" s="1"/>
  <c r="V47" i="17"/>
  <c r="M20" i="79" s="1"/>
  <c r="D25" i="41"/>
  <c r="H19" i="41" s="1"/>
  <c r="H20" i="41" s="1"/>
  <c r="D22" i="41"/>
  <c r="H11" i="41"/>
  <c r="H21" i="41" s="1"/>
  <c r="N17" i="53"/>
  <c r="N16" i="53"/>
  <c r="D59" i="47"/>
  <c r="D57" i="47"/>
  <c r="M24" i="5"/>
  <c r="L24" i="5"/>
  <c r="K24" i="5"/>
  <c r="N21" i="8"/>
  <c r="M21" i="8"/>
  <c r="L21" i="8"/>
  <c r="O27" i="2"/>
  <c r="N27" i="2"/>
  <c r="M27" i="2"/>
  <c r="J196" i="64" l="1"/>
  <c r="S183" i="64"/>
  <c r="S119" i="64"/>
  <c r="M186" i="64"/>
  <c r="J216" i="64"/>
  <c r="J229" i="64" s="1"/>
  <c r="M122" i="64"/>
  <c r="K162" i="64"/>
  <c r="M182" i="64"/>
  <c r="K99" i="64"/>
  <c r="U43" i="61"/>
  <c r="U45" i="61"/>
  <c r="U41" i="61"/>
  <c r="H98" i="55"/>
  <c r="K98" i="55" s="1"/>
  <c r="N98" i="55" s="1"/>
  <c r="K41" i="55"/>
  <c r="N41" i="55" s="1"/>
  <c r="N81" i="55" a="1"/>
  <c r="N81" i="55" s="1"/>
  <c r="N24" i="53"/>
  <c r="N58" i="53" a="1"/>
  <c r="N58" i="53" s="1"/>
  <c r="N57" i="53" s="1"/>
  <c r="E11" i="20"/>
  <c r="I11" i="20"/>
  <c r="V11" i="20"/>
  <c r="F11" i="20"/>
  <c r="R11" i="20"/>
  <c r="J11" i="20"/>
  <c r="M11" i="20"/>
  <c r="W11" i="20"/>
  <c r="N11" i="20"/>
  <c r="O11" i="20"/>
  <c r="G11" i="20"/>
  <c r="Q11" i="20"/>
  <c r="S11" i="20"/>
  <c r="K11" i="20"/>
  <c r="U11" i="20"/>
  <c r="M238" i="64" l="1"/>
  <c r="J250" i="64" s="1"/>
  <c r="S182" i="64"/>
  <c r="S184" i="64" s="1"/>
  <c r="T184" i="64" s="1"/>
  <c r="S187" i="64" s="1"/>
  <c r="M180" i="64"/>
  <c r="M188" i="64" s="1"/>
  <c r="R43" i="55"/>
  <c r="R41" i="55"/>
  <c r="R45" i="55"/>
  <c r="N43" i="55"/>
  <c r="N44" i="55" s="1"/>
  <c r="U41" i="55"/>
  <c r="N42" i="55" a="1"/>
  <c r="N42" i="55" s="1"/>
  <c r="M236" i="64" l="1"/>
  <c r="M244" i="64" s="1"/>
  <c r="S238" i="64"/>
  <c r="S240" i="64" s="1"/>
  <c r="T240" i="64" s="1"/>
  <c r="S243" i="64" s="1"/>
  <c r="M194" i="64"/>
  <c r="M192" i="64"/>
  <c r="M193" i="64"/>
  <c r="M118" i="64"/>
  <c r="M116" i="64" s="1"/>
  <c r="M113" i="64" l="1"/>
  <c r="S117" i="64"/>
  <c r="M249" i="64"/>
  <c r="M247" i="64"/>
  <c r="M248" i="64"/>
  <c r="S118" i="64"/>
  <c r="J132" i="64"/>
  <c r="M125" i="64" l="1"/>
  <c r="M131" i="64" s="1"/>
  <c r="S120" i="64"/>
  <c r="T120" i="64" s="1"/>
  <c r="S123" i="64" s="1"/>
  <c r="M129" i="64" l="1"/>
  <c r="M130" i="6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 ALAÏS</author>
  </authors>
  <commentList>
    <comment ref="E23" authorId="0" shapeId="0" xr:uid="{DD5A72D2-93D1-41FB-AE05-9496ECF09E59}">
      <text>
        <r>
          <rPr>
            <b/>
            <sz val="9"/>
            <color indexed="81"/>
            <rFont val="Tahoma"/>
            <family val="2"/>
          </rPr>
          <t>ANDRE ALAÏS:</t>
        </r>
        <r>
          <rPr>
            <sz val="9"/>
            <color indexed="81"/>
            <rFont val="Tahoma"/>
            <family val="2"/>
          </rPr>
          <t xml:space="preserve">
 (à afficher en fenêtre pop-up sur le CRM)</t>
        </r>
      </text>
    </comment>
    <comment ref="E32" authorId="0" shapeId="0" xr:uid="{17D5604E-C8F6-47A5-B805-8499EB597ED9}">
      <text>
        <r>
          <rPr>
            <b/>
            <sz val="9"/>
            <color indexed="81"/>
            <rFont val="Tahoma"/>
            <family val="2"/>
          </rPr>
          <t>ANDRE ALAÏS:</t>
        </r>
        <r>
          <rPr>
            <sz val="9"/>
            <color indexed="81"/>
            <rFont val="Tahoma"/>
            <family val="2"/>
          </rPr>
          <t xml:space="preserve">
 (à afficher en fenêtre pop-up sur le CRM)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ANDRE ALAÏS</author>
  </authors>
  <commentList>
    <comment ref="D27" authorId="0" shapeId="0" xr:uid="{A2D4D768-0D18-4709-8A1F-F495C8E94641}">
      <text>
        <r>
          <rPr>
            <b/>
            <sz val="9"/>
            <color indexed="81"/>
            <rFont val="Tahoma"/>
            <family val="2"/>
          </rPr>
          <t>ANDRE ALAÏS:</t>
        </r>
        <r>
          <rPr>
            <sz val="9"/>
            <color indexed="81"/>
            <rFont val="Tahoma"/>
            <family val="2"/>
          </rPr>
          <t xml:space="preserve">
Nombre de m2 moyen d'une maison au gaz</t>
        </r>
      </text>
    </comment>
    <comment ref="E27" authorId="0" shapeId="0" xr:uid="{7C3DB759-B84A-4DC1-A4B8-16CCA7A8D60D}">
      <text>
        <r>
          <rPr>
            <b/>
            <sz val="9"/>
            <color indexed="81"/>
            <rFont val="Tahoma"/>
            <family val="2"/>
          </rPr>
          <t>ANDRE ALAÏS:</t>
        </r>
        <r>
          <rPr>
            <sz val="9"/>
            <color indexed="81"/>
            <rFont val="Tahoma"/>
            <family val="2"/>
          </rPr>
          <t xml:space="preserve">
Surface moyenne d'un appartement indiv au gaz</t>
        </r>
      </text>
    </comment>
    <comment ref="D101" authorId="0" shapeId="0" xr:uid="{1E12E2B1-0ACD-4A34-A7C8-B21F8887D8B7}">
      <text>
        <r>
          <rPr>
            <b/>
            <sz val="9"/>
            <color indexed="81"/>
            <rFont val="Tahoma"/>
            <family val="2"/>
          </rPr>
          <t>ANDRE ALAÏS:</t>
        </r>
        <r>
          <rPr>
            <sz val="9"/>
            <color indexed="81"/>
            <rFont val="Tahoma"/>
            <family val="2"/>
          </rPr>
          <t xml:space="preserve">
Moyenne HP/HC
HP : 0,2146
HC : 0,1696</t>
        </r>
      </text>
    </comment>
    <comment ref="E101" authorId="0" shapeId="0" xr:uid="{B83C7EEE-1DE9-473C-96A8-7A01D5623FAD}">
      <text>
        <r>
          <rPr>
            <b/>
            <sz val="9"/>
            <color indexed="81"/>
            <rFont val="Tahoma"/>
            <family val="2"/>
          </rPr>
          <t>ANDRE ALAÏS:</t>
        </r>
        <r>
          <rPr>
            <sz val="9"/>
            <color indexed="81"/>
            <rFont val="Tahoma"/>
            <family val="2"/>
          </rPr>
          <t xml:space="preserve">
Moyenne HP/HC
HP : 0,2146
HC : 0,1696</t>
        </r>
      </text>
    </comment>
    <comment ref="D103" authorId="0" shapeId="0" xr:uid="{849A643D-8561-4E75-9DF6-ADD909A9F590}">
      <text>
        <r>
          <rPr>
            <b/>
            <sz val="9"/>
            <color indexed="81"/>
            <rFont val="Tahoma"/>
            <family val="2"/>
          </rPr>
          <t>ANDRE ALAÏS:</t>
        </r>
        <r>
          <rPr>
            <sz val="9"/>
            <color indexed="81"/>
            <rFont val="Tahoma"/>
            <family val="2"/>
          </rPr>
          <t xml:space="preserve">
Moyenne HP/HC 
HP : 0,1841
HC : 0,1470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ANDRE ALAÏS</author>
  </authors>
  <commentList>
    <comment ref="C8" authorId="0" shapeId="0" xr:uid="{431E4420-B71D-45D0-8036-0F49831AA60B}">
      <text>
        <r>
          <rPr>
            <b/>
            <sz val="9"/>
            <color indexed="81"/>
            <rFont val="Tahoma"/>
            <family val="2"/>
          </rPr>
          <t>ANDRE ALAÏS:</t>
        </r>
        <r>
          <rPr>
            <sz val="9"/>
            <color indexed="81"/>
            <rFont val="Tahoma"/>
            <family val="2"/>
          </rPr>
          <t xml:space="preserve">
Gaz naturel - 2022/mix moyen/consommation
ID BC : 37132
https://base-empreinte.ademe.fr/donnees/jeu-donnees/400569f8-83fb-3fff-97cf-6bf375d56142/0/false/null</t>
        </r>
      </text>
    </comment>
    <comment ref="C9" authorId="0" shapeId="0" xr:uid="{B47C014E-9D6B-4EFB-A8E5-061ABF784856}">
      <text>
        <r>
          <rPr>
            <b/>
            <sz val="9"/>
            <color indexed="81"/>
            <rFont val="Tahoma"/>
            <family val="2"/>
          </rPr>
          <t>ANDRE ALAÏS:</t>
        </r>
        <r>
          <rPr>
            <sz val="9"/>
            <color indexed="81"/>
            <rFont val="Tahoma"/>
            <family val="2"/>
          </rPr>
          <t xml:space="preserve">
Base Empreinte Ademe - Gaz naturel - 2022/mix moyen/consommation
https://base-empreinte.ademe.fr/donnees/jeu-donnees/a7f8cf7b-70d0-3ac0-b3b6-9dc2ce37bc33/0/false/null</t>
        </r>
      </text>
    </comment>
    <comment ref="C10" authorId="0" shapeId="0" xr:uid="{40ACD989-55BD-4BC6-931A-239A237BDAE2}">
      <text>
        <r>
          <rPr>
            <b/>
            <sz val="9"/>
            <color indexed="81"/>
            <rFont val="Tahoma"/>
            <family val="2"/>
          </rPr>
          <t>ANDRE ALAÏS:</t>
        </r>
        <r>
          <rPr>
            <sz val="9"/>
            <color indexed="81"/>
            <rFont val="Tahoma"/>
            <family val="2"/>
          </rPr>
          <t xml:space="preserve">
https://base-empreinte.ademe.fr/donnees/jeu-donnees/ea41af6a-ab15-36ed-afbf-1f71f538b216/0/false/null</t>
        </r>
      </text>
    </comment>
    <comment ref="C13" authorId="0" shapeId="0" xr:uid="{6730B95E-24C1-4FC3-9078-45EB7E89D832}">
      <text>
        <r>
          <rPr>
            <b/>
            <sz val="9"/>
            <color indexed="81"/>
            <rFont val="Tahoma"/>
          </rPr>
          <t>ANDRE ALAÏS:</t>
        </r>
        <r>
          <rPr>
            <sz val="9"/>
            <color indexed="81"/>
            <rFont val="Tahoma"/>
          </rPr>
          <t xml:space="preserve">
Propane/Combustion en chaudière/Label E+/C-
ID BC : 25828</t>
        </r>
      </text>
    </comment>
    <comment ref="C14" authorId="0" shapeId="0" xr:uid="{564C424B-9CD4-4966-A2D4-6DB4E8149D04}">
      <text>
        <r>
          <rPr>
            <b/>
            <sz val="9"/>
            <color indexed="81"/>
            <rFont val="Tahoma"/>
          </rPr>
          <t>ANDRE ALAÏS:</t>
        </r>
        <r>
          <rPr>
            <sz val="9"/>
            <color indexed="81"/>
            <rFont val="Tahoma"/>
          </rPr>
          <t xml:space="preserve">
Bois granulé/Combustion en chaudière/Label E+/C-
ID BC :  25829</t>
        </r>
      </text>
    </comment>
    <comment ref="C15" authorId="0" shapeId="0" xr:uid="{4746C9D8-36B1-4568-99EA-3CF84D173E5B}">
      <text>
        <r>
          <rPr>
            <b/>
            <sz val="9"/>
            <color indexed="81"/>
            <rFont val="Tahoma"/>
            <family val="2"/>
          </rPr>
          <t>ANDRE ALAÏS:</t>
        </r>
        <r>
          <rPr>
            <sz val="9"/>
            <color indexed="81"/>
            <rFont val="Tahoma"/>
            <family val="2"/>
          </rPr>
          <t xml:space="preserve">
Electricite/2023-mix moyen/consommation France continentale
ID BC : 43277</t>
        </r>
      </text>
    </comment>
    <comment ref="C16" authorId="0" shapeId="0" xr:uid="{67B9822C-8B2E-4F67-81EF-501C1A40CB4A}">
      <text>
        <r>
          <rPr>
            <b/>
            <sz val="9"/>
            <color indexed="81"/>
            <rFont val="Tahoma"/>
            <family val="2"/>
          </rPr>
          <t>ANDRE ALAÏS:</t>
        </r>
        <r>
          <rPr>
            <sz val="9"/>
            <color indexed="81"/>
            <rFont val="Tahoma"/>
            <family val="2"/>
          </rPr>
          <t xml:space="preserve">
Enquête annuelle des réseaux de chaleur et de froid (2024) sur la base d'une moyenne de 1000 RCU</t>
        </r>
      </text>
    </comment>
    <comment ref="C19" authorId="0" shapeId="0" xr:uid="{2BD7A661-73C4-4D03-B8E7-40DE1C6C3162}">
      <text>
        <r>
          <rPr>
            <b/>
            <sz val="9"/>
            <color indexed="81"/>
            <rFont val="Tahoma"/>
            <family val="2"/>
          </rPr>
          <t>ANDRE ALAÏS:</t>
        </r>
        <r>
          <rPr>
            <sz val="9"/>
            <color indexed="81"/>
            <rFont val="Tahoma"/>
            <family val="2"/>
          </rPr>
          <t xml:space="preserve">
GNC, Gaz naturel Comprimé pour véhicule routier - France continentale
ID BC : 27095 </t>
        </r>
      </text>
    </comment>
    <comment ref="C20" authorId="0" shapeId="0" xr:uid="{4D6E4894-DD24-43CE-A3E9-C6E903BC399D}">
      <text>
        <r>
          <rPr>
            <b/>
            <sz val="9"/>
            <color indexed="81"/>
            <rFont val="Tahoma"/>
            <family val="2"/>
          </rPr>
          <t>ANDRE ALAÏS:</t>
        </r>
        <r>
          <rPr>
            <sz val="9"/>
            <color indexed="81"/>
            <rFont val="Tahoma"/>
            <family val="2"/>
          </rPr>
          <t xml:space="preserve">
GNL, Gaz Naturel Liquéfié/(inclus routier, maritime et fluvial) - France métropolitaine
ID BC : 34428</t>
        </r>
      </text>
    </comment>
    <comment ref="C21" authorId="0" shapeId="0" xr:uid="{4AAF7783-DC01-4748-8B2A-FDE62C7A5AAA}">
      <text>
        <r>
          <rPr>
            <b/>
            <sz val="9"/>
            <color indexed="81"/>
            <rFont val="Tahoma"/>
            <family val="2"/>
          </rPr>
          <t>ANDRE ALAÏS:</t>
        </r>
        <r>
          <rPr>
            <sz val="9"/>
            <color indexed="81"/>
            <rFont val="Tahoma"/>
            <family val="2"/>
          </rPr>
          <t xml:space="preserve">
BioGNC - Biométhane comprimé/Pour véhicule routier/Mix moyen
ID BC : 28301 </t>
        </r>
      </text>
    </comment>
    <comment ref="C22" authorId="0" shapeId="0" xr:uid="{52A01D16-13CB-466D-B065-B627F8C8FFF3}">
      <text>
        <r>
          <rPr>
            <b/>
            <sz val="9"/>
            <color indexed="81"/>
            <rFont val="Tahoma"/>
            <family val="2"/>
          </rPr>
          <t>ANDRE ALAÏS:</t>
        </r>
        <r>
          <rPr>
            <sz val="9"/>
            <color indexed="81"/>
            <rFont val="Tahoma"/>
            <family val="2"/>
          </rPr>
          <t xml:space="preserve">
Essence/E85 France métropolitaine
ID BC : 25766 </t>
        </r>
      </text>
    </comment>
    <comment ref="C23" authorId="0" shapeId="0" xr:uid="{36622545-C6AD-4807-B621-2C94DF4782C2}">
      <text>
        <r>
          <rPr>
            <b/>
            <sz val="9"/>
            <color indexed="81"/>
            <rFont val="Tahoma"/>
            <family val="2"/>
          </rPr>
          <t>ANDRE ALAÏS:</t>
        </r>
        <r>
          <rPr>
            <sz val="9"/>
            <color indexed="81"/>
            <rFont val="Tahoma"/>
            <family val="2"/>
          </rPr>
          <t xml:space="preserve">
France métropolitaine 
ID BC : 13988</t>
        </r>
      </text>
    </comment>
    <comment ref="C24" authorId="0" shapeId="0" xr:uid="{E4B5100C-576D-4B85-BAED-D0B12DE55BC0}">
      <text>
        <r>
          <rPr>
            <b/>
            <sz val="9"/>
            <color indexed="81"/>
            <rFont val="Tahoma"/>
            <family val="2"/>
          </rPr>
          <t>ANDRE ALAÏS:</t>
        </r>
        <r>
          <rPr>
            <sz val="9"/>
            <color indexed="81"/>
            <rFont val="Tahoma"/>
            <family val="2"/>
          </rPr>
          <t xml:space="preserve">
France métropolitaine
ID BC : 25763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tc={AFE752D6-09FA-4AA5-B824-6372B1C1570B}</author>
  </authors>
  <commentList>
    <comment ref="F35" authorId="0" shapeId="0" xr:uid="{AFE752D6-09FA-4AA5-B824-6372B1C157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Formule : =SI(zone clim="H2";formule H2;SI(zone clim="H1";formule H1;SI(zone climatique="H3";formule H2;rien)))</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<sst xmlns="http://schemas.openxmlformats.org/spreadsheetml/2006/main" count="17130" uniqueCount="3834">
  <si>
    <t xml:space="preserve">Récapitulatif des sources </t>
  </si>
  <si>
    <t>Interne/externe</t>
  </si>
  <si>
    <t>Source</t>
  </si>
  <si>
    <t>Contact</t>
  </si>
  <si>
    <t xml:space="preserve">Consommations de bâtiments </t>
  </si>
  <si>
    <t>Interne</t>
  </si>
  <si>
    <t>DPEX</t>
  </si>
  <si>
    <t>Benoît CHAINTREUIL</t>
  </si>
  <si>
    <t>Badia LAHLOU</t>
  </si>
  <si>
    <t>Consommations industrielles</t>
  </si>
  <si>
    <t>Marché industrie (CEREN)</t>
  </si>
  <si>
    <t>Laurent LANTOINE</t>
  </si>
  <si>
    <t>Marché industrie / IEE</t>
  </si>
  <si>
    <t>Rénovation</t>
  </si>
  <si>
    <t>Gains moyens d'une rénovation (en cours d'intégration)</t>
  </si>
  <si>
    <t>Cegibat / étude Guillemard</t>
  </si>
  <si>
    <t>Héloïse POSS</t>
  </si>
  <si>
    <t>Facteurs d'émissions</t>
  </si>
  <si>
    <t>Externe</t>
  </si>
  <si>
    <t>Base Empreinte ADEME</t>
  </si>
  <si>
    <t xml:space="preserve">Données prospectives de marché </t>
  </si>
  <si>
    <t>Perspectives Gaz 2024</t>
  </si>
  <si>
    <t>Direction Strat (Magalie SERON)</t>
  </si>
  <si>
    <t>Ces hypothèses nous semblent surestimées face à la réalité constatée du marché à date</t>
  </si>
  <si>
    <t>Alexis FOIREAU</t>
  </si>
  <si>
    <t>Facteurs économiques</t>
  </si>
  <si>
    <t>Marie CAMBRELIN</t>
  </si>
  <si>
    <t>Equivalents concrets</t>
  </si>
  <si>
    <t>/</t>
  </si>
  <si>
    <t>OLD</t>
  </si>
  <si>
    <t>Sources / Bibliographie</t>
  </si>
  <si>
    <t>Donnée</t>
  </si>
  <si>
    <t>Type de donnée</t>
  </si>
  <si>
    <t>Nom de la source</t>
  </si>
  <si>
    <t xml:space="preserve">Lien </t>
  </si>
  <si>
    <t>Délégation RSE (Alex Hennequière)</t>
  </si>
  <si>
    <t>https://base-empreinte.ademe.fr/donnees/jeu-donnees?state=Sy1Bek11LkVhQnVJbE1id1k5WFBIbXB4YURycGUudVhvM3BWazhJLjhxWFBo&amp;session_state=e0f72e21-9c1d-4690-9529-cfa07e45d607&amp;iss=https:%2F%2Fmoncompte.ademe.fr%2Fauth%2Frealms%2Fmaster&amp;code=e25c89a 6-04cc-43ed-a738-2807d43ebf83.e0f72e21-9c1d-4690-9529-cfa07e45d607.e8e7e1ec-ca0a-42ac-bf39-2abdf82b7fb2</t>
  </si>
  <si>
    <t>Potentiel de production du gaz vert d'ici 2050</t>
  </si>
  <si>
    <t>Article ADEME</t>
  </si>
  <si>
    <t>https://www.ademe.fr/presse/communique-national/decarboner-le-chauffage-quelle-place-pour-les-pompes-a-chaleur-lademe-publie-un-avis-dexpert/</t>
  </si>
  <si>
    <t>Prix du kWH (gaz, élec, fioul, bois, propane)</t>
  </si>
  <si>
    <t>Panorama des prix (DDM)</t>
  </si>
  <si>
    <t xml:space="preserve">Marie Cambrelin </t>
  </si>
  <si>
    <t>Panorama des prix des énergies février 2025 version détaillée.pdf</t>
  </si>
  <si>
    <t>Consommations par m2 par solutions (résidentiel et tertiaire)</t>
  </si>
  <si>
    <t>Consommations</t>
  </si>
  <si>
    <t xml:space="preserve">Chiffres DPEX </t>
  </si>
  <si>
    <t>Benoît Chaintreuil</t>
  </si>
  <si>
    <t>2702025 - Consommations par solutions chauffage-ECS.xlsx</t>
  </si>
  <si>
    <t>Evolutions du nombre de PCE et consommation par segment</t>
  </si>
  <si>
    <t>Prospectives</t>
  </si>
  <si>
    <t>Etude de la déformation du portefeuille client par segment à horizon 2030, DOOC/DCC, Mars 2023</t>
  </si>
  <si>
    <t>Anne-Lucie Divoire</t>
  </si>
  <si>
    <t>Déformation portefeuille - 2030 - Par région-1.pdf</t>
  </si>
  <si>
    <t>Conversion fioul en kWh</t>
  </si>
  <si>
    <t>Primagaz</t>
  </si>
  <si>
    <t>https://www.clicandfioul.com/guide/fioul/quelle-est-la-consommation-moyenne-de-fioul-au-m2</t>
  </si>
  <si>
    <t>Coûts d'une chaudière THPE individuelle</t>
  </si>
  <si>
    <t>Cegibat</t>
  </si>
  <si>
    <t>Chaudière individuelle à condensation THPE : Installation &amp; fonctionnement | Cegibat</t>
  </si>
  <si>
    <t>Coûts d'une chaudière THPE individuelle + chauffe eau solaire</t>
  </si>
  <si>
    <t>Chauffe-eau solaire individuel optimisé et chaudière à condensation | Cegibat</t>
  </si>
  <si>
    <t>Coûts d'une PAC hybride en maison existante (coût moyen 2021)</t>
  </si>
  <si>
    <t>PAC hybride - Solution chauffage/ECS maison | Cegibat</t>
  </si>
  <si>
    <t>Perspectives gaz 2024</t>
  </si>
  <si>
    <t>Direction Strat</t>
  </si>
  <si>
    <t>perspectives_gaz_2024_final_web-1.pdf</t>
  </si>
  <si>
    <t>Hypothèses  de rénovation PG24</t>
  </si>
  <si>
    <t>Magalie Seron</t>
  </si>
  <si>
    <t>PG24_Hypothèses par région_PE-1.xlsx</t>
  </si>
  <si>
    <t>Gains CO2 des rénovations du bâti</t>
  </si>
  <si>
    <t>Etude Guillemard</t>
  </si>
  <si>
    <t>Outil décarbo LS - envoi4-1-1.xlsx</t>
  </si>
  <si>
    <t>Consommation par m2 d'une PAC élec</t>
  </si>
  <si>
    <t xml:space="preserve">https://www.vattenfall.fr/le-mag-energie/consommation-maison-pompe-a-chaleur </t>
  </si>
  <si>
    <t>Coûts de la rénovation particulier (rénovation du bâti + système de chauffage)</t>
  </si>
  <si>
    <t>Simulateur Rénov</t>
  </si>
  <si>
    <t>Prix à la pompe (gazole, GNV, BioGNV°</t>
  </si>
  <si>
    <t>Bulletin des prix des énergies (mars 2025)</t>
  </si>
  <si>
    <t>DDM</t>
  </si>
  <si>
    <t>Bulletin des prix des énergies - Mars 2025.pdf</t>
  </si>
  <si>
    <t>Aides Ma Prime Rénov - parcours par gestes</t>
  </si>
  <si>
    <t xml:space="preserve">https://www.economie.gouv.fr/particuliers/prime-renovation-energetique#quel-est-le-montant-de-l-aide-_5 </t>
  </si>
  <si>
    <t>Aides Ma Prime Rénov - rénovation d'ampleur</t>
  </si>
  <si>
    <t xml:space="preserve">https://www.service-public.fr/particuliers/vosdroits/F35083 </t>
  </si>
  <si>
    <t>Intensité énergétique DPE 2025</t>
  </si>
  <si>
    <t>DPE</t>
  </si>
  <si>
    <t>Seuils de DPE 2025</t>
  </si>
  <si>
    <t>https://particulier.hellio.com/blog/actualites/dpe-2025</t>
  </si>
  <si>
    <t>Parc de logements par DPE</t>
  </si>
  <si>
    <t xml:space="preserve">https://www.statistiques.developpement-durable.gouv.fr/le-parc-de-logements-par-classe-de-performance-energetique-au-1er-janvier-2024 </t>
  </si>
  <si>
    <t>Equivalents TGV/voiture/etc.</t>
  </si>
  <si>
    <t>Scenarios</t>
  </si>
  <si>
    <t>Impact CO2 ADEME</t>
  </si>
  <si>
    <t>Comparateur carbone - Visioconférence | Impact CO₂</t>
  </si>
  <si>
    <t>Prix PAC hybride</t>
  </si>
  <si>
    <t>https://justdecarb.grdf.fr/pompe-chaleur-hybride-gaz-le-mix-energetique-la-maison</t>
  </si>
  <si>
    <t xml:space="preserve">Le référentiel de données décarbonation, qu'est-ce que c'est ? </t>
  </si>
  <si>
    <t>Un référentiel pour tous les segments de marché, travaillé avec de nombreux contributeurs</t>
  </si>
  <si>
    <t>Zoom sur les scénarios : une déclinaison du référentiel</t>
  </si>
  <si>
    <t>SOMMAIRE</t>
  </si>
  <si>
    <t>Sources</t>
  </si>
  <si>
    <t>Introduction</t>
  </si>
  <si>
    <t>1. Données conventionnelles</t>
  </si>
  <si>
    <t>A. Consommation</t>
  </si>
  <si>
    <r>
      <rPr>
        <b/>
        <sz val="11"/>
        <color theme="5"/>
        <rFont val="Arial"/>
        <family val="2"/>
        <scheme val="minor"/>
      </rPr>
      <t>A.0.</t>
    </r>
    <r>
      <rPr>
        <sz val="11"/>
        <color theme="5"/>
        <rFont val="Arial"/>
        <family val="2"/>
        <scheme val="minor"/>
      </rPr>
      <t xml:space="preserve"> Zones climatiques</t>
    </r>
  </si>
  <si>
    <r>
      <rPr>
        <b/>
        <sz val="11"/>
        <color theme="5"/>
        <rFont val="Arial"/>
        <family val="2"/>
        <scheme val="minor"/>
      </rPr>
      <t>A.2.</t>
    </r>
    <r>
      <rPr>
        <sz val="11"/>
        <color theme="5"/>
        <rFont val="Arial"/>
        <family val="2"/>
        <scheme val="minor"/>
      </rPr>
      <t xml:space="preserve"> Performances relatives énergétiques et CO2 entre équipements selon les bâtiments</t>
    </r>
  </si>
  <si>
    <r>
      <rPr>
        <b/>
        <sz val="11"/>
        <color theme="5"/>
        <rFont val="Arial"/>
        <family val="2"/>
        <scheme val="minor"/>
      </rPr>
      <t>A.3.</t>
    </r>
    <r>
      <rPr>
        <sz val="11"/>
        <color theme="5"/>
        <rFont val="Arial"/>
        <family val="2"/>
        <scheme val="minor"/>
      </rPr>
      <t xml:space="preserve"> Consommation moyenne par chaudière industrielle</t>
    </r>
  </si>
  <si>
    <t>A.3.1 Consommation procédés industriels hors chaudières (ex: fours)</t>
  </si>
  <si>
    <r>
      <rPr>
        <b/>
        <sz val="11"/>
        <color theme="5"/>
        <rFont val="Arial"/>
        <family val="2"/>
        <scheme val="minor"/>
      </rPr>
      <t>A.4.</t>
    </r>
    <r>
      <rPr>
        <sz val="11"/>
        <color theme="5"/>
        <rFont val="Arial"/>
        <family val="2"/>
        <scheme val="minor"/>
      </rPr>
      <t xml:space="preserve"> Performance CO2 des actions mises en place en industrie</t>
    </r>
  </si>
  <si>
    <r>
      <rPr>
        <b/>
        <sz val="11"/>
        <color theme="5"/>
        <rFont val="Arial"/>
        <family val="2"/>
        <scheme val="minor"/>
      </rPr>
      <t>A.5.</t>
    </r>
    <r>
      <rPr>
        <sz val="11"/>
        <color theme="5"/>
        <rFont val="Arial"/>
        <family val="2"/>
        <scheme val="minor"/>
      </rPr>
      <t xml:space="preserve"> Kilométrage et consommation moyenne par type de véhicule</t>
    </r>
  </si>
  <si>
    <t>Annexe - Rappel du DPE</t>
  </si>
  <si>
    <t>B. Rénovation (en cours)</t>
  </si>
  <si>
    <t>C. Coûts financiers</t>
  </si>
  <si>
    <r>
      <rPr>
        <b/>
        <sz val="11"/>
        <color theme="5"/>
        <rFont val="Arial"/>
        <family val="2"/>
        <scheme val="minor"/>
      </rPr>
      <t>C.1.</t>
    </r>
    <r>
      <rPr>
        <sz val="11"/>
        <color theme="5"/>
        <rFont val="Arial"/>
        <family val="2"/>
        <scheme val="minor"/>
      </rPr>
      <t xml:space="preserve"> Facteurs économiques - coûts d'investissement des solutions et coûts des énergies</t>
    </r>
  </si>
  <si>
    <t>D. Poids carbone</t>
  </si>
  <si>
    <r>
      <rPr>
        <b/>
        <sz val="11"/>
        <color theme="5"/>
        <rFont val="Arial"/>
        <family val="2"/>
        <scheme val="minor"/>
      </rPr>
      <t xml:space="preserve">D.2. </t>
    </r>
    <r>
      <rPr>
        <sz val="11"/>
        <color theme="5"/>
        <rFont val="Arial"/>
        <family val="2"/>
        <scheme val="minor"/>
      </rPr>
      <t>Equivalents concrets de l'ADEME</t>
    </r>
  </si>
  <si>
    <t>2. Données prospectives</t>
  </si>
  <si>
    <t>Chiffres d'évolution du marché du gaz (nombre de solutions THPE, PAC H, rénovations)</t>
  </si>
  <si>
    <t>3. Scénarios</t>
  </si>
  <si>
    <t>3.1.Simulateur de calculs des gains CO2 pour le CRM Clients 360</t>
  </si>
  <si>
    <t>3.2. Outil carbone Pilier 3 "Argumentaire CO2/€"</t>
  </si>
  <si>
    <t>chaudière gaz condensation (&lt; 70kW) vendues en 2024 selon Uniclima</t>
  </si>
  <si>
    <t>Part de maisons dans l'ensemble des logements en France au 1er janvier 2024</t>
  </si>
  <si>
    <t>Part d'appartements dans l'ensemble des logements en France au 1er janvier 2024</t>
  </si>
  <si>
    <t xml:space="preserve">https://www.insee.fr/fr/statistiques/8251576 </t>
  </si>
  <si>
    <t>des logements sont des appartements chauffage collectif</t>
  </si>
  <si>
    <t>des logements sont des appartements chauffage individuel</t>
  </si>
  <si>
    <t>Maison</t>
  </si>
  <si>
    <t>Appart chauffage collectif</t>
  </si>
  <si>
    <t>Total</t>
  </si>
  <si>
    <t>Nombre</t>
  </si>
  <si>
    <t>Consommation chaudière standard (MWh)</t>
  </si>
  <si>
    <t>Consommation chaudière THPE (MWh)</t>
  </si>
  <si>
    <t>Delta</t>
  </si>
  <si>
    <t>Gain CO2</t>
  </si>
  <si>
    <t>tCO2eq évitées</t>
  </si>
  <si>
    <t>Soit plus de 32 000 tours de la Terre en voiture (ImpactCO2 Ademe)</t>
  </si>
  <si>
    <t>logements équipés par des solutions hybrides individuelles (= appartement chauffage individuel)</t>
  </si>
  <si>
    <t>Tableau de bord MA/MGP - mis à jour le 06/01/2025</t>
  </si>
  <si>
    <t>solutions hybrides vendues par le MGP (= maison individuelle)</t>
  </si>
  <si>
    <t>logements équipés de solutions hybrides collectives (= appartement chauffage collectif)</t>
  </si>
  <si>
    <t>soit</t>
  </si>
  <si>
    <t>logements équipés de solutions hybrides en 2024 grâce à GRDF</t>
  </si>
  <si>
    <t xml:space="preserve">Hypothèses prises </t>
  </si>
  <si>
    <t>Consommation initiale (kWh/an)</t>
  </si>
  <si>
    <t>CO2 initial (tCO2eq/an)</t>
  </si>
  <si>
    <t>appart indiv</t>
  </si>
  <si>
    <t>maison</t>
  </si>
  <si>
    <t>appart collec</t>
  </si>
  <si>
    <t>DONNEES CONVENTIONNELLES</t>
  </si>
  <si>
    <t xml:space="preserve">Critères de zones climatiques </t>
  </si>
  <si>
    <t>Ratio consommations par zone climatique % zone H2</t>
  </si>
  <si>
    <t>H1</t>
  </si>
  <si>
    <t>H2</t>
  </si>
  <si>
    <t>H3</t>
  </si>
  <si>
    <t>Chauffage</t>
  </si>
  <si>
    <t>Production d'ECS</t>
  </si>
  <si>
    <r>
      <rPr>
        <i/>
        <u/>
        <sz val="8"/>
        <color theme="1"/>
        <rFont val="Arial"/>
        <family val="2"/>
        <scheme val="minor"/>
      </rPr>
      <t>Source</t>
    </r>
    <r>
      <rPr>
        <i/>
        <sz val="8"/>
        <color theme="1"/>
        <rFont val="Arial"/>
        <family val="2"/>
        <scheme val="minor"/>
      </rPr>
      <t xml:space="preserve"> : DPEX</t>
    </r>
  </si>
  <si>
    <r>
      <t xml:space="preserve">Lecture : 
</t>
    </r>
    <r>
      <rPr>
        <sz val="10"/>
        <color theme="6"/>
        <rFont val="Arial"/>
        <family val="2"/>
        <scheme val="minor"/>
      </rPr>
      <t xml:space="preserve">▶ </t>
    </r>
    <r>
      <rPr>
        <i/>
        <sz val="10"/>
        <color theme="6"/>
        <rFont val="Arial"/>
        <family val="2"/>
        <scheme val="minor"/>
      </rPr>
      <t xml:space="preserve">un logement en zone H1 consomme 11% de plus de chauffage qu'un logement en zone H2
</t>
    </r>
    <r>
      <rPr>
        <sz val="10"/>
        <color theme="6"/>
        <rFont val="Arial"/>
        <family val="2"/>
        <scheme val="minor"/>
      </rPr>
      <t>▶</t>
    </r>
    <r>
      <rPr>
        <i/>
        <sz val="10"/>
        <color theme="6"/>
        <rFont val="Arial"/>
        <family val="2"/>
        <scheme val="minor"/>
      </rPr>
      <t xml:space="preserve"> un logement en zone H3 consomme 10% d'eau chaude sanitaire en moins qu'un logement en zone H2</t>
    </r>
  </si>
  <si>
    <t>CONSOMMATIONS BATIMENTS RESIDENTIELS ET TERTIAIRES</t>
  </si>
  <si>
    <t>Surface moyenne par bâtiment (en m2)</t>
  </si>
  <si>
    <t>Maison individuelle</t>
  </si>
  <si>
    <t>Appartement chauffage individuel</t>
  </si>
  <si>
    <t>Appartment chauffage collectif</t>
  </si>
  <si>
    <t>Bâtiment tertiaire</t>
  </si>
  <si>
    <t>Fioul</t>
  </si>
  <si>
    <t>Gaz / hybride</t>
  </si>
  <si>
    <r>
      <t xml:space="preserve">Convention de consommation d'énergie par solution au m2 </t>
    </r>
    <r>
      <rPr>
        <sz val="14"/>
        <color theme="1"/>
        <rFont val="Arial"/>
        <family val="2"/>
        <scheme val="minor"/>
      </rPr>
      <t>(en kWh/an - zone H2)</t>
    </r>
    <r>
      <rPr>
        <b/>
        <sz val="14"/>
        <color theme="1"/>
        <rFont val="Arial"/>
        <family val="2"/>
        <scheme val="minor"/>
      </rPr>
      <t xml:space="preserve"> - chauffage et ECS</t>
    </r>
  </si>
  <si>
    <t>Bâtiments - chauffage</t>
  </si>
  <si>
    <t>Appartement chauffage collectif</t>
  </si>
  <si>
    <t>Détails si hybridation</t>
  </si>
  <si>
    <t>Type d'équipement</t>
  </si>
  <si>
    <t>Solution fioul</t>
  </si>
  <si>
    <t>Solution gaz</t>
  </si>
  <si>
    <t>Solution hybride</t>
  </si>
  <si>
    <t>Consommation énergétique totale par m2  (kWh)</t>
  </si>
  <si>
    <r>
      <t xml:space="preserve">Consommation de gaz par m2 (kWh </t>
    </r>
    <r>
      <rPr>
        <b/>
        <sz val="14"/>
        <color rgb="FFC00000"/>
        <rFont val="Aptos"/>
        <family val="2"/>
      </rPr>
      <t>PCI</t>
    </r>
    <r>
      <rPr>
        <b/>
        <sz val="14"/>
        <color theme="1"/>
        <rFont val="Aptos"/>
        <family val="2"/>
      </rPr>
      <t>/m2)</t>
    </r>
  </si>
  <si>
    <t>Consommation d'électricité par m2 (kWhe/m2)</t>
  </si>
  <si>
    <r>
      <t xml:space="preserve">Consommation de fioul par m2 (kWh </t>
    </r>
    <r>
      <rPr>
        <b/>
        <sz val="14"/>
        <color rgb="FFFF0000"/>
        <rFont val="Aptos"/>
        <family val="2"/>
      </rPr>
      <t>PCI</t>
    </r>
    <r>
      <rPr>
        <b/>
        <sz val="14"/>
        <color theme="1"/>
        <rFont val="Aptos"/>
        <family val="2"/>
      </rPr>
      <t>/m2)</t>
    </r>
  </si>
  <si>
    <t>Consommation bois par m2 (kWh PCI/m2)</t>
  </si>
  <si>
    <t>Solutions gaz ou hybrides</t>
  </si>
  <si>
    <t>Chaudière gaz standard de plus de 15 ans</t>
  </si>
  <si>
    <t>Oui</t>
  </si>
  <si>
    <t>Chaudière gaz standard de moins de 15 ans</t>
  </si>
  <si>
    <t>Chaudière gaz standard neuve</t>
  </si>
  <si>
    <t xml:space="preserve">Chaudière gaz THPE </t>
  </si>
  <si>
    <t>PAC A/E + THPE (PAC hybride)</t>
  </si>
  <si>
    <t>PAC A/A + THPE</t>
  </si>
  <si>
    <t>PAC gaz</t>
  </si>
  <si>
    <t>PAC géothermique + THPE</t>
  </si>
  <si>
    <t>Chaudière THPE + chauffe-eau solaire</t>
  </si>
  <si>
    <t xml:space="preserve">Chaudière THPE + système solaire combiné </t>
  </si>
  <si>
    <t>Chaudière bois + chaudière THPE</t>
  </si>
  <si>
    <t>Micro-cogénération</t>
  </si>
  <si>
    <t>Rooftop adiabatique</t>
  </si>
  <si>
    <t>Chaudière fioul standard de plus de 15 ans</t>
  </si>
  <si>
    <t>Chaudière fioul THPE</t>
  </si>
  <si>
    <t>Neuf</t>
  </si>
  <si>
    <t>PAC A/E + THPE (PAC hybride) - neuf</t>
  </si>
  <si>
    <t>Chaudière THPE + Chauffe-eau thermodynamique (CET)</t>
  </si>
  <si>
    <t>Solutions élec (existant)</t>
  </si>
  <si>
    <t>PAC élec air/eau 100% électrique</t>
  </si>
  <si>
    <t>Radiateur électrique (effet joule)</t>
  </si>
  <si>
    <t>Bâtiments - ECS</t>
  </si>
  <si>
    <t>Consommation d'électricité par m2</t>
  </si>
  <si>
    <t>Consommation énergétique par m2</t>
  </si>
  <si>
    <t xml:space="preserve">Chaudière gaz standard de moins de 15 ans </t>
  </si>
  <si>
    <t>Bâtiments - climatisation / rafraichissement</t>
  </si>
  <si>
    <t>Consommation autre énergie par m2</t>
  </si>
  <si>
    <t>PAC A/A + chaudière THPE</t>
  </si>
  <si>
    <t>Bâtiments - Chauffage + ECS</t>
  </si>
  <si>
    <t>PAC hybride - maison</t>
  </si>
  <si>
    <t>PAC hybride - appart indiv</t>
  </si>
  <si>
    <t>PAC hybride - appart collect</t>
  </si>
  <si>
    <t>PAC hybride - tertiaire</t>
  </si>
  <si>
    <t>Solution full gaz</t>
  </si>
  <si>
    <t>Part gaz</t>
  </si>
  <si>
    <t xml:space="preserve">Part élec </t>
  </si>
  <si>
    <t>Rooftop</t>
  </si>
  <si>
    <t>PAC élec air/eau</t>
  </si>
  <si>
    <t>à compléter</t>
  </si>
  <si>
    <t>/!\ Attention: ne toucher qu'aux cases en jaune. Toutes les autres cases sont des formules automatiques.</t>
  </si>
  <si>
    <t xml:space="preserve">Cases à remplir </t>
  </si>
  <si>
    <t xml:space="preserve">To do </t>
  </si>
  <si>
    <t>Programme Clients 360</t>
  </si>
  <si>
    <t>Intégration des gains CO2 évités dans les affaires du CRM</t>
  </si>
  <si>
    <t>Calculer le % de gains calculés en colonne N (hors cas moyen)</t>
  </si>
  <si>
    <t>Zones climatiques ?</t>
  </si>
  <si>
    <t>Tertiaire - rénovation mono-geste</t>
  </si>
  <si>
    <t>Tertiaire avant rénovation</t>
  </si>
  <si>
    <t>Par défaut, une consommation initiale et une surface moyenne sont rentrées en colonne E. Si la consommation réelle initiale est connue, alors elle doit être saisie dans la cellule "consommation initiale réelle - optionnelle". Si la surface réelle est connue, alors il faut entrer dans "surface réelle - optionnelle".</t>
  </si>
  <si>
    <r>
      <t xml:space="preserve">Consommation initiale réelle </t>
    </r>
    <r>
      <rPr>
        <b/>
        <i/>
        <sz val="11"/>
        <color theme="1"/>
        <rFont val="Arial"/>
        <family val="2"/>
        <scheme val="minor"/>
      </rPr>
      <t>- optionnelle</t>
    </r>
  </si>
  <si>
    <t>pré-rempli si disponible</t>
  </si>
  <si>
    <r>
      <t xml:space="preserve">Surface réelle </t>
    </r>
    <r>
      <rPr>
        <b/>
        <i/>
        <sz val="11"/>
        <color theme="1"/>
        <rFont val="Arial"/>
        <family val="2"/>
        <scheme val="minor"/>
      </rPr>
      <t xml:space="preserve">- optionnelle </t>
    </r>
  </si>
  <si>
    <t>à remplir si disponible</t>
  </si>
  <si>
    <t>Si non :</t>
  </si>
  <si>
    <t xml:space="preserve">Chaudière standard de plus de 15 ans </t>
  </si>
  <si>
    <t>Consommation initiale moyenne (kWh PCI)</t>
  </si>
  <si>
    <t>Cas moyen pré-rempli si pas de donnée réelle disponible (zone H2)</t>
  </si>
  <si>
    <t xml:space="preserve">Chaudière THPE </t>
  </si>
  <si>
    <t>Surface moyenne (m2)</t>
  </si>
  <si>
    <t>Ou</t>
  </si>
  <si>
    <t xml:space="preserve">4 cases à remplir </t>
  </si>
  <si>
    <t>Ne s'affiche que si on a de l'hybride et qu'on modifie la part de gain énergétique</t>
  </si>
  <si>
    <t>Part élec / part gaz</t>
  </si>
  <si>
    <t>Tertiaire final</t>
  </si>
  <si>
    <r>
      <t xml:space="preserve">Solution avant rénovation </t>
    </r>
    <r>
      <rPr>
        <sz val="11"/>
        <color theme="1"/>
        <rFont val="Arial"/>
        <family val="2"/>
        <scheme val="minor"/>
      </rPr>
      <t>(liste déroulante)</t>
    </r>
  </si>
  <si>
    <r>
      <t xml:space="preserve">Solution après rénovation </t>
    </r>
    <r>
      <rPr>
        <sz val="11"/>
        <color theme="1"/>
        <rFont val="Arial"/>
        <family val="2"/>
        <scheme val="minor"/>
      </rPr>
      <t>(liste déroulante)</t>
    </r>
  </si>
  <si>
    <t>des gains énergétiques de :</t>
  </si>
  <si>
    <t xml:space="preserve">une consommation future annuelle de : </t>
  </si>
  <si>
    <t xml:space="preserve">Un équivalent de : </t>
  </si>
  <si>
    <t>kWh/an</t>
  </si>
  <si>
    <t>kWh PCI</t>
  </si>
  <si>
    <t>tCO2 évitées</t>
  </si>
  <si>
    <t xml:space="preserve">soit </t>
  </si>
  <si>
    <t>(cas moyen)</t>
  </si>
  <si>
    <t>OU</t>
  </si>
  <si>
    <t>% à remplir si disponible</t>
  </si>
  <si>
    <r>
      <rPr>
        <i/>
        <sz val="12"/>
        <color theme="8"/>
        <rFont val="Arial"/>
        <family val="2"/>
        <scheme val="minor"/>
      </rPr>
      <t>i</t>
    </r>
    <r>
      <rPr>
        <sz val="12"/>
        <color theme="8"/>
        <rFont val="Arial"/>
        <family val="2"/>
        <scheme val="minor"/>
      </rPr>
      <t xml:space="preserve"> </t>
    </r>
    <r>
      <rPr>
        <sz val="9"/>
        <color theme="8"/>
        <rFont val="Arial"/>
        <family val="2"/>
        <scheme val="minor"/>
      </rPr>
      <t>On calcule ici le gain énergétique en énergie primaire. Les consommations de gaz en PCI sont convertie en PCS (x1,11) et les consommations d'électricité sont x2,3 pour rendre compte de l'énergie primaire nécessaire à la production d'électricité</t>
    </r>
  </si>
  <si>
    <t>NE PAS TOUCHER</t>
  </si>
  <si>
    <t>Maison avant rénovation</t>
  </si>
  <si>
    <t>Résidentiel - maison individuelle</t>
  </si>
  <si>
    <t>Cas moyen pré-rempli initialement (zone H2)</t>
  </si>
  <si>
    <t>Maison après rénovation</t>
  </si>
  <si>
    <t>Cas réel</t>
  </si>
  <si>
    <t xml:space="preserve"> </t>
  </si>
  <si>
    <t>Appartement indiv avant rénovation</t>
  </si>
  <si>
    <t>Résidentiel - appartement chauffage individuel</t>
  </si>
  <si>
    <t>Appartement indiv après rénovation</t>
  </si>
  <si>
    <t>Solution avant rénovation (liste déroulante)</t>
  </si>
  <si>
    <t>Solution après rénovation (liste déroulante)</t>
  </si>
  <si>
    <t>Appartement collec avant rénovation</t>
  </si>
  <si>
    <t>Résidentiel - appartement chauffage collectif</t>
  </si>
  <si>
    <t>Appartement collec après rénovation</t>
  </si>
  <si>
    <t>Performances relatives des équipements en bâtiments existants (chauffage et eau chaude sanitaire)</t>
  </si>
  <si>
    <t>Consommation finale / consommation initiale</t>
  </si>
  <si>
    <t>(Emissions initiales - émissions finales) / émissions initiales</t>
  </si>
  <si>
    <r>
      <t>Variation de consommation énergétique (% de baisse de consommation</t>
    </r>
    <r>
      <rPr>
        <b/>
        <u/>
        <sz val="18"/>
        <color theme="1"/>
        <rFont val="Aptos"/>
        <family val="2"/>
      </rPr>
      <t xml:space="preserve"> d'énergie primaire </t>
    </r>
    <r>
      <rPr>
        <b/>
        <sz val="18"/>
        <color theme="1"/>
        <rFont val="Aptos"/>
        <family val="2"/>
      </rPr>
      <t>par solution)</t>
    </r>
  </si>
  <si>
    <r>
      <t>Performance carbone relative des solutions techniques (</t>
    </r>
    <r>
      <rPr>
        <b/>
        <u/>
        <sz val="18"/>
        <color theme="1"/>
        <rFont val="Aptos"/>
        <family val="2"/>
      </rPr>
      <t xml:space="preserve">% de baisse d'émissions de CO2 </t>
    </r>
    <r>
      <rPr>
        <b/>
        <sz val="18"/>
        <color theme="1"/>
        <rFont val="Aptos"/>
        <family val="2"/>
      </rPr>
      <t>par solution) - tCO2eq</t>
    </r>
  </si>
  <si>
    <t>Solution posée</t>
  </si>
  <si>
    <r>
      <t xml:space="preserve">PAC </t>
    </r>
    <r>
      <rPr>
        <b/>
        <sz val="14"/>
        <color theme="1"/>
        <rFont val="Aptos"/>
        <family val="2"/>
      </rPr>
      <t xml:space="preserve">A/E </t>
    </r>
    <r>
      <rPr>
        <sz val="14"/>
        <color theme="1"/>
        <rFont val="Aptos"/>
        <family val="2"/>
      </rPr>
      <t>+ THPE (PAC hybride)</t>
    </r>
  </si>
  <si>
    <r>
      <t xml:space="preserve">PAC </t>
    </r>
    <r>
      <rPr>
        <b/>
        <sz val="14"/>
        <color theme="1"/>
        <rFont val="Aptos"/>
        <family val="2"/>
      </rPr>
      <t>A/A</t>
    </r>
    <r>
      <rPr>
        <sz val="14"/>
        <color theme="1"/>
        <rFont val="Aptos"/>
        <family val="2"/>
      </rPr>
      <t xml:space="preserve"> + THPE</t>
    </r>
  </si>
  <si>
    <t>Chaudière bois + THPE</t>
  </si>
  <si>
    <t>Solution initiale</t>
  </si>
  <si>
    <t>N.S.</t>
  </si>
  <si>
    <t>N.A</t>
  </si>
  <si>
    <t>N.S</t>
  </si>
  <si>
    <r>
      <t xml:space="preserve">PAC </t>
    </r>
    <r>
      <rPr>
        <b/>
        <sz val="16"/>
        <color theme="1"/>
        <rFont val="Aptos"/>
        <family val="2"/>
      </rPr>
      <t>A/E</t>
    </r>
    <r>
      <rPr>
        <sz val="16"/>
        <color theme="1"/>
        <rFont val="Aptos"/>
        <family val="2"/>
      </rPr>
      <t xml:space="preserve"> + THPE (PAC hybride)</t>
    </r>
  </si>
  <si>
    <r>
      <t xml:space="preserve">PAC </t>
    </r>
    <r>
      <rPr>
        <b/>
        <sz val="16"/>
        <color theme="1"/>
        <rFont val="Aptos"/>
        <family val="2"/>
      </rPr>
      <t>A/A</t>
    </r>
    <r>
      <rPr>
        <sz val="16"/>
        <color theme="1"/>
        <rFont val="Aptos"/>
        <family val="2"/>
      </rPr>
      <t xml:space="preserve"> + THPE</t>
    </r>
  </si>
  <si>
    <t>Le remplacement d'une PAC gaz par une PAC hybride ne permet pas de faire des gains en énergie primaire. Cependant, la PAC hybride permet de faire des gains CO2</t>
  </si>
  <si>
    <r>
      <t>Gain total sur toutes les chaudières par type de techno mise en place &gt;</t>
    </r>
    <r>
      <rPr>
        <b/>
        <sz val="11"/>
        <color theme="1"/>
        <rFont val="Arial"/>
        <family val="2"/>
        <scheme val="minor"/>
      </rPr>
      <t xml:space="preserve"> potentiel de décarbonation total </t>
    </r>
  </si>
  <si>
    <t xml:space="preserve">Gain par chaudière </t>
  </si>
  <si>
    <t>Consommations annuelles moyennes d'une chaudière gaz naturel - basées sur les données du CEREN (2018-2021) - tous segments industriels confondus (en MWh)</t>
  </si>
  <si>
    <r>
      <rPr>
        <b/>
        <sz val="11"/>
        <color theme="1"/>
        <rFont val="Arial"/>
        <family val="2"/>
        <scheme val="minor"/>
      </rPr>
      <t xml:space="preserve">Type de chaudière (fluide) </t>
    </r>
    <r>
      <rPr>
        <sz val="11"/>
        <color theme="1"/>
        <rFont val="Arial"/>
        <family val="2"/>
        <scheme val="minor"/>
      </rPr>
      <t>(BDD 6)</t>
    </r>
  </si>
  <si>
    <t>0 à 200 kW</t>
  </si>
  <si>
    <t>200 à 500 kW</t>
  </si>
  <si>
    <t>500 à 1000 kW</t>
  </si>
  <si>
    <t>1 à 5 MW</t>
  </si>
  <si>
    <t>5 à 10 MW</t>
  </si>
  <si>
    <t>10 à 20 MW</t>
  </si>
  <si>
    <t>&gt; 20 MW</t>
  </si>
  <si>
    <t xml:space="preserve">Global </t>
  </si>
  <si>
    <t>Chaudière vapeur</t>
  </si>
  <si>
    <t>Chaudière eau chaude</t>
  </si>
  <si>
    <t>Chaudière eau surchauffée</t>
  </si>
  <si>
    <t>Chaudière fluide caloporteur organique</t>
  </si>
  <si>
    <t>Global tous types de chaudières confondues</t>
  </si>
  <si>
    <r>
      <rPr>
        <b/>
        <sz val="11"/>
        <color theme="1"/>
        <rFont val="Arial"/>
        <family val="2"/>
        <scheme val="minor"/>
      </rPr>
      <t xml:space="preserve">Type de chaudière </t>
    </r>
    <r>
      <rPr>
        <sz val="11"/>
        <color theme="1"/>
        <rFont val="Arial"/>
        <family val="2"/>
        <scheme val="minor"/>
      </rPr>
      <t>(BDD 3)</t>
    </r>
  </si>
  <si>
    <t xml:space="preserve">0 à 200kW </t>
  </si>
  <si>
    <t>Chaudière à tubes de fumées</t>
  </si>
  <si>
    <t>Chaudière à tubes d'eau</t>
  </si>
  <si>
    <t>Chaudière à vaporisation instantanée</t>
  </si>
  <si>
    <t>Chaudière de chauffage central</t>
  </si>
  <si>
    <t>= usages bâtimentaires + atelier (aérotherme indirecte = qui transporte de la vapeur)</t>
  </si>
  <si>
    <t xml:space="preserve">Chaudière de récupération </t>
  </si>
  <si>
    <t>Autres</t>
  </si>
  <si>
    <r>
      <rPr>
        <b/>
        <sz val="11"/>
        <color theme="1"/>
        <rFont val="Arial"/>
        <family val="2"/>
        <scheme val="minor"/>
      </rPr>
      <t xml:space="preserve">Avec ou sans économiseur </t>
    </r>
    <r>
      <rPr>
        <sz val="11"/>
        <color theme="1"/>
        <rFont val="Arial"/>
        <family val="2"/>
        <scheme val="minor"/>
      </rPr>
      <t>(BDD 1)</t>
    </r>
  </si>
  <si>
    <r>
      <t xml:space="preserve">Chaudière gaz industrielle </t>
    </r>
    <r>
      <rPr>
        <u/>
        <sz val="11"/>
        <color theme="1"/>
        <rFont val="Arial"/>
        <family val="2"/>
        <scheme val="minor"/>
      </rPr>
      <t>sans</t>
    </r>
    <r>
      <rPr>
        <sz val="11"/>
        <color theme="1"/>
        <rFont val="Arial"/>
        <family val="2"/>
        <scheme val="minor"/>
      </rPr>
      <t xml:space="preserve"> économiseur</t>
    </r>
  </si>
  <si>
    <r>
      <t xml:space="preserve">Chaudière gaz industrielle </t>
    </r>
    <r>
      <rPr>
        <u/>
        <sz val="11"/>
        <color theme="1"/>
        <rFont val="Arial"/>
        <family val="2"/>
        <scheme val="minor"/>
      </rPr>
      <t>avec</t>
    </r>
    <r>
      <rPr>
        <sz val="11"/>
        <color theme="1"/>
        <rFont val="Arial"/>
        <family val="2"/>
        <scheme val="minor"/>
      </rPr>
      <t xml:space="preserve"> économiseur</t>
    </r>
  </si>
  <si>
    <t>Variation de conso avec économiseur vs. sans (% économie d'énergie)</t>
  </si>
  <si>
    <t xml:space="preserve">Audit energetique </t>
  </si>
  <si>
    <t>Facteur Humain et Organisationnel</t>
  </si>
  <si>
    <t>Maintenance thermique préventive</t>
  </si>
  <si>
    <t>( suivi des mesures, maintien en états des equipements, validation périodique du fonctionnement efficace des equipements thermiques, eviter les dérives)</t>
  </si>
  <si>
    <t>Réglage combustion</t>
  </si>
  <si>
    <t>Optimisation des transferts thermiques à la charges (optimisatino de la charge, optimisation de l'aérolique du four, etc…). Suite a diagniostique energétique</t>
  </si>
  <si>
    <t>Optimisation des pertes et des transitoires de production (étanchéité du four, gestion des arrêts et redemarrage, plan de chargement)</t>
  </si>
  <si>
    <t>refection de l'Isolation thermique des parois planes ou cylindriques sur des installations industrielles</t>
  </si>
  <si>
    <t>Optimisation et MCO de l'instrumentation (capteurs et actionneurs,</t>
  </si>
  <si>
    <t>utiliser les MTD du domaine et les equipements appropriés)</t>
  </si>
  <si>
    <t>Plan de comptage</t>
  </si>
  <si>
    <t>Système de mesurage d’indicateurs de performance énergétique ( plan de comptage partiel)</t>
  </si>
  <si>
    <t>Utilisation de technos de type "Big Data"</t>
  </si>
  <si>
    <t xml:space="preserve"> (instrumentation et logiciel ad hoc)</t>
  </si>
  <si>
    <t>Oxycombustion</t>
  </si>
  <si>
    <t>Bruleur radiant de poche</t>
  </si>
  <si>
    <t>cogénération</t>
  </si>
  <si>
    <t>Bruleurs auto-récupérateurs</t>
  </si>
  <si>
    <t>Bruleurs auto-régénératifs</t>
  </si>
  <si>
    <t>Bruleurs régénératifs</t>
  </si>
  <si>
    <t>Récupérateur centralisé</t>
  </si>
  <si>
    <t>Chaudiere de récuperation sur fumées de four</t>
  </si>
  <si>
    <t>Stockage thermique</t>
  </si>
  <si>
    <t>Recup Chaleur =&gt; elec ORC</t>
  </si>
  <si>
    <t>Recup Chaleur =&gt; elec TURBOSOL</t>
  </si>
  <si>
    <t>Récupe Chaleur=&gt; AC</t>
  </si>
  <si>
    <t>PAC Abso</t>
  </si>
  <si>
    <t>Echangeur de chaleur et de matiere à contact direct ( laveur de fumée avec récupération de chaleur, récupération sur produits chaud, etc..)</t>
  </si>
  <si>
    <t>Biomethane 10 % vol</t>
  </si>
  <si>
    <t>Biomethane 20 % vol</t>
  </si>
  <si>
    <t>Biomethane 30 % vol</t>
  </si>
  <si>
    <t>Hydrogéne 5% vol</t>
  </si>
  <si>
    <t>Hydrogéne 10 % vol</t>
  </si>
  <si>
    <t>Hydrogéne 20% vol</t>
  </si>
  <si>
    <t>Hybride : Compression/Absorption</t>
  </si>
  <si>
    <t>le solaire thermique (ST) ( plaque plane ou sous vide)</t>
  </si>
  <si>
    <t>solaire thermique à concentration (CST)</t>
  </si>
  <si>
    <t>photovoltaïque (PV)</t>
  </si>
  <si>
    <t>Chaudiére Zéro carbone</t>
  </si>
  <si>
    <t>DMX</t>
  </si>
  <si>
    <t>Économiseur sur les effluents gazeux d’une chaudière de production de vapeur</t>
  </si>
  <si>
    <t>Condenseur sur les effluents gazeux d’une chaudière de production de vapeur</t>
  </si>
  <si>
    <t>Brûleur micro-modulant surchaudière industrielle</t>
  </si>
  <si>
    <t>Matelas pour l’isolation de points singuliers</t>
  </si>
  <si>
    <t>Traitement d’eau performant sur chaudière de production de vapeur</t>
  </si>
  <si>
    <t>Calorifugeage de bache alimentaire</t>
  </si>
  <si>
    <t>Gestion des purges de chaudiere</t>
  </si>
  <si>
    <t>Récuperation sur les purges de chaudieres</t>
  </si>
  <si>
    <t>Remplacement des purgeurs défectueux</t>
  </si>
  <si>
    <t>Système de récupération de chaleur sur un compresseur d’air</t>
  </si>
  <si>
    <t>Sécheur d'air comprimé à adsorption utilisant un apport calorifique pour sa régénération ( récup chaleur du compresseur)</t>
  </si>
  <si>
    <t>Séquenceur électronique pour le pilotage d’une centrale de production d’air comprimé</t>
  </si>
  <si>
    <t>Mise en cascade des compresseurs</t>
  </si>
  <si>
    <t>Recherche de fuites</t>
  </si>
  <si>
    <t>Ajustement de la pression reative aux besoins</t>
  </si>
  <si>
    <t>Variateur de vitesse</t>
  </si>
  <si>
    <t>Abaisser la température de l'air aspiré (aspiration d'air exterieur)</t>
  </si>
  <si>
    <t>Redimenssionnement réseau AC : Bouclage, diminution de la longuer du réseau, diminution des pertes de charges, diametre adaptés,…</t>
  </si>
  <si>
    <t>Free cooling</t>
  </si>
  <si>
    <t>Free cooling par eau de refroidissement en substitution d'un groupe froid</t>
  </si>
  <si>
    <t>Système de récupération de chaleur sur un groupe de production de froid</t>
  </si>
  <si>
    <t>Système de régulation sur un groupe de production de froid permettant d’avoir une haute pression flottante</t>
  </si>
  <si>
    <t>Système de régulation sur un groupe de production de froid permettant d’avoir une basse pression flottante</t>
  </si>
  <si>
    <t>Système de condensation frigorifique à haute efficacité</t>
  </si>
  <si>
    <t>Maintenance (encrassement des echangeurs)</t>
  </si>
  <si>
    <t>Groupe froid haute performance (palliers magnétiques)</t>
  </si>
  <si>
    <t>Eclairage : Luminaires à modules LED</t>
  </si>
  <si>
    <t>Eclairage : détection de présence</t>
  </si>
  <si>
    <t>Eclairage : programmation horaire</t>
  </si>
  <si>
    <t>Moteur haut rendement de classe IE2</t>
  </si>
  <si>
    <t>Moteur premium de classe IE3</t>
  </si>
  <si>
    <t>Moteur asynchrone de classe IE4</t>
  </si>
  <si>
    <t>Système électronique de pilotage d’un moteur électrique avec récupération d’énergie</t>
  </si>
  <si>
    <t>Systèmes moto-régulés</t>
  </si>
  <si>
    <t>Moto-variateur synchrone à aimants permanents ou à reluctance</t>
  </si>
  <si>
    <t>Système de variation électronique de vitesse sur un moteur asynchrone</t>
  </si>
  <si>
    <t>Tonnes de CO2eq évitées grâce aux solutions industrielles - tout type de puissance de chaudière</t>
  </si>
  <si>
    <t>Techno mise en place</t>
  </si>
  <si>
    <t>Solution de départ</t>
  </si>
  <si>
    <r>
      <rPr>
        <b/>
        <sz val="11"/>
        <color theme="1"/>
        <rFont val="Arial"/>
        <family val="2"/>
        <scheme val="minor"/>
      </rPr>
      <t>Condenseur</t>
    </r>
    <r>
      <rPr>
        <sz val="11"/>
        <color theme="1"/>
        <rFont val="Arial"/>
        <family val="2"/>
        <scheme val="minor"/>
      </rPr>
      <t xml:space="preserve"> 
Fourchette basse</t>
    </r>
  </si>
  <si>
    <r>
      <rPr>
        <b/>
        <sz val="11"/>
        <color theme="1"/>
        <rFont val="Arial"/>
        <family val="2"/>
        <scheme val="minor"/>
      </rPr>
      <t>Condenseur</t>
    </r>
    <r>
      <rPr>
        <sz val="11"/>
        <color theme="1"/>
        <rFont val="Arial"/>
        <family val="2"/>
        <scheme val="minor"/>
      </rPr>
      <t xml:space="preserve"> 
Fourchette haute</t>
    </r>
  </si>
  <si>
    <t>Condenseur</t>
  </si>
  <si>
    <r>
      <t xml:space="preserve">Economiseur
</t>
    </r>
    <r>
      <rPr>
        <sz val="11"/>
        <color theme="1"/>
        <rFont val="Arial"/>
        <family val="2"/>
        <scheme val="minor"/>
      </rPr>
      <t>Fourchette basse</t>
    </r>
  </si>
  <si>
    <r>
      <t xml:space="preserve">Economiseur
</t>
    </r>
    <r>
      <rPr>
        <sz val="11"/>
        <color theme="1"/>
        <rFont val="Arial"/>
        <family val="2"/>
        <scheme val="minor"/>
      </rPr>
      <t>Fourchette haute</t>
    </r>
  </si>
  <si>
    <t>Economiseur</t>
  </si>
  <si>
    <t xml:space="preserve">Brûleur micro-modulant 
</t>
  </si>
  <si>
    <r>
      <t xml:space="preserve">Système de récupération de chaleur sur un compresseur d’air
</t>
    </r>
    <r>
      <rPr>
        <sz val="11"/>
        <color theme="1"/>
        <rFont val="Arial"/>
        <family val="2"/>
        <scheme val="minor"/>
      </rPr>
      <t>Fourchette basse</t>
    </r>
  </si>
  <si>
    <r>
      <t xml:space="preserve">Système de récupération de chaleur sur un compresseur d’air
</t>
    </r>
    <r>
      <rPr>
        <sz val="11"/>
        <color theme="1"/>
        <rFont val="Arial"/>
        <family val="2"/>
        <scheme val="minor"/>
      </rPr>
      <t>Fourchette haute</t>
    </r>
  </si>
  <si>
    <r>
      <t xml:space="preserve">Réglage de la combustion
</t>
    </r>
    <r>
      <rPr>
        <sz val="11"/>
        <color theme="1"/>
        <rFont val="Arial"/>
        <family val="2"/>
        <scheme val="minor"/>
      </rPr>
      <t>Fourchette basse</t>
    </r>
  </si>
  <si>
    <r>
      <t xml:space="preserve">Réglage de la combustion
</t>
    </r>
    <r>
      <rPr>
        <sz val="11"/>
        <color theme="1"/>
        <rFont val="Arial"/>
        <family val="2"/>
        <scheme val="minor"/>
      </rPr>
      <t>Fourchette haute</t>
    </r>
  </si>
  <si>
    <r>
      <t xml:space="preserve">Maintenance thermique préventive 
</t>
    </r>
    <r>
      <rPr>
        <sz val="11"/>
        <color theme="1"/>
        <rFont val="Arial"/>
        <family val="2"/>
        <scheme val="minor"/>
      </rPr>
      <t>Fourchette basse</t>
    </r>
  </si>
  <si>
    <r>
      <t xml:space="preserve">Maintenance thermique préventive 
</t>
    </r>
    <r>
      <rPr>
        <sz val="11"/>
        <color theme="1"/>
        <rFont val="Arial"/>
        <family val="2"/>
        <scheme val="minor"/>
      </rPr>
      <t>Fourchette haute</t>
    </r>
  </si>
  <si>
    <t>Gain CO2 :</t>
  </si>
  <si>
    <t>Global - tous types de chaudières confondues</t>
  </si>
  <si>
    <t xml:space="preserve">Gains CO2 moyens par type d'actions mises en place en industrie </t>
  </si>
  <si>
    <t>Process</t>
  </si>
  <si>
    <t>Détails</t>
  </si>
  <si>
    <t>Gain CO2 moyen</t>
  </si>
  <si>
    <t>Instrumentation - suivi de conso</t>
  </si>
  <si>
    <t>Audits énergétiques, facteurs organisationnels…</t>
  </si>
  <si>
    <t xml:space="preserve">Maintenance thermique et réglage </t>
  </si>
  <si>
    <t>Isolation points singuliers, réglages brûleurs…</t>
  </si>
  <si>
    <t xml:space="preserve">Brûleurs à air chaud / Récupération de chaleur sur brûleur </t>
  </si>
  <si>
    <t>Dispositif de récupération/stockage/transformation de chaleur fatale</t>
  </si>
  <si>
    <t>ORC, échangeur,…</t>
  </si>
  <si>
    <t xml:space="preserve">Hybridation </t>
  </si>
  <si>
    <t>Chaufferie vapeur</t>
  </si>
  <si>
    <t>Comptage et mesure</t>
  </si>
  <si>
    <t xml:space="preserve">L'hybridation diminue la quantité de gaz mais pas la quantité d'énergie finale totale. C'est ce % de gain qui peut être convertie en % CO2 et donc en gains </t>
  </si>
  <si>
    <t>Ch0C</t>
  </si>
  <si>
    <t>Chaudière gaz industrielle</t>
  </si>
  <si>
    <t>Four gaz industriel</t>
  </si>
  <si>
    <t>Technos et organisation</t>
  </si>
  <si>
    <t>gain energétique</t>
  </si>
  <si>
    <t>Secteur industriel</t>
  </si>
  <si>
    <t>TRI</t>
  </si>
  <si>
    <t>maturité/ implentabilité</t>
  </si>
  <si>
    <t>Aides possibles</t>
  </si>
  <si>
    <t>Fiche Réalisation</t>
  </si>
  <si>
    <t>Diminution emission
 CO2</t>
  </si>
  <si>
    <t>caractéristique</t>
  </si>
  <si>
    <t>acteurs</t>
  </si>
  <si>
    <t>FFF</t>
  </si>
  <si>
    <t>PROCESS</t>
  </si>
  <si>
    <t>EFFICACITE ENERGETIQUE</t>
  </si>
  <si>
    <t>vision globale des consomations du site</t>
  </si>
  <si>
    <t>5 à 10%</t>
  </si>
  <si>
    <t>Tous</t>
  </si>
  <si>
    <t>&lt; 1</t>
  </si>
  <si>
    <t>Immediate</t>
  </si>
  <si>
    <t>BPI</t>
  </si>
  <si>
    <t>&gt;10%</t>
  </si>
  <si>
    <t>2 a 20%</t>
  </si>
  <si>
    <t>&lt; 6mois</t>
  </si>
  <si>
    <t>immediate</t>
  </si>
  <si>
    <t>non</t>
  </si>
  <si>
    <t xml:space="preserve">Maintenance thermique </t>
  </si>
  <si>
    <t>Maintenance thermique préventive 
( suivi des mesures, maintien en états des equipements, validation périodique du fonctionnement efficace des equipements thermiques, eviter les dérives)</t>
  </si>
  <si>
    <t xml:space="preserve"> de 5% a plus de 30%</t>
  </si>
  <si>
    <t>Variable</t>
  </si>
  <si>
    <t>a voir au cas par cas</t>
  </si>
  <si>
    <t>5 a 20%</t>
  </si>
  <si>
    <t>3 à 10%</t>
  </si>
  <si>
    <t>Verre, Metaux, Matériaux 
(Hautes températures)</t>
  </si>
  <si>
    <t>1&lt;TRI&lt;2</t>
  </si>
  <si>
    <t>3 à 5%</t>
  </si>
  <si>
    <t>IND-UT-131</t>
  </si>
  <si>
    <t>x</t>
  </si>
  <si>
    <t>Optimisation et MCO de l'instrumentation (capteurs et actionneurs,
utiliser les MTD du domaine et les equipements appropriés)</t>
  </si>
  <si>
    <t>&lt; 5%</t>
  </si>
  <si>
    <t>?</t>
  </si>
  <si>
    <t>Suivi et optimisation des performances</t>
  </si>
  <si>
    <t>1 à 5%</t>
  </si>
  <si>
    <t>&lt; 4</t>
  </si>
  <si>
    <t>IND UT 134</t>
  </si>
  <si>
    <t>&lt;1</t>
  </si>
  <si>
    <t>IND-UT-134</t>
  </si>
  <si>
    <t xml:space="preserve"> Utilisation de technos de type "Big Data"
 (instrumentation et logiciel ad hoc)</t>
  </si>
  <si>
    <t>1&lt;TRI&lt;3</t>
  </si>
  <si>
    <t>3 a 10%</t>
  </si>
  <si>
    <t>Technologies performantes</t>
  </si>
  <si>
    <t>Verre</t>
  </si>
  <si>
    <t>20 à 50%</t>
  </si>
  <si>
    <t>Metaux</t>
  </si>
  <si>
    <t xml:space="preserve"> CHALEUR FATALE</t>
  </si>
  <si>
    <t>Brûleur  avec dispositif de récupération de chaleur sur un four industriel</t>
  </si>
  <si>
    <t>20 à 30%</t>
  </si>
  <si>
    <t>Haute Température</t>
  </si>
  <si>
    <t>2&lt;TRI&lt;4</t>
  </si>
  <si>
    <t>IND-UT-118</t>
  </si>
  <si>
    <t>en forge oui</t>
  </si>
  <si>
    <t>30 à 40 %</t>
  </si>
  <si>
    <t>30 a 40 %</t>
  </si>
  <si>
    <t>50 à 60%</t>
  </si>
  <si>
    <t>50 a 60%</t>
  </si>
  <si>
    <t>15 à 25%</t>
  </si>
  <si>
    <t>1&lt; TRI &lt;3</t>
  </si>
  <si>
    <t>ADEME</t>
  </si>
  <si>
    <t>20 a 40 %</t>
  </si>
  <si>
    <t>Autres systèmes de récuépration de chauleur</t>
  </si>
  <si>
    <t>&gt;15%</t>
  </si>
  <si>
    <t>Verre, Metaux</t>
  </si>
  <si>
    <t>3&lt; TRI &lt;8</t>
  </si>
  <si>
    <t>ADEME (Fond chaleur)</t>
  </si>
  <si>
    <t>Basse température</t>
  </si>
  <si>
    <t>5&lt;TRI&lt;10</t>
  </si>
  <si>
    <t>5 a 15%</t>
  </si>
  <si>
    <t>4ans&lt;&gt; 8ans</t>
  </si>
  <si>
    <t>TRL 5 a 7</t>
  </si>
  <si>
    <t>a valider</t>
  </si>
  <si>
    <t>10 a 20%</t>
  </si>
  <si>
    <t>TRL 4 a 6</t>
  </si>
  <si>
    <t>variable</t>
  </si>
  <si>
    <t>1&lt;TRI&lt;6 ans</t>
  </si>
  <si>
    <t>1,5&lt;TRI&lt;4</t>
  </si>
  <si>
    <t>CEE, ADEME</t>
  </si>
  <si>
    <t>ENR</t>
  </si>
  <si>
    <t>Gaz Verts</t>
  </si>
  <si>
    <t>&lt; 5ans</t>
  </si>
  <si>
    <t>&lt; 10 ans</t>
  </si>
  <si>
    <t>&lt; 20 ans</t>
  </si>
  <si>
    <t>&lt; 5 ans</t>
  </si>
  <si>
    <t>&lt;1%</t>
  </si>
  <si>
    <t>PAC</t>
  </si>
  <si>
    <t>50 a 70%</t>
  </si>
  <si>
    <t>Solaire</t>
  </si>
  <si>
    <t>IAA</t>
  </si>
  <si>
    <t>8 a 15 ans</t>
  </si>
  <si>
    <t>CCUS</t>
  </si>
  <si>
    <t>TRL 5</t>
  </si>
  <si>
    <t>Jusqua 90 %</t>
  </si>
  <si>
    <t>TRL 6</t>
  </si>
  <si>
    <t>Chaufferie
 vapeur</t>
  </si>
  <si>
    <t>2 à 5%</t>
  </si>
  <si>
    <t>1&lt;TRI&lt;4</t>
  </si>
  <si>
    <t>IND-UT-104</t>
  </si>
  <si>
    <t>3 à 6%</t>
  </si>
  <si>
    <t>2&lt;TRI&lt;5</t>
  </si>
  <si>
    <t>IND-UT-130</t>
  </si>
  <si>
    <t>IND-UT-105</t>
  </si>
  <si>
    <t xml:space="preserve">https://d1ccvklcu8wg4s.cloudfront.net/pr/cfr-fiches/pdf/chaufferie-vapeur-a-haut-rendement-gaz-naturel.pdf
</t>
  </si>
  <si>
    <t>&lt; 2%</t>
  </si>
  <si>
    <t>IND-UT-121</t>
  </si>
  <si>
    <t>IND-UT-125</t>
  </si>
  <si>
    <t xml:space="preserve">IND-UT-131 </t>
  </si>
  <si>
    <t>UTILITES</t>
  </si>
  <si>
    <t>1 à 4 %</t>
  </si>
  <si>
    <t>2&lt;TRI&lt;6</t>
  </si>
  <si>
    <t>60 à 80%</t>
  </si>
  <si>
    <t>IND-UT-103</t>
  </si>
  <si>
    <t>Air comprimé</t>
  </si>
  <si>
    <t>&lt; 2</t>
  </si>
  <si>
    <t>IND-UT-122</t>
  </si>
  <si>
    <t>IND-UT-124</t>
  </si>
  <si>
    <t>&gt; 10%</t>
  </si>
  <si>
    <t>5 à 10% / bar</t>
  </si>
  <si>
    <t>&lt; 6 mois</t>
  </si>
  <si>
    <t>5 à 50%</t>
  </si>
  <si>
    <t>1% / 3°C</t>
  </si>
  <si>
    <t>5 à 15%</t>
  </si>
  <si>
    <t>Froid</t>
  </si>
  <si>
    <t>IND-UT-135</t>
  </si>
  <si>
    <t>IND-UT-117</t>
  </si>
  <si>
    <t>10 à 25%</t>
  </si>
  <si>
    <t>SO</t>
  </si>
  <si>
    <t>IND-UT-116</t>
  </si>
  <si>
    <t>IND-UT-115</t>
  </si>
  <si>
    <t>2 à 3%</t>
  </si>
  <si>
    <t>IND-UT-113</t>
  </si>
  <si>
    <t>10 à 30%</t>
  </si>
  <si>
    <t>IND-BA-116</t>
  </si>
  <si>
    <t>Electricité</t>
  </si>
  <si>
    <t>IND-UT-112</t>
  </si>
  <si>
    <t>IND-UT-123</t>
  </si>
  <si>
    <t>IND-UT-132</t>
  </si>
  <si>
    <t>IND-UT-133</t>
  </si>
  <si>
    <t>IND-UT-136</t>
  </si>
  <si>
    <t>IND-UT-114</t>
  </si>
  <si>
    <t>IND-UT-102</t>
  </si>
  <si>
    <t>Consommation et kilométrage moyens en fonction du type de véhicule</t>
  </si>
  <si>
    <t>Poids lourds</t>
  </si>
  <si>
    <t>Véhicule léger</t>
  </si>
  <si>
    <t>Bus</t>
  </si>
  <si>
    <t>Autocar</t>
  </si>
  <si>
    <t>Kilométrage moyen (km/an)</t>
  </si>
  <si>
    <t>Consommation moyenne diesel (L/100km)</t>
  </si>
  <si>
    <t>Intensité énergétique par DPE</t>
  </si>
  <si>
    <t>Parc de logements par classe de performance énergétique au 1er janvier 2024</t>
  </si>
  <si>
    <t>Etiquette</t>
  </si>
  <si>
    <t>Conso moyenne (kWh/m²/an)</t>
  </si>
  <si>
    <t>Seuils (kWh/m²/an)</t>
  </si>
  <si>
    <t>Emissions de GES (kgCO2eq/m2/an</t>
  </si>
  <si>
    <t>Nombre de résidences principales en France (M)</t>
  </si>
  <si>
    <t>A</t>
  </si>
  <si>
    <t>Etiquette A</t>
  </si>
  <si>
    <t>B</t>
  </si>
  <si>
    <t>Etiquette B</t>
  </si>
  <si>
    <t>C</t>
  </si>
  <si>
    <t>Etiquette C</t>
  </si>
  <si>
    <t>D</t>
  </si>
  <si>
    <t>Etiquette D</t>
  </si>
  <si>
    <t>E</t>
  </si>
  <si>
    <t>Etiquette E</t>
  </si>
  <si>
    <t>F</t>
  </si>
  <si>
    <t xml:space="preserve">Etiquette F </t>
  </si>
  <si>
    <t>G</t>
  </si>
  <si>
    <t>&gt;420</t>
  </si>
  <si>
    <t>&gt;100</t>
  </si>
  <si>
    <t>Etiquette G</t>
  </si>
  <si>
    <t>"Passoires énergétiques" (étiquettes F + G)</t>
  </si>
  <si>
    <t>Ces ratios proviennent d'une étude du BE Guillemard basée sur une modélisation de 5 typologies de bâtiments - CEGIBAT</t>
  </si>
  <si>
    <t>SANS RENOVATION</t>
  </si>
  <si>
    <t>Bâtiment grand collectif - chaudière individuelle - zone climatique H2</t>
  </si>
  <si>
    <t>Bâtiment HBM- chaudière individuelle - zone climatique H2</t>
  </si>
  <si>
    <t>Bâtiment Petit collectif - chaudière individuelle - zone climatique H2</t>
  </si>
  <si>
    <t>Typologie bâtiment</t>
  </si>
  <si>
    <t>Grand collectif</t>
  </si>
  <si>
    <t>HBM</t>
  </si>
  <si>
    <t>Petit collectif</t>
  </si>
  <si>
    <t>Tous bâtiments - zone H2 - chaudière individuelle</t>
  </si>
  <si>
    <t>Tous bâtiments - zone H2 - chaudière collective</t>
  </si>
  <si>
    <t>Zone climatique</t>
  </si>
  <si>
    <t>H2b (37)</t>
  </si>
  <si>
    <t>(Tous)</t>
  </si>
  <si>
    <t>Chauffage &amp; ECS avant travaux</t>
  </si>
  <si>
    <t>Chaudière individuelle</t>
  </si>
  <si>
    <t>TOUS BATIMENTS CONFONDUS</t>
  </si>
  <si>
    <t>Murs2</t>
  </si>
  <si>
    <t xml:space="preserve"> -</t>
  </si>
  <si>
    <t>Chaudière collective</t>
  </si>
  <si>
    <t>Plafond2</t>
  </si>
  <si>
    <t>Plancher2</t>
  </si>
  <si>
    <t>Menuiseries2</t>
  </si>
  <si>
    <t>Ventilation2</t>
  </si>
  <si>
    <t>Gains de CO2 par solution posée</t>
  </si>
  <si>
    <t>CD Coll + CESC</t>
  </si>
  <si>
    <t>Chaudière THPE individuelle + CET sur air extérieur</t>
  </si>
  <si>
    <t>Total général</t>
  </si>
  <si>
    <t>PAC élec A/E (collective)</t>
  </si>
  <si>
    <t>Bâtiment grand collectif - chaudière collective - zone climatique H2</t>
  </si>
  <si>
    <t>Bâtiment HBM - chaudière collective - zone climatique H2</t>
  </si>
  <si>
    <t>Bâtiment Petit collectif- chaudière collective - zone climatique H2</t>
  </si>
  <si>
    <t>PAC hybride collective - PAC hybride (ECS 50/50) RECALCULEE</t>
  </si>
  <si>
    <t>PAC hybride collective - PAC hybride (ECS gaz)</t>
  </si>
  <si>
    <t>Existant</t>
  </si>
  <si>
    <t>AVEC RENOVATION</t>
  </si>
  <si>
    <t>#N/A</t>
  </si>
  <si>
    <t>Chiffrage des coûts d'investissement pour les 5 bâtiments type</t>
  </si>
  <si>
    <t>Systèmes collectifs</t>
  </si>
  <si>
    <t>Systèmes individuels</t>
  </si>
  <si>
    <t>Nb logements</t>
  </si>
  <si>
    <t>Puissance chaufferie (kW)</t>
  </si>
  <si>
    <t>Coûts d'investissement bâti (€HT)</t>
  </si>
  <si>
    <t>Coût rénovation de chaufferie et Rth (€HT)</t>
  </si>
  <si>
    <t>Chaudière + tubage (€HT)</t>
  </si>
  <si>
    <t>PAC hybride (€HT)</t>
  </si>
  <si>
    <t>Chaudière + CESC (€HT)</t>
  </si>
  <si>
    <t>PAC élec (€HT)</t>
  </si>
  <si>
    <t>Chaudières individuelles (€HT)</t>
  </si>
  <si>
    <t>Chaudières indiv + CET (€HT)</t>
  </si>
  <si>
    <t>Sans travaux bâti</t>
  </si>
  <si>
    <t xml:space="preserve"> - </t>
  </si>
  <si>
    <t>Reconstruction</t>
  </si>
  <si>
    <t>Tour</t>
  </si>
  <si>
    <t>Avec travaux bâti</t>
  </si>
  <si>
    <t>Hypothèses</t>
  </si>
  <si>
    <t>Prix chaudière €/kW</t>
  </si>
  <si>
    <t>Prix PAC €/kW</t>
  </si>
  <si>
    <t>Coûts induits PAC (acoustique / racco élec)</t>
  </si>
  <si>
    <t>Prix chaudière individuelle + tubage / lgt si copro</t>
  </si>
  <si>
    <t>Prix tubage chaudière individuelle / lgt si copro</t>
  </si>
  <si>
    <t>Prix chaudière individuelle + tubage / lgt si BS</t>
  </si>
  <si>
    <t>Prix tubage chaudière individuelle / lgt si BS</t>
  </si>
  <si>
    <t>Prix CET (fourniture + pose) / lgt</t>
  </si>
  <si>
    <t>Prix panneaux solaires th / m²</t>
  </si>
  <si>
    <t>Nb panneaux solaire / lgt</t>
  </si>
  <si>
    <t>Prix installation de robinet thermostatique €HT / unité</t>
  </si>
  <si>
    <t>Coûts de rénovation de chaufferie estimés par Guillemard (€HT)</t>
  </si>
  <si>
    <t>Nb radiateurs</t>
  </si>
  <si>
    <t>Dimensionnement PAC H avant travaux</t>
  </si>
  <si>
    <t>Dimensionnement PAC H après travaux</t>
  </si>
  <si>
    <t>Dimensionnement PAC</t>
  </si>
  <si>
    <t>AVANT TRAVAUX</t>
  </si>
  <si>
    <t>APRES TRAVAUX</t>
  </si>
  <si>
    <t>100% biométhane</t>
  </si>
  <si>
    <t>Ref</t>
  </si>
  <si>
    <t>Surface (m²)</t>
  </si>
  <si>
    <t>Murs</t>
  </si>
  <si>
    <t>Plafond</t>
  </si>
  <si>
    <t>Plancher</t>
  </si>
  <si>
    <t>Menuiseries</t>
  </si>
  <si>
    <t>Ventilation</t>
  </si>
  <si>
    <t>Système indiv/collectif</t>
  </si>
  <si>
    <t>Système neuf / existant</t>
  </si>
  <si>
    <t>Conso NRJ kWhEP/m².an</t>
  </si>
  <si>
    <t>Etiquette NRJ avant travaux</t>
  </si>
  <si>
    <t>Emissions GES(kgeqCO2/m².an) avant travaux</t>
  </si>
  <si>
    <t>Etiquette GES avant travaux</t>
  </si>
  <si>
    <t>Etiquette DPE avant travaux</t>
  </si>
  <si>
    <t>Facture en € avant travaux</t>
  </si>
  <si>
    <t>Chauffage &amp; ECS après travaux</t>
  </si>
  <si>
    <t>Etiquette NRJ après travaux</t>
  </si>
  <si>
    <t>Emissions GES(kgeqCO2/m².an)  après travaux</t>
  </si>
  <si>
    <t>Etiquette GES  après travaux</t>
  </si>
  <si>
    <t>Facture en €  après travaux</t>
  </si>
  <si>
    <t>% d'économie d'énergie en EP</t>
  </si>
  <si>
    <t>% d'économie de CO2</t>
  </si>
  <si>
    <t>% d'économie € sur facture</t>
  </si>
  <si>
    <t>Emissions GES(kgeqCO2/m².an)  après travaux avec gaz vert</t>
  </si>
  <si>
    <t xml:space="preserve">Etiquette GES </t>
  </si>
  <si>
    <t>H1a (78)</t>
  </si>
  <si>
    <t>Indiv</t>
  </si>
  <si>
    <t>H3 (13)</t>
  </si>
  <si>
    <t>collectif</t>
  </si>
  <si>
    <t>PAC hybride collective -  (ECS 50/50)</t>
  </si>
  <si>
    <r>
      <t xml:space="preserve">Etude de coût global sur logement individuel (€) </t>
    </r>
    <r>
      <rPr>
        <sz val="14"/>
        <rFont val="Arial"/>
        <family val="2"/>
        <scheme val="minor"/>
      </rPr>
      <t>- zone climatique H2b / surface habitable 86m2 / année de construction : 1982</t>
    </r>
  </si>
  <si>
    <t>Coûts équipements</t>
  </si>
  <si>
    <t>Hypothèses tenue de prix de l'énergie :0,18€TTC/kWH de gaz, 0,33€TTC/kWh heures creuses, 0,27€TTC/kWh tempo</t>
  </si>
  <si>
    <t>Hors aides financières</t>
  </si>
  <si>
    <t>Coûts d'investissement (€TTC)</t>
  </si>
  <si>
    <t>Coûts de maintenance (annuels)</t>
  </si>
  <si>
    <t>Chaudière gaz basse température</t>
  </si>
  <si>
    <t>Cahier technique Cegibat</t>
  </si>
  <si>
    <t>Chaudière THPE</t>
  </si>
  <si>
    <t>Site de GRDF</t>
  </si>
  <si>
    <t>Chaudière THPE + CESI</t>
  </si>
  <si>
    <t>PAC hybride</t>
  </si>
  <si>
    <t>220 - 270</t>
  </si>
  <si>
    <t>Simulateur réno</t>
  </si>
  <si>
    <t>PAC hybride (+ rénovation du bâti)</t>
  </si>
  <si>
    <t>PAC air/eau (+ rénovation du bâti)</t>
  </si>
  <si>
    <t>CAPEX</t>
  </si>
  <si>
    <r>
      <t>Coûts d'installation des équipements gaz/hybrides principaux (€ TTC) -</t>
    </r>
    <r>
      <rPr>
        <b/>
        <sz val="14"/>
        <color theme="5"/>
        <rFont val="Arial"/>
        <family val="2"/>
        <scheme val="minor"/>
      </rPr>
      <t xml:space="preserve"> </t>
    </r>
    <r>
      <rPr>
        <i/>
        <u/>
        <sz val="14"/>
        <color theme="5"/>
        <rFont val="Arial"/>
        <family val="2"/>
        <scheme val="minor"/>
      </rPr>
      <t>source</t>
    </r>
    <r>
      <rPr>
        <i/>
        <sz val="14"/>
        <color theme="5"/>
        <rFont val="Arial"/>
        <family val="2"/>
        <scheme val="minor"/>
      </rPr>
      <t xml:space="preserve"> : DPEX</t>
    </r>
  </si>
  <si>
    <t>PAC 100% élec</t>
  </si>
  <si>
    <t>Radiateurs électriques</t>
  </si>
  <si>
    <t>Coûts radiateurs électriques au m2</t>
  </si>
  <si>
    <t>OPEX</t>
  </si>
  <si>
    <r>
      <t xml:space="preserve">Abonnement </t>
    </r>
    <r>
      <rPr>
        <sz val="12"/>
        <rFont val="Arial"/>
        <family val="2"/>
        <scheme val="minor"/>
      </rPr>
      <t>(€ TTC/an)</t>
    </r>
  </si>
  <si>
    <r>
      <t xml:space="preserve">Prix par kWh moyen </t>
    </r>
    <r>
      <rPr>
        <sz val="12"/>
        <rFont val="Arial"/>
        <family val="2"/>
        <scheme val="minor"/>
      </rPr>
      <t>(en € TTC/kWh)</t>
    </r>
  </si>
  <si>
    <t>Cuisson/eau chaude</t>
  </si>
  <si>
    <t>Moyenne</t>
  </si>
  <si>
    <t>Source : https://www.cre.fr/consommateurs/prix-reperes-et-references/prix-repere-de-vente-de-gaz-naturel-a-destination-des-clients-residentiels.html</t>
  </si>
  <si>
    <t>Cuisson/eau chaude (zone 1 à 6)</t>
  </si>
  <si>
    <t>Chauffage (zone 1 à 6)</t>
  </si>
  <si>
    <t>6 kVA</t>
  </si>
  <si>
    <t>Source : https://particulier.edf.fr/content/dam/2-Actifs/Documents/Offres/Grille_prix_Tarif_Bleu.pdf</t>
  </si>
  <si>
    <t>3 kVA</t>
  </si>
  <si>
    <t>9 kVA</t>
  </si>
  <si>
    <t>12 kVA</t>
  </si>
  <si>
    <t>15 kVA</t>
  </si>
  <si>
    <t>18 kVA</t>
  </si>
  <si>
    <t>24 kVA</t>
  </si>
  <si>
    <t>30 kVA</t>
  </si>
  <si>
    <t>36 kVA</t>
  </si>
  <si>
    <t>Source : https://www.edf.fr/sites/entreprise/files/2025-07/Fiche_descriptive_tarif_bleu_non_residentiel_inf36kVA_aout_2025.pdf</t>
  </si>
  <si>
    <t>Prix du kWh d'énergie (en € TTC) - client résidentiel en usage chauffage</t>
  </si>
  <si>
    <t>Energie</t>
  </si>
  <si>
    <t>Chiffres internes uniquement</t>
  </si>
  <si>
    <t>Particuliers</t>
  </si>
  <si>
    <t>Gaz - prix repère CRE (indicatif)</t>
  </si>
  <si>
    <t>Meilleure offre de marché : gaz naturel</t>
  </si>
  <si>
    <t>Meilleure offre de marché : 100% gaz vert</t>
  </si>
  <si>
    <t>Electricité - tarif réglementé de vente (TRV) - EDF</t>
  </si>
  <si>
    <t>Meilleure offre de marché : électricité</t>
  </si>
  <si>
    <t>HP : 0,1841 €
HC : 0,1470 €</t>
  </si>
  <si>
    <t>Meilleure offre de marché : électricité 100% verte</t>
  </si>
  <si>
    <t>Bois</t>
  </si>
  <si>
    <t>Propane</t>
  </si>
  <si>
    <t xml:space="preserve">Comparatif effectué avec des équipements anciens (chaudière ancienne génération pour les combustibles fossiles et chauffage à effet joule pour l'électricité). Les factures avec des équipements modernes seraient plus avantageuses (chaudière THPE, PAC hybride et PAC électrique) mais sont aussi dépendantes du niveau d'isolation du logement. </t>
  </si>
  <si>
    <r>
      <rPr>
        <b/>
        <sz val="11"/>
        <color theme="1"/>
        <rFont val="Arial"/>
        <family val="2"/>
        <scheme val="minor"/>
      </rPr>
      <t>Hypothèses des calculs</t>
    </r>
    <r>
      <rPr>
        <sz val="11"/>
        <color theme="1"/>
        <rFont val="Arial"/>
        <family val="2"/>
        <scheme val="minor"/>
      </rPr>
      <t xml:space="preserve"> : maison individuelle construite en 1985, de surface indicative 100 m². Consommations énergétiques de chauffage et eau chaude selon méthode 3CL-DPE : basées sur besoins annuels types RT1982 calculés selon l’énergie de chauffage (100 kWh/m² en électricité, 107 kWh/m² pour les combustibles, 18 kWh/m² pour l’ECS toutes énergies) et rendements globaux des équipements installés (convecteurs NFC + cumulus &gt; 15 ans en électricité, chaudière &gt; 15 ans pour les combustibles, eau chaude instantanée en gaz naturel et propane, accumulée en fioul). 
• Gaz : sur la base B1 (chauffage) pour un logement en zone 1 (Lille), avec une consommation annuelle de 21 335 kWh PCS. Le prix repère peut varier en fonction des régions 
• Électricité : Logement avec une consommation annuelle de 13 488 kWh, compteur 12kVA, tarif bleu option HP / HC (heures pleines 60% / heures creuses 40%). 
• Fioul : prix pour 20 803 kWh PCI de fioul en 12/2024 
• Bois : prix pour 19 221 kWh PCI de granulés de bois en sacs en 09/2024 
• Propane : prix pour 19 221 kWh PCI de Propane en livraison en 11/2024</t>
    </r>
  </si>
  <si>
    <t>Prix à la pompe (TTC)</t>
  </si>
  <si>
    <t>Gazole</t>
  </si>
  <si>
    <t>€/L</t>
  </si>
  <si>
    <t>GNV</t>
  </si>
  <si>
    <t>€/kg</t>
  </si>
  <si>
    <t>BioGNV</t>
  </si>
  <si>
    <t>Récapitulatif des subventions au 1er janvier 2025</t>
  </si>
  <si>
    <t>Plafonds de ressources</t>
  </si>
  <si>
    <t>MaPrimeRénov' - Parcours mono-geste</t>
  </si>
  <si>
    <t>Nombre de personnes composant le ménage</t>
  </si>
  <si>
    <t>Ménages aux ressources très modestes (€)</t>
  </si>
  <si>
    <t>Ménages aux ressources modestes (€)</t>
  </si>
  <si>
    <t>Ménages aux ressources intermédiaires (€)</t>
  </si>
  <si>
    <t>Ménages aux ressources supérieures (€)</t>
  </si>
  <si>
    <t>Île-de-France</t>
  </si>
  <si>
    <t>Par personne supplémentaire</t>
  </si>
  <si>
    <t>Autres régions</t>
  </si>
  <si>
    <r>
      <t xml:space="preserve">/!\ </t>
    </r>
    <r>
      <rPr>
        <b/>
        <u/>
        <sz val="11"/>
        <color theme="6"/>
        <rFont val="Arial"/>
        <family val="2"/>
        <scheme val="minor"/>
      </rPr>
      <t>À noter :</t>
    </r>
    <r>
      <rPr>
        <sz val="11"/>
        <color theme="6"/>
        <rFont val="Arial"/>
        <family val="2"/>
        <scheme val="minor"/>
      </rPr>
      <t xml:space="preserve"> l'installation d'une chaudière à gaz n'est pas financée, sauf si les travaux ont été votés en assemblée générale avant le 30 juin 2025 et que la demande d'aide a été déposée avant le 30 septembre.
L'installation ou le remplacement d'une chaudière à gaz peut être pris en compte dans les travaux permettant d’atteindre le gain énergétique de 35 %, mais son coût ne sera pas couvert.</t>
    </r>
  </si>
  <si>
    <r>
      <t>Barèmes MaPrimeRénov'</t>
    </r>
    <r>
      <rPr>
        <sz val="11"/>
        <color theme="1"/>
        <rFont val="Arial"/>
        <family val="2"/>
        <scheme val="major"/>
      </rPr>
      <t xml:space="preserve"> - </t>
    </r>
    <r>
      <rPr>
        <sz val="11"/>
        <color rgb="FFC00000"/>
        <rFont val="Arial"/>
        <family val="2"/>
        <scheme val="major"/>
      </rPr>
      <t>parcours par gestes</t>
    </r>
  </si>
  <si>
    <r>
      <t xml:space="preserve">Barèmes MaPrimeRénov' </t>
    </r>
    <r>
      <rPr>
        <sz val="11"/>
        <color theme="1"/>
        <rFont val="Arial"/>
        <family val="2"/>
        <scheme val="major"/>
      </rPr>
      <t xml:space="preserve">- </t>
    </r>
    <r>
      <rPr>
        <sz val="11"/>
        <color rgb="FFC00000"/>
        <rFont val="Arial"/>
        <family val="2"/>
        <scheme val="major"/>
      </rPr>
      <t>rénovation d'ampleur</t>
    </r>
    <r>
      <rPr>
        <sz val="11"/>
        <color theme="1"/>
        <rFont val="Arial"/>
        <family val="2"/>
        <scheme val="major"/>
      </rPr>
      <t xml:space="preserve"> - au moins 2 gestes d'isolation</t>
    </r>
  </si>
  <si>
    <r>
      <t xml:space="preserve">Barèmes MaPrimeRénov' </t>
    </r>
    <r>
      <rPr>
        <sz val="11"/>
        <color theme="1"/>
        <rFont val="Arial"/>
        <family val="2"/>
        <scheme val="major"/>
      </rPr>
      <t xml:space="preserve">- </t>
    </r>
    <r>
      <rPr>
        <sz val="11"/>
        <color rgb="FFC00000"/>
        <rFont val="Arial"/>
        <family val="2"/>
        <scheme val="major"/>
      </rPr>
      <t>copropriété</t>
    </r>
  </si>
  <si>
    <t>Geste de rénovation</t>
  </si>
  <si>
    <t>Projet de travaux</t>
  </si>
  <si>
    <t>Gain énergétique de 35%</t>
  </si>
  <si>
    <t>Gain énergétique de 50%</t>
  </si>
  <si>
    <t>PAC hybride gaz</t>
  </si>
  <si>
    <t>Gain de 2 classes de DPE</t>
  </si>
  <si>
    <t>% financement des travaux</t>
  </si>
  <si>
    <t>Chauffe-eau solaire</t>
  </si>
  <si>
    <t>Prise en charge des travaux</t>
  </si>
  <si>
    <t>Plafond de financement (€)</t>
  </si>
  <si>
    <t>Dépose cuve fioul</t>
  </si>
  <si>
    <t>Plafond de dépenses éligibles</t>
  </si>
  <si>
    <t>Bonification sortie de passoire thermique (F ou G -&gt; au moins D)</t>
  </si>
  <si>
    <t>VMC double flux</t>
  </si>
  <si>
    <t>Gain de 3 classes de DPE</t>
  </si>
  <si>
    <t>Prime ménage modeste (€)</t>
  </si>
  <si>
    <t>Isolation thermique des parois vitrées (/équipement)</t>
  </si>
  <si>
    <t>Prime ménage très modeste (€)</t>
  </si>
  <si>
    <t>Isolation des murs par l'extérieur (/m2)</t>
  </si>
  <si>
    <t>Prise en charge de la prestation AMO</t>
  </si>
  <si>
    <t>Isolation des toitures terrasses (/m2)</t>
  </si>
  <si>
    <t>Gain de 4+ classes de DPE</t>
  </si>
  <si>
    <t>Isolation des murs par l'intérieur (/m2)</t>
  </si>
  <si>
    <t>Isolation des rampants de toiture et plafonds de combles</t>
  </si>
  <si>
    <t>Cette aide est spécifiquement destinée aux travaux réalisés sur les parties communes des copropriétés ou sur les parties privatives d'intérêt collectif (exemple : fenêtres)</t>
  </si>
  <si>
    <t xml:space="preserve">Ce parcours concerne les rénovations globales permettant un gain énergétique significatif, d'au moins deux classes sur le DPE. Elles dépenses des niveaux de revenus. </t>
  </si>
  <si>
    <t xml:space="preserve">Aides destinées aux propriétaires qui souhaitent réaliser des travaux spécifiques. Elles sont accessibles sous conditions de revenus. </t>
  </si>
  <si>
    <t>Facteurs d'émissions par type d'énergie</t>
  </si>
  <si>
    <t>FE réglementaire</t>
  </si>
  <si>
    <t>Unité</t>
  </si>
  <si>
    <t>Incertitude</t>
  </si>
  <si>
    <t>Fioul domestique</t>
  </si>
  <si>
    <r>
      <t xml:space="preserve">kgCO2eq/kWh </t>
    </r>
    <r>
      <rPr>
        <b/>
        <sz val="11"/>
        <color theme="1"/>
        <rFont val="Arial"/>
        <family val="2"/>
        <scheme val="minor"/>
      </rPr>
      <t>PCI</t>
    </r>
  </si>
  <si>
    <t>Base empreinte® ADEME (2017) - ID BC 14085</t>
  </si>
  <si>
    <r>
      <t xml:space="preserve">Gaz naturel PCI
</t>
    </r>
    <r>
      <rPr>
        <sz val="11"/>
        <color theme="1"/>
        <rFont val="Arial"/>
        <family val="2"/>
        <scheme val="minor"/>
      </rPr>
      <t>(consommation)</t>
    </r>
  </si>
  <si>
    <t>Base empreinte® ADEME (2022)</t>
  </si>
  <si>
    <r>
      <t xml:space="preserve">Gaz naturel PCS
</t>
    </r>
    <r>
      <rPr>
        <sz val="11"/>
        <color theme="1"/>
        <rFont val="Arial"/>
        <family val="2"/>
        <scheme val="minor"/>
      </rPr>
      <t>(consommation)</t>
    </r>
  </si>
  <si>
    <r>
      <t xml:space="preserve">kgCO2eq/kWh </t>
    </r>
    <r>
      <rPr>
        <b/>
        <sz val="11"/>
        <color theme="1"/>
        <rFont val="Arial"/>
        <family val="2"/>
        <scheme val="minor"/>
      </rPr>
      <t>PCS</t>
    </r>
  </si>
  <si>
    <r>
      <t>Base empreinte</t>
    </r>
    <r>
      <rPr>
        <sz val="11"/>
        <color theme="1"/>
        <rFont val="Aptos Narrow"/>
        <family val="2"/>
      </rPr>
      <t>® ADEME</t>
    </r>
  </si>
  <si>
    <r>
      <t xml:space="preserve">Biométhane 
</t>
    </r>
    <r>
      <rPr>
        <sz val="11"/>
        <color theme="1"/>
        <rFont val="Arial"/>
        <family val="2"/>
        <scheme val="minor"/>
      </rPr>
      <t>(consommation)</t>
    </r>
  </si>
  <si>
    <t>Base empreinte® ADEME (2028)</t>
  </si>
  <si>
    <t>Biométhane injecté dans les réseaux</t>
  </si>
  <si>
    <t>Base empreinte® ADEME (2028) - ID BC : 43576</t>
  </si>
  <si>
    <t>ACV Biométhane 2023, GRDF, Base Empreinte (en 2025)</t>
  </si>
  <si>
    <r>
      <t xml:space="preserve">Electricité 2023
</t>
    </r>
    <r>
      <rPr>
        <sz val="11"/>
        <color theme="1"/>
        <rFont val="Arial"/>
        <family val="2"/>
        <scheme val="minor"/>
      </rPr>
      <t>(mix moyen/consommation)</t>
    </r>
  </si>
  <si>
    <t>kgCO2eq/kWh</t>
  </si>
  <si>
    <r>
      <t>Base empreinte</t>
    </r>
    <r>
      <rPr>
        <sz val="11"/>
        <color theme="1"/>
        <rFont val="Aptos Narrow"/>
        <family val="2"/>
      </rPr>
      <t>® ADEME</t>
    </r>
    <r>
      <rPr>
        <sz val="11"/>
        <color theme="1"/>
        <rFont val="Arial"/>
        <family val="2"/>
        <scheme val="minor"/>
      </rPr>
      <t xml:space="preserve"> (2023)</t>
    </r>
  </si>
  <si>
    <t xml:space="preserve">Réseau de chaleur </t>
  </si>
  <si>
    <t>https://france-chaleur-urbaine.beta.gouv.fr/reseaux-chaleur</t>
  </si>
  <si>
    <t>Mobilité</t>
  </si>
  <si>
    <r>
      <t xml:space="preserve">GNC
</t>
    </r>
    <r>
      <rPr>
        <sz val="11"/>
        <color theme="1"/>
        <rFont val="Arial"/>
        <family val="2"/>
        <scheme val="minor"/>
      </rPr>
      <t>(amont + combustion)</t>
    </r>
  </si>
  <si>
    <t>kgCO2eq/kg</t>
  </si>
  <si>
    <r>
      <t xml:space="preserve">GNL
</t>
    </r>
    <r>
      <rPr>
        <sz val="11"/>
        <color theme="1"/>
        <rFont val="Arial"/>
        <family val="2"/>
        <scheme val="minor"/>
      </rPr>
      <t>(amont + combustion)</t>
    </r>
  </si>
  <si>
    <r>
      <t xml:space="preserve">BioGNC
</t>
    </r>
    <r>
      <rPr>
        <sz val="11"/>
        <color theme="1"/>
        <rFont val="Arial"/>
        <family val="2"/>
        <scheme val="minor"/>
      </rPr>
      <t>(amont + combustion)</t>
    </r>
  </si>
  <si>
    <r>
      <t xml:space="preserve">Essence
</t>
    </r>
    <r>
      <rPr>
        <sz val="11"/>
        <color theme="1"/>
        <rFont val="Arial"/>
        <family val="2"/>
        <scheme val="minor"/>
      </rPr>
      <t>E85</t>
    </r>
  </si>
  <si>
    <t>kgCO2eq/litre</t>
  </si>
  <si>
    <r>
      <t xml:space="preserve">Essence
</t>
    </r>
    <r>
      <rPr>
        <sz val="11"/>
        <color theme="1"/>
        <rFont val="Arial"/>
        <family val="2"/>
        <scheme val="minor"/>
      </rPr>
      <t>E10</t>
    </r>
  </si>
  <si>
    <r>
      <t xml:space="preserve">Essence 
</t>
    </r>
    <r>
      <rPr>
        <sz val="11"/>
        <color theme="1"/>
        <rFont val="Arial"/>
        <family val="2"/>
        <scheme val="minor"/>
      </rPr>
      <t>(supercarburant sans plomb (95, 95-E10, 98))</t>
    </r>
  </si>
  <si>
    <t>Gazole routier</t>
  </si>
  <si>
    <r>
      <t xml:space="preserve">Gazole routier
</t>
    </r>
    <r>
      <rPr>
        <sz val="11"/>
        <color theme="1"/>
        <rFont val="Arial"/>
        <family val="2"/>
        <scheme val="minor"/>
      </rPr>
      <t>B7</t>
    </r>
  </si>
  <si>
    <r>
      <t xml:space="preserve">Gazole routier
</t>
    </r>
    <r>
      <rPr>
        <sz val="11"/>
        <color theme="1"/>
        <rFont val="Arial"/>
        <family val="2"/>
        <scheme val="minor"/>
      </rPr>
      <t>B10</t>
    </r>
  </si>
  <si>
    <r>
      <t xml:space="preserve">Gazole routier
</t>
    </r>
    <r>
      <rPr>
        <sz val="11"/>
        <color theme="1"/>
        <rFont val="Arial"/>
        <family val="2"/>
        <scheme val="minor"/>
      </rPr>
      <t>B100</t>
    </r>
  </si>
  <si>
    <t>Ratio PCS/PCI</t>
  </si>
  <si>
    <t>Combustible</t>
  </si>
  <si>
    <t>Rapport PCS/PCI</t>
  </si>
  <si>
    <t>Gaz naturel</t>
  </si>
  <si>
    <t>Base carbone ADEME 09/2024</t>
  </si>
  <si>
    <t>PCS = PCI x 1,11
PCI = PCS / 1,11</t>
  </si>
  <si>
    <t>GPL</t>
  </si>
  <si>
    <t>Essence</t>
  </si>
  <si>
    <t>Diesel, fioul domestique</t>
  </si>
  <si>
    <t>Source : https://prod-basecarbonesolo.ademe-dri.fr/documentation/UPLOAD_DOC_FR/index.htm?passage_du_pcs_au_pci.htm</t>
  </si>
  <si>
    <t>Facteur de conversion Energie finale --&gt; Energie primaire</t>
  </si>
  <si>
    <t>EF en EP</t>
  </si>
  <si>
    <t>L'électricité est donc une énergie peu "efficace", car pour consommer 1kWh d'électricité, il faut en produire 2,3 en amont.</t>
  </si>
  <si>
    <t>Gaz</t>
  </si>
  <si>
    <t>Source : https://conseils-thermiques.org/contenu/conversion_energie_primaire_finale.php</t>
  </si>
  <si>
    <t>Equivalents issus de la calculette "Impact CO2" de l'ADEME</t>
  </si>
  <si>
    <t xml:space="preserve">1 km en voiture thermique </t>
  </si>
  <si>
    <t>kgCO2eq</t>
  </si>
  <si>
    <t>1 A/R Paris-Marseille en TGV</t>
  </si>
  <si>
    <t>1 A/R Paris-Berlin en TGV</t>
  </si>
  <si>
    <t>1 A/R Lille-Nîmes en voiture</t>
  </si>
  <si>
    <t>1 tour de la Terre en voiture</t>
  </si>
  <si>
    <t>1 remplissage de piscine</t>
  </si>
  <si>
    <t>1% de l'empreinte carbone d'un citoyen français</t>
  </si>
  <si>
    <t>1h de visioconférence</t>
  </si>
  <si>
    <r>
      <rPr>
        <i/>
        <u/>
        <sz val="9"/>
        <color theme="1"/>
        <rFont val="Arial"/>
        <family val="2"/>
        <scheme val="minor"/>
      </rPr>
      <t>Source :</t>
    </r>
    <r>
      <rPr>
        <i/>
        <sz val="9"/>
        <color theme="1"/>
        <rFont val="Arial"/>
        <family val="2"/>
        <scheme val="minor"/>
      </rPr>
      <t xml:space="preserve"> https://impactco2.fr/outils/comparateur#simulateur</t>
    </r>
  </si>
  <si>
    <t xml:space="preserve">Source : </t>
  </si>
  <si>
    <t>1.</t>
  </si>
  <si>
    <t>Consommation de gaz par usage (TWh PCS)</t>
  </si>
  <si>
    <t xml:space="preserve">Evolution du nombre de PCE </t>
  </si>
  <si>
    <t>TCAC 
(2023-2030)</t>
  </si>
  <si>
    <t>Sous-total bâtiment</t>
  </si>
  <si>
    <t xml:space="preserve">Résidentiel </t>
  </si>
  <si>
    <t>Tertiaire</t>
  </si>
  <si>
    <t>Industrie</t>
  </si>
  <si>
    <t>Réseaux de chaleur urbains</t>
  </si>
  <si>
    <t>Cogénérations</t>
  </si>
  <si>
    <t>Production électrique centralisée</t>
  </si>
  <si>
    <t>Autres (agriculture, mobilité, pertes…)</t>
  </si>
  <si>
    <t>2.</t>
  </si>
  <si>
    <t>Trajectoire de rénovation en résidentiel et tertiaire  (répartition de la trajectoire de rénovation nationale selon les parcs initiaux régionaux en résidentiel, et selon la part de VA du secteur tertaire par région, selon données INSEE 2021 pour le tertiaire)</t>
  </si>
  <si>
    <t>Sous-total résidentiel</t>
  </si>
  <si>
    <t>AUVERGNE RHONE ALPES</t>
  </si>
  <si>
    <t>BOURGOGNE FRANCHE COMTE</t>
  </si>
  <si>
    <t>BRETAGNE</t>
  </si>
  <si>
    <t>CENTRE VAL DE LOIRE</t>
  </si>
  <si>
    <t>GRAND EST</t>
  </si>
  <si>
    <t>HAUTS DE FRANCE</t>
  </si>
  <si>
    <t>ILE DE FRANCE</t>
  </si>
  <si>
    <t>NORMANDIE</t>
  </si>
  <si>
    <t>NOUVELLE AQUITAINE</t>
  </si>
  <si>
    <t>OCCITANIE</t>
  </si>
  <si>
    <t>PAYS DE LA LOIRE</t>
  </si>
  <si>
    <t>PROVENCE ALPES COTE D AZUR</t>
  </si>
  <si>
    <t>Résidentiel - immeuble collectif</t>
  </si>
  <si>
    <t>Impact de la rénovation de logements (TWh)</t>
  </si>
  <si>
    <t>d'ici 2030</t>
  </si>
  <si>
    <t>3.</t>
  </si>
  <si>
    <t xml:space="preserve">Nombre d'équipements de chauffage total par région </t>
  </si>
  <si>
    <t>vs. 2023</t>
  </si>
  <si>
    <t>vs 2024</t>
  </si>
  <si>
    <t>vs 2025</t>
  </si>
  <si>
    <t>vs. 2026</t>
  </si>
  <si>
    <t>vs. 2027</t>
  </si>
  <si>
    <t>TCAC
(2024-2030)</t>
  </si>
  <si>
    <t>Sous-total conventionnel (chaudière standard)</t>
  </si>
  <si>
    <t>Sous-total PAC A/E hybride</t>
  </si>
  <si>
    <t>Sous-total THPE</t>
  </si>
  <si>
    <t>Sous-total Autre</t>
  </si>
  <si>
    <t>4.</t>
  </si>
  <si>
    <t>Potentiel de conversion fioul-gaz</t>
  </si>
  <si>
    <t>Potentiel total de conversions fioul</t>
  </si>
  <si>
    <t>Source : DCC</t>
  </si>
  <si>
    <t xml:space="preserve">Estimation du nombre de conversions fioul </t>
  </si>
  <si>
    <t>Source : Estimation onepoint</t>
  </si>
  <si>
    <t xml:space="preserve">5. </t>
  </si>
  <si>
    <t>Evolution du nombre de nouveaux véhicules au GNV/BioGNV</t>
  </si>
  <si>
    <t>Véhicules légers (utilitaires ou non)</t>
  </si>
  <si>
    <t xml:space="preserve">Nombre d'équipements de chauffage par région </t>
  </si>
  <si>
    <t xml:space="preserve">Région administrative </t>
  </si>
  <si>
    <t>Equipement de chauffage</t>
  </si>
  <si>
    <t>Auvergne Rhône-Alpes</t>
  </si>
  <si>
    <t>Conventionnel</t>
  </si>
  <si>
    <t>PACair/eauHybride</t>
  </si>
  <si>
    <t>THPE</t>
  </si>
  <si>
    <t>Autre</t>
  </si>
  <si>
    <t>PACA</t>
  </si>
  <si>
    <t xml:space="preserve">Occitanie </t>
  </si>
  <si>
    <t>Pays de La Loire</t>
  </si>
  <si>
    <t xml:space="preserve">Bourgogne France Comté </t>
  </si>
  <si>
    <t>Bretagne</t>
  </si>
  <si>
    <t>Centre Val de Loire</t>
  </si>
  <si>
    <t>Grand Est</t>
  </si>
  <si>
    <t xml:space="preserve">Hauts de France </t>
  </si>
  <si>
    <t>Ile de France</t>
  </si>
  <si>
    <t>Normandie</t>
  </si>
  <si>
    <t xml:space="preserve">Nouvelle Aquitaine </t>
  </si>
  <si>
    <t>segment</t>
  </si>
  <si>
    <t>solution_technique</t>
  </si>
  <si>
    <t>Emetteur</t>
  </si>
  <si>
    <t>Aérotherme à eau chaude</t>
  </si>
  <si>
    <t>Aérotherme direct</t>
  </si>
  <si>
    <t>Centrale Traitement Air</t>
  </si>
  <si>
    <t>Générateur d'air chaud</t>
  </si>
  <si>
    <t>Panneaux radiants</t>
  </si>
  <si>
    <t>Panneaux Rayonnants</t>
  </si>
  <si>
    <t>Plancher chauffant</t>
  </si>
  <si>
    <t>Poutre chaude ou froide</t>
  </si>
  <si>
    <t>Radiateurs basse température</t>
  </si>
  <si>
    <t>Radiateurs haute température</t>
  </si>
  <si>
    <t>Roof-top</t>
  </si>
  <si>
    <t>Roof-top adiabatique</t>
  </si>
  <si>
    <t>Roof-top hybride</t>
  </si>
  <si>
    <t>Tubes radiants</t>
  </si>
  <si>
    <t>Vecteur Air</t>
  </si>
  <si>
    <t>Ventiloconvecteur</t>
  </si>
  <si>
    <t>Générateur</t>
  </si>
  <si>
    <t>Accumulateur Gaz</t>
  </si>
  <si>
    <t>Chaudière basse température</t>
  </si>
  <si>
    <t>Chaudière condensation</t>
  </si>
  <si>
    <t>Chaudière Haut Rendement</t>
  </si>
  <si>
    <t>Chaudière hybride bois gaz</t>
  </si>
  <si>
    <t>Cogénération</t>
  </si>
  <si>
    <t>Condensateur sur les fumées</t>
  </si>
  <si>
    <t>Ecogénérateur</t>
  </si>
  <si>
    <t>PAC Abso Gaz</t>
  </si>
  <si>
    <t>PAC hybride aérothermique</t>
  </si>
  <si>
    <t>PAC hybride géothermique</t>
  </si>
  <si>
    <t>PAC Moteur Gaz</t>
  </si>
  <si>
    <t>Solaire Photovoltaïque</t>
  </si>
  <si>
    <t>Solaire Thermique</t>
  </si>
  <si>
    <t>Cabine de peinture</t>
  </si>
  <si>
    <t>Cuiseur Vapeur</t>
  </si>
  <si>
    <t>Doner</t>
  </si>
  <si>
    <t>Etuve</t>
  </si>
  <si>
    <t>Four Boulangerie</t>
  </si>
  <si>
    <t>Four Indépendant</t>
  </si>
  <si>
    <t>Fourneaux double services</t>
  </si>
  <si>
    <t>Fourneaux simple service</t>
  </si>
  <si>
    <t>Four Patisserie</t>
  </si>
  <si>
    <t>Friteuse</t>
  </si>
  <si>
    <t>Fumoir</t>
  </si>
  <si>
    <t>Grill</t>
  </si>
  <si>
    <t>Marmite</t>
  </si>
  <si>
    <t>Piano</t>
  </si>
  <si>
    <t>Pressing</t>
  </si>
  <si>
    <t>Rechaud x feux</t>
  </si>
  <si>
    <t>Rotisserie</t>
  </si>
  <si>
    <t>Salamandre</t>
  </si>
  <si>
    <t>Sauteuse</t>
  </si>
  <si>
    <t>WOK</t>
  </si>
  <si>
    <t>Process industriel</t>
  </si>
  <si>
    <t>Arches de cuisson (ou de recuisson)</t>
  </si>
  <si>
    <t>Autres procédés</t>
  </si>
  <si>
    <t>Brûleur de process</t>
  </si>
  <si>
    <t>Brûleur pour chaudière</t>
  </si>
  <si>
    <t>Chalumeaux</t>
  </si>
  <si>
    <t>Chariots élévateurs</t>
  </si>
  <si>
    <t>Chaudière Eau Chaude (brûleur + corps de chauffe)</t>
  </si>
  <si>
    <t>Chaudière Fluide Thermique (brûleur + corps de chauffe)</t>
  </si>
  <si>
    <t>Chaudière Vapeur (brûleur + corps de chauffe)</t>
  </si>
  <si>
    <t>Cogénération - Moteur à gaz</t>
  </si>
  <si>
    <t>Cogénération - Turbine à gaz</t>
  </si>
  <si>
    <t>Condenseur (sur chaudière ou générateur eau chaude)</t>
  </si>
  <si>
    <t>Economiseur (sur chaudière ou générateur eau chaude)</t>
  </si>
  <si>
    <t>Epurateur thermique récupératif (traitement des COV)</t>
  </si>
  <si>
    <t>Epurateur thermique régénératif (traitement des COV)</t>
  </si>
  <si>
    <t>Feeder</t>
  </si>
  <si>
    <t>Four de chauffage et de cuisson</t>
  </si>
  <si>
    <t>Four de craquage</t>
  </si>
  <si>
    <t>Four de fusion</t>
  </si>
  <si>
    <t>Four de traitement thermique</t>
  </si>
  <si>
    <t>Four ou étuve de séchage/cuisson</t>
  </si>
  <si>
    <t>Four Rotatif</t>
  </si>
  <si>
    <t>Four, tunnel ou rampe infrarouge</t>
  </si>
  <si>
    <t>Générateur d'air chaud (Tour atomisation - Séchage)</t>
  </si>
  <si>
    <t>Générateur d'eau chaude (Hydroaccumulateur)</t>
  </si>
  <si>
    <t>Housseuse</t>
  </si>
  <si>
    <t>Panneaux solaires (solaire thermique)</t>
  </si>
  <si>
    <t>Torréfacteur</t>
  </si>
  <si>
    <t>Tube immergé compact</t>
  </si>
  <si>
    <t>Unité de Flambage ou de Flammage</t>
  </si>
  <si>
    <t>Voute infrarouge</t>
  </si>
  <si>
    <t>Résidentiel</t>
  </si>
  <si>
    <t xml:space="preserve">Chaudière à condensation indiv </t>
  </si>
  <si>
    <t xml:space="preserve">Chaudière à condensation collective </t>
  </si>
  <si>
    <t xml:space="preserve">Solution hybride indiv 1 usage gaz elec </t>
  </si>
  <si>
    <t xml:space="preserve">Solution hybride indiv 2 usages gaz elec </t>
  </si>
  <si>
    <t xml:space="preserve">Solution hybride col 1 usage gaz elec </t>
  </si>
  <si>
    <t xml:space="preserve">Solution hybride col 2 usage gaz elec </t>
  </si>
  <si>
    <t>Solution hybride col gaz bois  </t>
  </si>
  <si>
    <t xml:space="preserve">Solution hybride chaudière col + électrolyse hydrogène </t>
  </si>
  <si>
    <t>Chaudière à condensation + CESI optimisé</t>
  </si>
  <si>
    <t>Effet joule + Chauffe bain condensation indiv</t>
  </si>
  <si>
    <t>Effet joute + ECS collective gaz</t>
  </si>
  <si>
    <t xml:space="preserve">PAC à absorbtion gaz </t>
  </si>
  <si>
    <t>G_Cogénération</t>
  </si>
  <si>
    <t>EVAPDC_shunt Alsace</t>
  </si>
  <si>
    <t>EVAPD_ATG</t>
  </si>
  <si>
    <t>EVAPDC_VMC gaz</t>
  </si>
  <si>
    <t>EVAPDC_3CEp</t>
  </si>
  <si>
    <t>EVAPDC_Ventouse</t>
  </si>
  <si>
    <t>PCA Hybride gaz préchauffage ECS</t>
  </si>
  <si>
    <t>PAC hybride gaz sans préchauffage</t>
  </si>
  <si>
    <t>Effet joule + Chauffe bain + Kit PV</t>
  </si>
  <si>
    <t>G_ECS CESI classique</t>
  </si>
  <si>
    <t>G_ECS CESI optimisé</t>
  </si>
  <si>
    <t>G_ECS Chauffe_bain condensation </t>
  </si>
  <si>
    <t>G_ECS Solaire Thermique </t>
  </si>
  <si>
    <t>Ballon Thermodynamique </t>
  </si>
  <si>
    <t>E_Radiateur basse température</t>
  </si>
  <si>
    <t>E_Radiateur Haute température</t>
  </si>
  <si>
    <t>E_Vecteur air</t>
  </si>
  <si>
    <t>E_Plancher Chauffant</t>
  </si>
  <si>
    <t>Chaudière à condensation + Kit photovoltaïque </t>
  </si>
  <si>
    <t>Chaudière hybride réversible </t>
  </si>
  <si>
    <t>G_Chaudière Individuelle condensation</t>
  </si>
  <si>
    <t>G_écogénérateur </t>
  </si>
  <si>
    <t>G_autre</t>
  </si>
  <si>
    <t>Solaire photovoltaïque </t>
  </si>
  <si>
    <t>G_Chaudière collective condensation</t>
  </si>
  <si>
    <t>G_Chaudière individuelle condensation </t>
  </si>
  <si>
    <t>G_écognérateur </t>
  </si>
  <si>
    <t>G_ECS Solaire Thermique</t>
  </si>
  <si>
    <t>G_Pac abso Gaz</t>
  </si>
  <si>
    <t>G_Autre</t>
  </si>
  <si>
    <t>E_Plancher chauffant</t>
  </si>
  <si>
    <t>E_Radiateurs basse température</t>
  </si>
  <si>
    <t>E_Radiateur haute température </t>
  </si>
  <si>
    <t>Solaire Photovoltaique </t>
  </si>
  <si>
    <t>référence</t>
  </si>
  <si>
    <t>valeur</t>
  </si>
  <si>
    <t>intitulé</t>
  </si>
  <si>
    <t>source</t>
  </si>
  <si>
    <t>commentaire</t>
  </si>
  <si>
    <t>BAT_GE_ELEC</t>
  </si>
  <si>
    <t>0,59</t>
  </si>
  <si>
    <t>gain en énergie primaire sur les logements existants</t>
  </si>
  <si>
    <t>expertise GRDF, données constructeurs, études ADEME</t>
  </si>
  <si>
    <t>Nous supposons que toute chaudière gaz installée depuis 2012 est une chaudière à condensation</t>
  </si>
  <si>
    <t>BAT_GE_FIOUL</t>
  </si>
  <si>
    <t>0,3</t>
  </si>
  <si>
    <t>BAT_GE_GAZ</t>
  </si>
  <si>
    <t>0,25</t>
  </si>
  <si>
    <t>BAT_GE_PROP</t>
  </si>
  <si>
    <t>BAT_GN_MI</t>
  </si>
  <si>
    <t>0,07</t>
  </si>
  <si>
    <t>gain moyen sur les maisons individuelles neuves</t>
  </si>
  <si>
    <t>Chiffres experts GRDF (DEV)</t>
  </si>
  <si>
    <t>Gain moyen par rapport à RT 2012</t>
  </si>
  <si>
    <t>BAT_GN_IC</t>
  </si>
  <si>
    <t>0,06</t>
  </si>
  <si>
    <t>gain en énergie primaire sur les logements collectives neufs</t>
  </si>
  <si>
    <t>BAT_FE_CO2_ELEC</t>
  </si>
  <si>
    <t>0,132</t>
  </si>
  <si>
    <t>facteur d'émission de gaz à effet de serre (TeqCO2)</t>
  </si>
  <si>
    <t>chiffres fournis par la base carbone de l'ADEME exprimés en MWh PCI</t>
  </si>
  <si>
    <t>unité : TeqCO2 / MWh PCI</t>
  </si>
  <si>
    <t>BAT_FE_CO2_FIOUL</t>
  </si>
  <si>
    <t>0,324</t>
  </si>
  <si>
    <t>BAT_FE_CO2_GAZ</t>
  </si>
  <si>
    <t>0,227</t>
  </si>
  <si>
    <t>BAT_FE_CO2_PROP</t>
  </si>
  <si>
    <t>0,272</t>
  </si>
  <si>
    <t>BAT_COEF_PCS_ELEC</t>
  </si>
  <si>
    <t>1</t>
  </si>
  <si>
    <t>Rapport PCS /PCI</t>
  </si>
  <si>
    <t>www.thermexcel.com</t>
  </si>
  <si>
    <t>permet d'avoir un facteur d'émission en MWh PCS = "MWh PCI" / "Rapport PCS / PCI"</t>
  </si>
  <si>
    <t>BAT_COEF_PCS_FIOUL</t>
  </si>
  <si>
    <t>1,075</t>
  </si>
  <si>
    <t>BAT_COEF_PCS_GAZ</t>
  </si>
  <si>
    <t>1,111</t>
  </si>
  <si>
    <t>BAT_COEF_PCS_PROP</t>
  </si>
  <si>
    <t>1,087</t>
  </si>
  <si>
    <t>BAT_FE_SO2_FIOUL</t>
  </si>
  <si>
    <t>facteur d'émission SO2</t>
  </si>
  <si>
    <t>Ominea - Citepa</t>
  </si>
  <si>
    <t>polluant atmosphérique. Unité : Kg SO2 / MWhpcs 46,9 g/GJ</t>
  </si>
  <si>
    <t>BAT_FE_SO2_GAZ</t>
  </si>
  <si>
    <t>polluant atmosphérique. Unité : Kg SO2 / MWhpcs 0,5 g/GJ</t>
  </si>
  <si>
    <t>BAT_FE_NOX_FIOUL</t>
  </si>
  <si>
    <t>0,248</t>
  </si>
  <si>
    <t>facteur d'émission Nox</t>
  </si>
  <si>
    <t>polluant atmosphérique. Unité : Kg NOx / MWhpcs 69,0 g/GJ</t>
  </si>
  <si>
    <t>BAT_FE_NOX_GAZ</t>
  </si>
  <si>
    <t>0,102</t>
  </si>
  <si>
    <t>polluant atmosphérique. Unité : Kg NOx / MWhpcs 28,2 g/GJ</t>
  </si>
  <si>
    <t>PRIX_ELEC_RESID</t>
  </si>
  <si>
    <t>178,8</t>
  </si>
  <si>
    <t xml:space="preserve">Prix complet de 100 kWh d'électricité au tarif réglementé </t>
  </si>
  <si>
    <t>Comparateur de prix des énergies GRDF : https://www.grdf.fr/particuliers/evolution-prix-energies et base SDES BSOCOM</t>
  </si>
  <si>
    <t>prix de juin 2021, en â‚¬ TTC / MWh. Prix complet moyen de 100 kWh pour un ménage consommant entre 5 et 15 MWh par an</t>
  </si>
  <si>
    <t>PRIX_FIOUL_RESID</t>
  </si>
  <si>
    <t>88,1</t>
  </si>
  <si>
    <t>Prix moyen de 100 kWh PCI de FOD</t>
  </si>
  <si>
    <t>Comparateur de prix des énergies GRDF et Base SDES : http://developpement-durable.bsocom.fr/statistiques/ReportFolders/reportFolders.aspx</t>
  </si>
  <si>
    <t>prix de juin 2021, en â‚¬ TTC / MWh PCI.  Prix moyen de 100 kWh PCI de FOD au tarif C1 (pour une livraison de 2000 à 5000 litres)</t>
  </si>
  <si>
    <t>PRIX_GAZ_RESID</t>
  </si>
  <si>
    <t>67,8</t>
  </si>
  <si>
    <t>Prix complet de 100 kWh PCI de gaz naturel</t>
  </si>
  <si>
    <t>prix de juin 2021, en â‚¬ TTC / MWh PCI. Prix complet moyen de 100 kWh PCI pour un ménage consommant entre 5 et 50 MWh PCI par an.</t>
  </si>
  <si>
    <t>PRIX_PROP_RESID</t>
  </si>
  <si>
    <t>141,6</t>
  </si>
  <si>
    <t>Prix moyen de 100 kWh PCI de propane</t>
  </si>
  <si>
    <t>prix de juin 2021, en â‚¬ TTC / MWh PCI. Prix moyen de 100 kWh PCI de propane (hors mise à disposition et entretien de la citerne et du compteur)</t>
  </si>
  <si>
    <t>PRIX_ELEC_TERTI</t>
  </si>
  <si>
    <t>143,8</t>
  </si>
  <si>
    <t>Prix moyen hors TVA pour de l'électricité tertiaire</t>
  </si>
  <si>
    <t>Base SDES : http://developpement-durable.bsocom.fr/statistiques/ReportFolders/reportFolders.aspx</t>
  </si>
  <si>
    <t>prix de juin 2021 en â‚¬ / MWh pour une conso bureau de 300 MWh (tranche IB)</t>
  </si>
  <si>
    <t>PRIX_FIOUL_TERTI</t>
  </si>
  <si>
    <t>52</t>
  </si>
  <si>
    <t>Prix moyen hors TVA pour du fioul tertiaire</t>
  </si>
  <si>
    <t>prix de juin 2021 en â‚¬ / MWh pour une conso bureau de 300 MWh ou 30000 l</t>
  </si>
  <si>
    <t>PRIX_GAZ_TERTI</t>
  </si>
  <si>
    <t>42</t>
  </si>
  <si>
    <t>Prix moyen hors TVA pour du gaz tertiaire</t>
  </si>
  <si>
    <t>prix de juin 2021 en â‚¬ / MWh pour une conso bureau de 300 MWh (tranche I2)</t>
  </si>
  <si>
    <t>PRIX_PROP_TERTI</t>
  </si>
  <si>
    <t>124,47</t>
  </si>
  <si>
    <t>Prix moyen hors TVA pour du propane / butane tertiaire</t>
  </si>
  <si>
    <t xml:space="preserve">http://developpement-durable.bsocom.fr/Statistiques/TableViewer/tableView.aspx </t>
  </si>
  <si>
    <t/>
  </si>
  <si>
    <t>GNV_DUREE_UTIL_VL</t>
  </si>
  <si>
    <t>5</t>
  </si>
  <si>
    <t>durée d'utilisation d'un véhicule léger</t>
  </si>
  <si>
    <t>années</t>
  </si>
  <si>
    <t>GNV_DUREE_UTIL_VU</t>
  </si>
  <si>
    <t>10</t>
  </si>
  <si>
    <t>durée d'utilisation d'un véhicule utilitaire</t>
  </si>
  <si>
    <t>GNV_DUREE_UTIL_PL</t>
  </si>
  <si>
    <t>durée d'utilisation d'un poids lourd</t>
  </si>
  <si>
    <t>GNV_DUREE_UTIL_BOM</t>
  </si>
  <si>
    <t>15</t>
  </si>
  <si>
    <t>durée d'utilisation d'une BOM</t>
  </si>
  <si>
    <t>GNV_DUREE_UTIL_BUS</t>
  </si>
  <si>
    <t>durée d'utilisation d'un bus</t>
  </si>
  <si>
    <t>GNV_DUREE_UTIL_CAR</t>
  </si>
  <si>
    <t>durée d'utilisation d'un car</t>
  </si>
  <si>
    <t>GNV_COEF_DIST_VL</t>
  </si>
  <si>
    <t>Coefficient en distance parcourue équivalent Litre diesel/kg gaz</t>
  </si>
  <si>
    <t>L_diesel/kg gaz</t>
  </si>
  <si>
    <t>GNV_COEF_DIST_VU</t>
  </si>
  <si>
    <t>GNV_COEF_DIST_PL</t>
  </si>
  <si>
    <t>0,9</t>
  </si>
  <si>
    <t>GNV_COEF_DIST_BOM</t>
  </si>
  <si>
    <t>1,15</t>
  </si>
  <si>
    <t>GNV_COEF_DIST_BUS</t>
  </si>
  <si>
    <t>GNV_COEF_DIST_CAR</t>
  </si>
  <si>
    <t>CONSO_EURO1_VL</t>
  </si>
  <si>
    <t>6,5</t>
  </si>
  <si>
    <t>Consommation des véhicules Diesel en L/100km pour la norme EURO I</t>
  </si>
  <si>
    <t>Equipes GNV</t>
  </si>
  <si>
    <t>L/100km</t>
  </si>
  <si>
    <t>CONSO_EURO1_VU</t>
  </si>
  <si>
    <t>9,6</t>
  </si>
  <si>
    <t>CONSO_EURO1_PL</t>
  </si>
  <si>
    <t>51,6</t>
  </si>
  <si>
    <t>CONSO_EURO1_BOM</t>
  </si>
  <si>
    <t>107,3</t>
  </si>
  <si>
    <t>CONSO_EURO1_BUS</t>
  </si>
  <si>
    <t>59,7</t>
  </si>
  <si>
    <t>CONSO_EURO1_CAR</t>
  </si>
  <si>
    <t>CONSO_EURO2_VL</t>
  </si>
  <si>
    <t>5,9</t>
  </si>
  <si>
    <t>Consommation des véhicules Diesel en L/100km pour la norme EURO II</t>
  </si>
  <si>
    <t>CONSO_EURO2_VU</t>
  </si>
  <si>
    <t>8,7</t>
  </si>
  <si>
    <t>CONSO_EURO2_PL</t>
  </si>
  <si>
    <t>46,8</t>
  </si>
  <si>
    <t>CONSO_EURO2_BOM</t>
  </si>
  <si>
    <t>97,4</t>
  </si>
  <si>
    <t>CONSO_EURO2_BUS</t>
  </si>
  <si>
    <t>58,8</t>
  </si>
  <si>
    <t>CONSO_EURO2_CAR</t>
  </si>
  <si>
    <t>CONSO_EURO3_VL</t>
  </si>
  <si>
    <t>5,2</t>
  </si>
  <si>
    <t>Consommation des véhicules Diesel en L/100km pour la norme EURO III</t>
  </si>
  <si>
    <t>CONSO_EURO3_VU</t>
  </si>
  <si>
    <t>7,8</t>
  </si>
  <si>
    <t>CONSO_EURO3_PL</t>
  </si>
  <si>
    <t>41,7</t>
  </si>
  <si>
    <t>CONSO_EURO3_BOM</t>
  </si>
  <si>
    <t>86,7</t>
  </si>
  <si>
    <t>CONSO_EURO3_BUS</t>
  </si>
  <si>
    <t>59,5</t>
  </si>
  <si>
    <t>CONSO_EURO3_CAR</t>
  </si>
  <si>
    <t>CONSO_EURO4_VL</t>
  </si>
  <si>
    <t>Consommation des véhicules Diesel en L/100km pour la norme EURO IV</t>
  </si>
  <si>
    <t>CONSO_EURO4_VU</t>
  </si>
  <si>
    <t>7,5</t>
  </si>
  <si>
    <t>CONSO_EURO4_PL</t>
  </si>
  <si>
    <t>40,1</t>
  </si>
  <si>
    <t>CONSO_EURO4_BOM</t>
  </si>
  <si>
    <t>83,4</t>
  </si>
  <si>
    <t>CONSO_EURO4_BUS</t>
  </si>
  <si>
    <t>56,5</t>
  </si>
  <si>
    <t>CONSO_EURO4_CAR</t>
  </si>
  <si>
    <t>CONSO_EURO5_VL</t>
  </si>
  <si>
    <t>4,4</t>
  </si>
  <si>
    <t>Consommation des véhicules Diesel en L/100km pour la norme EURO V</t>
  </si>
  <si>
    <t>CONSO_EURO5_VU</t>
  </si>
  <si>
    <t>CONSO_EURO5_PL</t>
  </si>
  <si>
    <t>35</t>
  </si>
  <si>
    <t>CONSO_EURO5_BOM</t>
  </si>
  <si>
    <t>72,7</t>
  </si>
  <si>
    <t>CONSO_EURO5_BUS</t>
  </si>
  <si>
    <t>56,1</t>
  </si>
  <si>
    <t>CONSO_EURO5_CAR</t>
  </si>
  <si>
    <t>CONSO_EURO6_VL</t>
  </si>
  <si>
    <t>4,2</t>
  </si>
  <si>
    <t>Consommation des véhicules Diesel en L/100km pour la norme EURO VI</t>
  </si>
  <si>
    <t>CONSO_EURO6_VU</t>
  </si>
  <si>
    <t>5,3</t>
  </si>
  <si>
    <t>CONSO_EURO6_PL</t>
  </si>
  <si>
    <t>30,5</t>
  </si>
  <si>
    <t>CONSO_EURO6_BOM</t>
  </si>
  <si>
    <t>57,2</t>
  </si>
  <si>
    <t>CONSO_EURO6_BUS</t>
  </si>
  <si>
    <t>41,3</t>
  </si>
  <si>
    <t>CONSO_EURO6_CAR</t>
  </si>
  <si>
    <t>GNV_CONT_NRJ_DIESEL</t>
  </si>
  <si>
    <t>9,9</t>
  </si>
  <si>
    <t>Contenu énergétique pour le diesel</t>
  </si>
  <si>
    <t>kWh PCI/litre</t>
  </si>
  <si>
    <t>GNV_CONT_NRJ_GAZ</t>
  </si>
  <si>
    <t>10,4</t>
  </si>
  <si>
    <t>Contenu énergétique pour le gaz naturel</t>
  </si>
  <si>
    <t>kWh PCI / Nm3</t>
  </si>
  <si>
    <t>GNV_MASSE_VOL_DIESEL</t>
  </si>
  <si>
    <t>850</t>
  </si>
  <si>
    <t>masse volumique du diesel</t>
  </si>
  <si>
    <t>kg/m3</t>
  </si>
  <si>
    <t>GNV_MASSE_VOL_GAZ</t>
  </si>
  <si>
    <t>0,75</t>
  </si>
  <si>
    <t>masse volumique du gaz naturel</t>
  </si>
  <si>
    <t>kg/Nm3</t>
  </si>
  <si>
    <t>GNV_FE_CO2_DIESEL</t>
  </si>
  <si>
    <t>0,323</t>
  </si>
  <si>
    <t>facteur d'émission de CO2 du diesel</t>
  </si>
  <si>
    <t>TeqCO2/MWh</t>
  </si>
  <si>
    <t>GNV_FE_CO2_GAZ</t>
  </si>
  <si>
    <t>0,246</t>
  </si>
  <si>
    <t>facteur d'émission de CO2 du gaz naturel</t>
  </si>
  <si>
    <t>GNV_DIST_MOY_VL</t>
  </si>
  <si>
    <t>15000</t>
  </si>
  <si>
    <t>distance moyenne parcourue pour un véhicule léger donné par an</t>
  </si>
  <si>
    <t>km/an</t>
  </si>
  <si>
    <t>GNV_DIST_MOY_VU</t>
  </si>
  <si>
    <t>20000</t>
  </si>
  <si>
    <t>distance moyenne parcourue pour un véhicule utilitaire donné par an</t>
  </si>
  <si>
    <t>GNV_DIST_MOY_PL</t>
  </si>
  <si>
    <t>42000</t>
  </si>
  <si>
    <t>distance moyenne parcourue pour un poid lourd donné par an</t>
  </si>
  <si>
    <t>GNV_DIST_MOY_BOM</t>
  </si>
  <si>
    <t>18500</t>
  </si>
  <si>
    <t>distance moyenne parcourue pour un BOM donné par an</t>
  </si>
  <si>
    <t>GNV_DIST_MOY_BUS</t>
  </si>
  <si>
    <t>41000</t>
  </si>
  <si>
    <t>distance moyenne parcourue pour un bus donné par an</t>
  </si>
  <si>
    <t>GNV_DIST_MOY_CAR</t>
  </si>
  <si>
    <t>distance moyenne parcourue pour un car donné par an</t>
  </si>
  <si>
    <t>GNV_REND_MOT_DIESEL</t>
  </si>
  <si>
    <t>0,4</t>
  </si>
  <si>
    <t>rendement moteur d'un véhicule diesel</t>
  </si>
  <si>
    <t>GNV_REND_MOT_GNV</t>
  </si>
  <si>
    <t>rendement moteur d'un véhicule gnv</t>
  </si>
  <si>
    <t>GNV_STATION_DEBIT_JOUR_NM3</t>
  </si>
  <si>
    <t>7500</t>
  </si>
  <si>
    <t>débit journalier pour une station GNV (source équipes GNV, pour environ 15 poids lourds)</t>
  </si>
  <si>
    <t>FE_NOx_DIESEL_EURO1_VL</t>
  </si>
  <si>
    <t>3,42</t>
  </si>
  <si>
    <t>facteur d'émission NOx d'un véhicule léger diesel pour la norme euro I</t>
  </si>
  <si>
    <t>kg/MWh</t>
  </si>
  <si>
    <t>FE_NOx_DIESEL_EURO1_VU</t>
  </si>
  <si>
    <t>1,829</t>
  </si>
  <si>
    <t>facteur d'émission NOx d'un véhicule utilitaire diesel pour la norme euro I</t>
  </si>
  <si>
    <t>FE_NOx_DIESEL_EURO1_PL</t>
  </si>
  <si>
    <t>8</t>
  </si>
  <si>
    <t>facteur d'émission NOx d'un poids lourd diesel pour la norme euro I</t>
  </si>
  <si>
    <t>FE_NOx_DIESEL_EURO1_BOM</t>
  </si>
  <si>
    <t>facteur d'émission NOx d'un BOM diesel pour la norme euro I</t>
  </si>
  <si>
    <t>FE_NOx_DIESEL_EURO1_BUS</t>
  </si>
  <si>
    <t>facteur d'émission NOx d'un bus diesel pour la norme euro I</t>
  </si>
  <si>
    <t>FE_NOx_DIESEL_EURO1_CAR</t>
  </si>
  <si>
    <t>facteur d'émission NOx d'un car diesel pour la norme euro I</t>
  </si>
  <si>
    <t>FE_NOx_DIESEL_EURO2_VL</t>
  </si>
  <si>
    <t>2,696</t>
  </si>
  <si>
    <t>facteur d'émission NOx d'un véhicule léger diesel pour la norme euro II</t>
  </si>
  <si>
    <t>FE_NOx_DIESEL_EURO2_VU</t>
  </si>
  <si>
    <t>1,66</t>
  </si>
  <si>
    <t>facteur d'émission NOx d'un véhicule utilitaire diesel pour la norme euro II</t>
  </si>
  <si>
    <t>FE_NOx_DIESEL_EURO2_PL</t>
  </si>
  <si>
    <t>6,61</t>
  </si>
  <si>
    <t>facteur d'émission NOx d'un poids lourd diesel pour la norme euro II</t>
  </si>
  <si>
    <t>FE_NOx_DIESEL_EURO2_BOM</t>
  </si>
  <si>
    <t>facteur d'émission NOx d'un BOM diesel pour la norme euro II</t>
  </si>
  <si>
    <t>FE_NOx_DIESEL_EURO2_BUS</t>
  </si>
  <si>
    <t>facteur d'émission NOx d'un bus diesel pour la norme euro II</t>
  </si>
  <si>
    <t>FE_NOx_DIESEL_EURO2_CAR</t>
  </si>
  <si>
    <t>facteur d'émission NOx d'un car diesel pour la norme euro II</t>
  </si>
  <si>
    <t>FE_NOx_DIESEL_EURO3_VL</t>
  </si>
  <si>
    <t>2,428</t>
  </si>
  <si>
    <t>facteur d'émission NOx d'un véhicule léger diesel pour la norme euro III</t>
  </si>
  <si>
    <t>FE_NOx_DIESEL_EURO3_VU</t>
  </si>
  <si>
    <t>1,629</t>
  </si>
  <si>
    <t>facteur d'émission NOx d'un véhicule utilitaire diesel pour la norme euro III</t>
  </si>
  <si>
    <t>FE_NOx_DIESEL_EURO3_PL</t>
  </si>
  <si>
    <t>4,87</t>
  </si>
  <si>
    <t>facteur d'émission NOx d'un poids lourd diesel pour la norme euro III</t>
  </si>
  <si>
    <t>FE_NOx_DIESEL_EURO3_BOM</t>
  </si>
  <si>
    <t>facteur d'émission NOx d'un BOM diesel pour la norme euro III</t>
  </si>
  <si>
    <t>FE_NOx_DIESEL_EURO3_BUS</t>
  </si>
  <si>
    <t>facteur d'émission NOx d'un bus diesel pour la norme euro III</t>
  </si>
  <si>
    <t>FE_NOx_DIESEL_EURO3_CAR</t>
  </si>
  <si>
    <t>facteur d'émission NOx d'un car diesel pour la norme euro III</t>
  </si>
  <si>
    <t>FE_NOx_DIESEL_EURO4_VL</t>
  </si>
  <si>
    <t>1,263</t>
  </si>
  <si>
    <t>facteur d'émission NOx d'un véhicule léger diesel pour la norme euro IV</t>
  </si>
  <si>
    <t>FE_NOx_DIESEL_EURO4_VU</t>
  </si>
  <si>
    <t>0,847</t>
  </si>
  <si>
    <t>facteur d'émission NOx d'un véhicule utilitaire diesel pour la norme euro IV</t>
  </si>
  <si>
    <t>FE_NOx_DIESEL_EURO4_PL</t>
  </si>
  <si>
    <t>2,67</t>
  </si>
  <si>
    <t>facteur d'émission NOx d'un poids lourd diesel pour la norme euro IV</t>
  </si>
  <si>
    <t>FE_NOx_DIESEL_EURO4_BOM</t>
  </si>
  <si>
    <t>facteur d'émission NOx d'un BOM diesel pour la norme euro IV</t>
  </si>
  <si>
    <t>FE_NOx_DIESEL_EURO4_BUS</t>
  </si>
  <si>
    <t>facteur d'émission NOx d'un bus diesel pour la norme euro IV</t>
  </si>
  <si>
    <t>FE_NOx_DIESEL_EURO4_CAR</t>
  </si>
  <si>
    <t>facteur d'émission NOx d'un car diesel pour la norme euro IV</t>
  </si>
  <si>
    <t>FE_NOx_DIESEL_EURO5_VL</t>
  </si>
  <si>
    <t>1,033</t>
  </si>
  <si>
    <t>facteur d'émission NOx d'un véhicule léger diesel pour la norme euro V</t>
  </si>
  <si>
    <t>FE_NOx_DIESEL_EURO5_VU</t>
  </si>
  <si>
    <t>0,699</t>
  </si>
  <si>
    <t>facteur d'émission NOx d'un véhicule utilitaire diesel pour la norme euro V</t>
  </si>
  <si>
    <t>FE_NOx_DIESEL_EURO5_PL</t>
  </si>
  <si>
    <t>1,53</t>
  </si>
  <si>
    <t>facteur d'émission NOx d'un poids lourd diesel pour la norme euro V</t>
  </si>
  <si>
    <t>FE_NOx_DIESEL_EURO5_BOM</t>
  </si>
  <si>
    <t>facteur d'émission NOx d'un BOM diesel pour la norme euro V</t>
  </si>
  <si>
    <t>FE_NOx_DIESEL_EURO5_BUS</t>
  </si>
  <si>
    <t>facteur d'émission NOx d'un bus diesel pour la norme euro V</t>
  </si>
  <si>
    <t>FE_NOx_DIESEL_EURO5_CAR</t>
  </si>
  <si>
    <t>facteur d'émission NOx d'un car diesel pour la norme euro V</t>
  </si>
  <si>
    <t>FE_NOx_DIESEL_EURO6_VL</t>
  </si>
  <si>
    <t>0,481</t>
  </si>
  <si>
    <t>facteur d'émission NOx d'un véhicule léger diesel pour la norme euro VI</t>
  </si>
  <si>
    <t>FE_NOx_DIESEL_EURO6_VU</t>
  </si>
  <si>
    <t>0,381</t>
  </si>
  <si>
    <t>facteur d'émission NOx d'un véhicule utilitaire diesel pour la norme euro VI</t>
  </si>
  <si>
    <t>FE_NOx_DIESEL_EURO6_PL</t>
  </si>
  <si>
    <t>0,295</t>
  </si>
  <si>
    <t>facteur d'émission NOx d'un poids lourd diesel pour la norme euro VI</t>
  </si>
  <si>
    <t>FE_NOx_DIESEL_EURO6_BOM</t>
  </si>
  <si>
    <t>facteur d'émission NOx d'un BOM diesel pour la norme euro VI</t>
  </si>
  <si>
    <t>FE_NOx_DIESEL_EURO6_BUS</t>
  </si>
  <si>
    <t>facteur d'émission NOx d'un bus diesel pour la norme euro VI</t>
  </si>
  <si>
    <t>FE_NOx_DIESEL_EURO6_CAR</t>
  </si>
  <si>
    <t>facteur d'émission NOx d'un car diesel pour la norme euro VI</t>
  </si>
  <si>
    <t>FE_NOx_GNV_EURO1_VL</t>
  </si>
  <si>
    <t>0,83</t>
  </si>
  <si>
    <t>facteur d'émission NOx d'un véhicule léger gnv pour la norme euro I</t>
  </si>
  <si>
    <t>FE_NOx_GNV_EURO1_VU</t>
  </si>
  <si>
    <t>0,334</t>
  </si>
  <si>
    <t>facteur d'émission NOx d'un véhicule utilitaire gnv pour la norme euro I</t>
  </si>
  <si>
    <t>FE_NOx_GNV_EURO1_PL</t>
  </si>
  <si>
    <t>5,51</t>
  </si>
  <si>
    <t>facteur d'émission NOx d'un poids lourd gnv pour la norme euro I</t>
  </si>
  <si>
    <t>FE_NOx_GNV_EURO1_BOM</t>
  </si>
  <si>
    <t>facteur d'émission NOx d'un BOM gnv pour la norme euro I</t>
  </si>
  <si>
    <t>FE_NOx_GNV_EURO1_BUS</t>
  </si>
  <si>
    <t>facteur d'émission NOx d'un bus gnv pour la norme euro I</t>
  </si>
  <si>
    <t>FE_NOx_GNV_EURO1_CAR</t>
  </si>
  <si>
    <t>facteur d'émission NOx d'un car gnv pour la norme euro I</t>
  </si>
  <si>
    <t>FE_NOx_GNV_EURO2_VL</t>
  </si>
  <si>
    <t>facteur d'émission NOx d'un véhicule léger gnv pour la norme euro II</t>
  </si>
  <si>
    <t>FE_NOx_GNV_EURO2_VU</t>
  </si>
  <si>
    <t>facteur d'émission NOx d'un véhicule utilitaire gnv pour la norme euro II</t>
  </si>
  <si>
    <t>FE_NOx_GNV_EURO2_PL</t>
  </si>
  <si>
    <t>4,55</t>
  </si>
  <si>
    <t>facteur d'émission NOx d'un poids lourd gnv pour la norme euro II</t>
  </si>
  <si>
    <t>FE_NOx_GNV_EURO2_BOM</t>
  </si>
  <si>
    <t>facteur d'émission NOx d'un BOM gnv pour la norme euro II</t>
  </si>
  <si>
    <t>FE_NOx_GNV_EURO2_BUS</t>
  </si>
  <si>
    <t>facteur d'émission NOx d'un bus gnv pour la norme euro II</t>
  </si>
  <si>
    <t>FE_NOx_GNV_EURO2_CAR</t>
  </si>
  <si>
    <t>facteur d'émission NOx d'un car gnv pour la norme euro II</t>
  </si>
  <si>
    <t>FE_NOx_GNV_EURO3_VL</t>
  </si>
  <si>
    <t>facteur d'émission NOx d'un véhicule léger gnv pour la norme euro III</t>
  </si>
  <si>
    <t>FE_NOx_GNV_EURO3_VU</t>
  </si>
  <si>
    <t>facteur d'émission NOx d'un véhicule utilitaire gnv pour la norme euro III</t>
  </si>
  <si>
    <t>FE_NOx_GNV_EURO3_PL</t>
  </si>
  <si>
    <t>1,12</t>
  </si>
  <si>
    <t>facteur d'émission NOx d'un poids lourd gnv pour la norme euro III</t>
  </si>
  <si>
    <t>FE_NOx_GNV_EURO3_BOM</t>
  </si>
  <si>
    <t>facteur d'émission NOx d'un BOM gnv pour la norme euro III</t>
  </si>
  <si>
    <t>FE_NOx_GNV_EURO3_BUS</t>
  </si>
  <si>
    <t>facteur d'émission NOx d'un bus gnv pour la norme euro III</t>
  </si>
  <si>
    <t>FE_NOx_GNV_EURO3_CAR</t>
  </si>
  <si>
    <t>facteur d'émission NOx d'un car gnv pour la norme euro III</t>
  </si>
  <si>
    <t>FE_NOx_GNV_EURO4_VL</t>
  </si>
  <si>
    <t>0,46</t>
  </si>
  <si>
    <t>facteur d'émission NOx d'un véhicule léger gnv pour la norme euro IV</t>
  </si>
  <si>
    <t>FE_NOx_GNV_EURO4_VU</t>
  </si>
  <si>
    <t>0,185</t>
  </si>
  <si>
    <t>facteur d'émission NOx d'un véhicule utilitaire gnv pour la norme euro IV</t>
  </si>
  <si>
    <t>FE_NOx_GNV_EURO4_PL</t>
  </si>
  <si>
    <t>0,43</t>
  </si>
  <si>
    <t>facteur d'émission NOx d'un poids lourd gnv pour la norme euro IV</t>
  </si>
  <si>
    <t>FE_NOx_GNV_EURO4_BOM</t>
  </si>
  <si>
    <t>facteur d'émission NOx d'un BOM gnv pour la norme euro IV</t>
  </si>
  <si>
    <t>FE_NOx_GNV_EURO4_BUS</t>
  </si>
  <si>
    <t>facteur d'émission NOx d'un bus gnv pour la norme euro IV</t>
  </si>
  <si>
    <t>FE_NOx_GNV_EURO4_CAR</t>
  </si>
  <si>
    <t>facteur d'émission NOx d'un car gnv pour la norme euro IV</t>
  </si>
  <si>
    <t>FE_NOx_GNV_EURO5_VL</t>
  </si>
  <si>
    <t>0,392</t>
  </si>
  <si>
    <t>facteur d'émission NOx d'un véhicule léger gnv pour la norme euro V</t>
  </si>
  <si>
    <t>FE_NOx_GNV_EURO5_VU</t>
  </si>
  <si>
    <t>0,159</t>
  </si>
  <si>
    <t>facteur d'émission NOx d'un véhicule utilitaire gnv pour la norme euro V</t>
  </si>
  <si>
    <t>FE_NOx_GNV_EURO5_PL</t>
  </si>
  <si>
    <t>0,23</t>
  </si>
  <si>
    <t>facteur d'émission NOx d'un poids lourd gnv pour la norme euro V</t>
  </si>
  <si>
    <t>FE_NOx_GNV_EURO5_BOM</t>
  </si>
  <si>
    <t>facteur d'émission NOx d'un BOM gnv pour la norme euro V</t>
  </si>
  <si>
    <t>FE_NOx_GNV_EURO5_BUS</t>
  </si>
  <si>
    <t>facteur d'émission NOx d'un bus gnv pour la norme euro V</t>
  </si>
  <si>
    <t>FE_NOx_GNV_EURO5_CAR</t>
  </si>
  <si>
    <t>facteur d'émission NOx d'un car gnv pour la norme euro V</t>
  </si>
  <si>
    <t>FE_NOx_GNV_EURO6_VL</t>
  </si>
  <si>
    <t>facteur d'émission NOx d'un véhicule léger gnv pour la norme euro VI</t>
  </si>
  <si>
    <t>FE_NOx_GNV_EURO6_VU</t>
  </si>
  <si>
    <t>facteur d'émission NOx d'un véhicule utilitaire gnv pour la norme euro VI</t>
  </si>
  <si>
    <t>FE_NOx_GNV_EURO6_PL</t>
  </si>
  <si>
    <t>0,21</t>
  </si>
  <si>
    <t>facteur d'émission NOx d'un poids lourd gnv pour la norme euro VI</t>
  </si>
  <si>
    <t>FE_NOx_GNV_EURO6_BOM</t>
  </si>
  <si>
    <t>facteur d'émission NOx d'un BOM gnv pour la norme euro VI</t>
  </si>
  <si>
    <t>FE_NOx_GNV_EURO6_BUS</t>
  </si>
  <si>
    <t>facteur d'émission NOx d'un bus gnv pour la norme euro VI</t>
  </si>
  <si>
    <t>FE_NOx_GNV_EURO6_CAR</t>
  </si>
  <si>
    <t>facteur d'émission NOx d'un car gnv pour la norme euro VI</t>
  </si>
  <si>
    <t>ENR_FE_CO2_AA</t>
  </si>
  <si>
    <t>0,18362</t>
  </si>
  <si>
    <t>facteur émission CO2 d'un MWh projet Agricole autonome</t>
  </si>
  <si>
    <t>Etude Quantis ENEA, 2017</t>
  </si>
  <si>
    <t>teqCO2 / MWh PCS</t>
  </si>
  <si>
    <t>ENR_FE_CO2_AT</t>
  </si>
  <si>
    <t>facteur émission CO2 d'un MWh projet Agricole territorial</t>
  </si>
  <si>
    <t>ENR_FE_CO2_DECHET</t>
  </si>
  <si>
    <t>facteur émission CO2 d'un MWh projet Déchets ménagers et biodéchets</t>
  </si>
  <si>
    <t>ENR_FE_CO2_INDUS</t>
  </si>
  <si>
    <t>facteur émission CO2 d'un MWh projet industriel territorial</t>
  </si>
  <si>
    <t>ENR_FE_CO2_ISDND</t>
  </si>
  <si>
    <t>facteur émission CO2 d'un MWh projet ISDND</t>
  </si>
  <si>
    <t>ENR_FE_CO2_STEP</t>
  </si>
  <si>
    <t>facteur émission CO2 d'un MWh projet station d'épuration</t>
  </si>
  <si>
    <t>EQ_LOG</t>
  </si>
  <si>
    <t>6</t>
  </si>
  <si>
    <t>consommation moyenne d'un logement neuf</t>
  </si>
  <si>
    <t>EQ_BUS</t>
  </si>
  <si>
    <t>256</t>
  </si>
  <si>
    <t>consommation d'un bus moyen par an en kg de CO2</t>
  </si>
  <si>
    <t>EQ_CO2</t>
  </si>
  <si>
    <t>11,2</t>
  </si>
  <si>
    <t>Emissions GES moyenne annuelle d'un franà§ais en teqCO2</t>
  </si>
  <si>
    <t>https://www.statistiques.developpement-durable.gouv.fr/sites/default/files/2020-01/datalab-essentiel-204-l-empreinte-carbone-des-francais-reste-%20stable-janvier2020.pdf</t>
  </si>
  <si>
    <t>BAT_GE_GAZ_COND</t>
  </si>
  <si>
    <t>gain en énergie primaire sur les logements existants GAZ, techno chaudière à condensation</t>
  </si>
  <si>
    <t>BAT_GE_GAZ_SOL</t>
  </si>
  <si>
    <t>0,35</t>
  </si>
  <si>
    <t>gain en énergie primaire sur les logements existants GAZ, techno chaudière à condensation + solaire</t>
  </si>
  <si>
    <t>BAT_GE_GAZ_HYB</t>
  </si>
  <si>
    <t>gain en énergie primaire sur les logements existants GAZ, techno chaudière hybride</t>
  </si>
  <si>
    <t>BAT_GE_GAZ_PAC</t>
  </si>
  <si>
    <t>gain en énergie primaire sur les logements existants GAZ, techno pompe à chaleur</t>
  </si>
  <si>
    <t>BAT_GE_FIOUL_COND</t>
  </si>
  <si>
    <t>gain en énergie primaire sur les logements existants FIOUL, techno chaudière à condensation</t>
  </si>
  <si>
    <t>BAT_GE_FIOUL_SOL</t>
  </si>
  <si>
    <t>gain en énergie primaire sur les logements existants FIOUL, techno chaudière à condensation + solaire</t>
  </si>
  <si>
    <t>BAT_GE_FIOUL_HYB</t>
  </si>
  <si>
    <t>gain en énergie primaire sur les logements existants FIOUL, techno chaudière hybride</t>
  </si>
  <si>
    <t>BAT_GE_FIOUL_PAC</t>
  </si>
  <si>
    <t>gain en énergie primaire sur les logements existants FIOUL, techno pompe à chaleur</t>
  </si>
  <si>
    <t>BAT_GE_ELEC_COND</t>
  </si>
  <si>
    <t>gain en énergie primaire sur les logements existants ELEC, techno chaudière à condensation</t>
  </si>
  <si>
    <t>BAT_GE_ELEC_SOL</t>
  </si>
  <si>
    <t>0,63</t>
  </si>
  <si>
    <t>gain en énergie primaire sur les logements existants ELEC, techno chaudière à condensation + solaire</t>
  </si>
  <si>
    <t>BAT_GE_ELEC_HYB</t>
  </si>
  <si>
    <t>0</t>
  </si>
  <si>
    <t>gain en énergie primaire sur les logements existants ELEC, techno chaudière hybride</t>
  </si>
  <si>
    <t>BAT_GE_ELEC_PAC</t>
  </si>
  <si>
    <t>gain en énergie primaire sur les logements existants ELEC, techno pompe à chaleur</t>
  </si>
  <si>
    <t>BAT_GE_BP_COND</t>
  </si>
  <si>
    <t>gain en énergie primaire sur les logements existants butane-propane, techno chaudière à condensation</t>
  </si>
  <si>
    <t>BAT_GE_BP_SOL</t>
  </si>
  <si>
    <t>gain en énergie primaire sur les logements existants butane-propane, techno chaudière à condensation + solaire</t>
  </si>
  <si>
    <t>BAT_GE_BP_HYB</t>
  </si>
  <si>
    <t>gain en énergie primaire sur les logements existants butane-propane, techno chaudière hybride</t>
  </si>
  <si>
    <t>BAT_GE_BP_PAC</t>
  </si>
  <si>
    <t>gain en énergie primaire sur les logements existants butane-propane, techno pompe à chaleur</t>
  </si>
  <si>
    <t>BAT_FE_CO2_MIX_BIO</t>
  </si>
  <si>
    <t>0,0234</t>
  </si>
  <si>
    <t>Facteur d'émission CO2 mix bio</t>
  </si>
  <si>
    <t>BAT_COEF_ELEC_EFINALE_EPRIMAIRE</t>
  </si>
  <si>
    <t>2,3</t>
  </si>
  <si>
    <t>coefficient de conversion Elec E. primaire vers E. finale</t>
  </si>
  <si>
    <t>TER_CU_GAZ_PRIV</t>
  </si>
  <si>
    <t>0,168167197</t>
  </si>
  <si>
    <t>consommation moyenne d'un site tertiaire privé au gaz</t>
  </si>
  <si>
    <t>TER_CU_GAZ_PUBL</t>
  </si>
  <si>
    <t>0,127193303</t>
  </si>
  <si>
    <t>consommation moyenne d'un site tertiaire publ au gaz</t>
  </si>
  <si>
    <t>TER_CU_FIOUL_PRIV</t>
  </si>
  <si>
    <t>0,185162018</t>
  </si>
  <si>
    <t>consommation moyenne d'un site tertiaire privé au fioul</t>
  </si>
  <si>
    <t>TER_CU_FIOUL_PUBL</t>
  </si>
  <si>
    <t>0,181564332</t>
  </si>
  <si>
    <t>consommation moyenne d'un site tertiaire public au fioul</t>
  </si>
  <si>
    <t>ENR_COEF_PCS_INJ</t>
  </si>
  <si>
    <t>10,9</t>
  </si>
  <si>
    <t>NB_H_INJ_ANNUEL</t>
  </si>
  <si>
    <t>8760</t>
  </si>
  <si>
    <t>CAPA_FRANCE_AA</t>
  </si>
  <si>
    <t>11,173</t>
  </si>
  <si>
    <t>CAPA_FRANCE_AT</t>
  </si>
  <si>
    <t>17,876</t>
  </si>
  <si>
    <t>CAPA_FRANCE_IT</t>
  </si>
  <si>
    <t>26,814</t>
  </si>
  <si>
    <t>CAPA_FRANCE_DECHET</t>
  </si>
  <si>
    <t>CAPA_FRANCE_ISDND</t>
  </si>
  <si>
    <t>22,345</t>
  </si>
  <si>
    <t>CAPA_FRANCE_STEP</t>
  </si>
  <si>
    <t>7,15</t>
  </si>
  <si>
    <t>INV_TOTAUX_AA_2019</t>
  </si>
  <si>
    <t>495</t>
  </si>
  <si>
    <t>Etude TETE ADEME</t>
  </si>
  <si>
    <t>INV_TOTAUX_AA_2020</t>
  </si>
  <si>
    <t>490</t>
  </si>
  <si>
    <t>INV_TOTAUX_AA_2021</t>
  </si>
  <si>
    <t>485</t>
  </si>
  <si>
    <t>INV_TOTAUX_AA_2022</t>
  </si>
  <si>
    <t>480</t>
  </si>
  <si>
    <t>INV_TOTAUX_AA_2023</t>
  </si>
  <si>
    <t>475</t>
  </si>
  <si>
    <t>INV_TOTAUX_AA_2024</t>
  </si>
  <si>
    <t>470</t>
  </si>
  <si>
    <t>INV_TOTAUX_AA_2025</t>
  </si>
  <si>
    <t>465</t>
  </si>
  <si>
    <t>INV_TOTAUX_AA_2026</t>
  </si>
  <si>
    <t>460</t>
  </si>
  <si>
    <t>INV_TOTAUX_AA_2027</t>
  </si>
  <si>
    <t>455</t>
  </si>
  <si>
    <t>INV_TOTAUX_AA_2028</t>
  </si>
  <si>
    <t>450</t>
  </si>
  <si>
    <t>INV_TOTAUX_AA_2029</t>
  </si>
  <si>
    <t>445</t>
  </si>
  <si>
    <t>INV_TOTAUX_AA_2030</t>
  </si>
  <si>
    <t>440</t>
  </si>
  <si>
    <t>INV_TOTAUX_AT_2019</t>
  </si>
  <si>
    <t>376,2</t>
  </si>
  <si>
    <t>INV_TOTAUX_AT_2020</t>
  </si>
  <si>
    <t>372,4</t>
  </si>
  <si>
    <t>INV_TOTAUX_AT_2021</t>
  </si>
  <si>
    <t>368,6</t>
  </si>
  <si>
    <t>INV_TOTAUX_AT_2022</t>
  </si>
  <si>
    <t>364,8</t>
  </si>
  <si>
    <t>INV_TOTAUX_AT_2023</t>
  </si>
  <si>
    <t>361</t>
  </si>
  <si>
    <t>INV_TOTAUX_AT_2024</t>
  </si>
  <si>
    <t>357,2</t>
  </si>
  <si>
    <t>INV_TOTAUX_AT_2025</t>
  </si>
  <si>
    <t>353,4</t>
  </si>
  <si>
    <t>INV_TOTAUX_AT_2026</t>
  </si>
  <si>
    <t>349,6</t>
  </si>
  <si>
    <t>INV_TOTAUX_AT_2027</t>
  </si>
  <si>
    <t>345,8</t>
  </si>
  <si>
    <t>INV_TOTAUX_AT_2028</t>
  </si>
  <si>
    <t>342</t>
  </si>
  <si>
    <t>INV_TOTAUX_AT_2029</t>
  </si>
  <si>
    <t>338,2</t>
  </si>
  <si>
    <t>INV_TOTAUX_AT_2030</t>
  </si>
  <si>
    <t>334,4</t>
  </si>
  <si>
    <t>INV_TOTAUX_IT_2019</t>
  </si>
  <si>
    <t>346,5</t>
  </si>
  <si>
    <t>INV_TOTAUX_IT_2020</t>
  </si>
  <si>
    <t>343</t>
  </si>
  <si>
    <t>INV_TOTAUX_IT_2021</t>
  </si>
  <si>
    <t>339,5</t>
  </si>
  <si>
    <t>INV_TOTAUX_IT_2022</t>
  </si>
  <si>
    <t>336</t>
  </si>
  <si>
    <t>INV_TOTAUX_IT_2023</t>
  </si>
  <si>
    <t>332,5</t>
  </si>
  <si>
    <t>INV_TOTAUX_IT_2024</t>
  </si>
  <si>
    <t>329</t>
  </si>
  <si>
    <t>INV_TOTAUX_IT_2025</t>
  </si>
  <si>
    <t>325,5</t>
  </si>
  <si>
    <t>INV_TOTAUX_IT_2026</t>
  </si>
  <si>
    <t>322</t>
  </si>
  <si>
    <t>INV_TOTAUX_IT_2027</t>
  </si>
  <si>
    <t>318,5</t>
  </si>
  <si>
    <t>INV_TOTAUX_IT_2028</t>
  </si>
  <si>
    <t>315</t>
  </si>
  <si>
    <t>INV_TOTAUX_IT_2029</t>
  </si>
  <si>
    <t>311,5</t>
  </si>
  <si>
    <t>INV_TOTAUX_IT_2030</t>
  </si>
  <si>
    <t>308</t>
  </si>
  <si>
    <t>INV_TOTAUX_BIOD_2019</t>
  </si>
  <si>
    <t>INV_TOTAUX_BIOD_2020</t>
  </si>
  <si>
    <t>INV_TOTAUX_BIOD_2021</t>
  </si>
  <si>
    <t>INV_TOTAUX_BIOD_2022</t>
  </si>
  <si>
    <t>INV_TOTAUX_BIOD_2023</t>
  </si>
  <si>
    <t>INV_TOTAUX_BIOD_2024</t>
  </si>
  <si>
    <t>INV_TOTAUX_BIOD_2025</t>
  </si>
  <si>
    <t>INV_TOTAUX_BIOD_2026</t>
  </si>
  <si>
    <t>INV_TOTAUX_BIOD_2027</t>
  </si>
  <si>
    <t>INV_TOTAUX_BIOD_2028</t>
  </si>
  <si>
    <t>INV_TOTAUX_BIOD_2029</t>
  </si>
  <si>
    <t>INV_TOTAUX_BIOD_2030</t>
  </si>
  <si>
    <t>INV_TOTAUX_ISDND_2019</t>
  </si>
  <si>
    <t>168,3</t>
  </si>
  <si>
    <t>INV_TOTAUX_ISDND_2020</t>
  </si>
  <si>
    <t>166,6</t>
  </si>
  <si>
    <t>INV_TOTAUX_ISDND_2021</t>
  </si>
  <si>
    <t>164,9</t>
  </si>
  <si>
    <t>INV_TOTAUX_ISDND_2022</t>
  </si>
  <si>
    <t>163,2</t>
  </si>
  <si>
    <t>INV_TOTAUX_ISDND_2023</t>
  </si>
  <si>
    <t>161,5</t>
  </si>
  <si>
    <t>INV_TOTAUX_ISDND_2024</t>
  </si>
  <si>
    <t>159,8</t>
  </si>
  <si>
    <t>INV_TOTAUX_ISDND_2025</t>
  </si>
  <si>
    <t>158,1</t>
  </si>
  <si>
    <t>INV_TOTAUX_ISDND_2026</t>
  </si>
  <si>
    <t>156,4</t>
  </si>
  <si>
    <t>INV_TOTAUX_ISDND_2027</t>
  </si>
  <si>
    <t>154,7</t>
  </si>
  <si>
    <t>INV_TOTAUX_ISDND_2028</t>
  </si>
  <si>
    <t>153</t>
  </si>
  <si>
    <t>INV_TOTAUX_ISDND_2029</t>
  </si>
  <si>
    <t>151,3</t>
  </si>
  <si>
    <t>INV_TOTAUX_ISDND_2030</t>
  </si>
  <si>
    <t>149,6</t>
  </si>
  <si>
    <t>INV_TOTAUX_STEP_2019</t>
  </si>
  <si>
    <t>891</t>
  </si>
  <si>
    <t>INV_TOTAUX_STEP_2020</t>
  </si>
  <si>
    <t>882</t>
  </si>
  <si>
    <t>INV_TOTAUX_STEP_2021</t>
  </si>
  <si>
    <t>873</t>
  </si>
  <si>
    <t>INV_TOTAUX_STEP_2022</t>
  </si>
  <si>
    <t>864</t>
  </si>
  <si>
    <t>INV_TOTAUX_STEP_2023</t>
  </si>
  <si>
    <t>855</t>
  </si>
  <si>
    <t>INV_TOTAUX_STEP_2024</t>
  </si>
  <si>
    <t>846</t>
  </si>
  <si>
    <t>INV_TOTAUX_STEP_2025</t>
  </si>
  <si>
    <t>837</t>
  </si>
  <si>
    <t>INV_TOTAUX_STEP_2026</t>
  </si>
  <si>
    <t>828</t>
  </si>
  <si>
    <t>INV_TOTAUX_STEP_2027</t>
  </si>
  <si>
    <t>819</t>
  </si>
  <si>
    <t>INV_TOTAUX_STEP_2028</t>
  </si>
  <si>
    <t>810</t>
  </si>
  <si>
    <t>INV_TOTAUX_STEP_2029</t>
  </si>
  <si>
    <t>801</t>
  </si>
  <si>
    <t>INV_TOTAUX_STEP_2030</t>
  </si>
  <si>
    <t>792</t>
  </si>
  <si>
    <t>INV_NATIONAL_AA_2019</t>
  </si>
  <si>
    <t>443,6097868</t>
  </si>
  <si>
    <t>INV_NATIONAL_AA_2020</t>
  </si>
  <si>
    <t>439,1288798</t>
  </si>
  <si>
    <t>INV_NATIONAL_AA_2021</t>
  </si>
  <si>
    <t>434,6479729</t>
  </si>
  <si>
    <t>INV_NATIONAL_AA_2022</t>
  </si>
  <si>
    <t>430,1670659</t>
  </si>
  <si>
    <t>INV_NATIONAL_AA_2023</t>
  </si>
  <si>
    <t>425,686159</t>
  </si>
  <si>
    <t>INV_NATIONAL_AA_2024</t>
  </si>
  <si>
    <t>421,2052521</t>
  </si>
  <si>
    <t>INV_NATIONAL_AA_2025</t>
  </si>
  <si>
    <t>416,7243451</t>
  </si>
  <si>
    <t>INV_NATIONAL_AA_2026</t>
  </si>
  <si>
    <t>412,2434382</t>
  </si>
  <si>
    <t>INV_NATIONAL_AA_2027</t>
  </si>
  <si>
    <t>407,7625313</t>
  </si>
  <si>
    <t>INV_NATIONAL_AA_2028</t>
  </si>
  <si>
    <t>403,2816243</t>
  </si>
  <si>
    <t>INV_NATIONAL_AA_2029</t>
  </si>
  <si>
    <t>398,8007174</t>
  </si>
  <si>
    <t>INV_NATIONAL_AA_2030</t>
  </si>
  <si>
    <t>394,3198104</t>
  </si>
  <si>
    <t>INV_NATIONAL_AT_2019</t>
  </si>
  <si>
    <t>331,595489</t>
  </si>
  <si>
    <t>INV_NATIONAL_AT_2020</t>
  </si>
  <si>
    <t>328,2460397</t>
  </si>
  <si>
    <t>INV_NATIONAL_AT_2021</t>
  </si>
  <si>
    <t>324,8965903</t>
  </si>
  <si>
    <t>INV_NATIONAL_AT_2022</t>
  </si>
  <si>
    <t>321,5471409</t>
  </si>
  <si>
    <t>INV_NATIONAL_AT_2023</t>
  </si>
  <si>
    <t>318,1976915</t>
  </si>
  <si>
    <t>INV_NATIONAL_AT_2024</t>
  </si>
  <si>
    <t>314,8482421</t>
  </si>
  <si>
    <t>INV_NATIONAL_AT_2025</t>
  </si>
  <si>
    <t>311,4987927</t>
  </si>
  <si>
    <t>INV_NATIONAL_AT_2026</t>
  </si>
  <si>
    <t>308,1493434</t>
  </si>
  <si>
    <t>INV_NATIONAL_AT_2027</t>
  </si>
  <si>
    <t>304,799894</t>
  </si>
  <si>
    <t>INV_NATIONAL_AT_2028</t>
  </si>
  <si>
    <t>301,4504446</t>
  </si>
  <si>
    <t>INV_NATIONAL_AT_2029</t>
  </si>
  <si>
    <t>298,1009952</t>
  </si>
  <si>
    <t>INV_NATIONAL_AT_2030</t>
  </si>
  <si>
    <t>294,7515458</t>
  </si>
  <si>
    <t>INV_NATIONAL_IT_2019</t>
  </si>
  <si>
    <t>304,269025</t>
  </si>
  <si>
    <t>INV_NATIONAL_IT_2020</t>
  </si>
  <si>
    <t>301,1956005</t>
  </si>
  <si>
    <t>INV_NATIONAL_IT_2021</t>
  </si>
  <si>
    <t>298,122176</t>
  </si>
  <si>
    <t>INV_NATIONAL_IT_2022</t>
  </si>
  <si>
    <t>295,0487515</t>
  </si>
  <si>
    <t>INV_NATIONAL_IT_2023</t>
  </si>
  <si>
    <t>291,975327</t>
  </si>
  <si>
    <t>INV_NATIONAL_IT_2024</t>
  </si>
  <si>
    <t>288,9019025</t>
  </si>
  <si>
    <t>INV_NATIONAL_IT_2025</t>
  </si>
  <si>
    <t>285,828478</t>
  </si>
  <si>
    <t>INV_NATIONAL_IT_2026</t>
  </si>
  <si>
    <t>282,7550535</t>
  </si>
  <si>
    <t>INV_NATIONAL_IT_2027</t>
  </si>
  <si>
    <t>279,681629</t>
  </si>
  <si>
    <t>INV_NATIONAL_IT_2028</t>
  </si>
  <si>
    <t>276,6082045</t>
  </si>
  <si>
    <t>INV_NATIONAL_IT_2029</t>
  </si>
  <si>
    <t>273,53478</t>
  </si>
  <si>
    <t>INV_NATIONAL_IT_2030</t>
  </si>
  <si>
    <t>270,4613555</t>
  </si>
  <si>
    <t>INV_NATIONAL_BIOD_2019</t>
  </si>
  <si>
    <t>331,2322594</t>
  </si>
  <si>
    <t>INV_NATIONAL_BIOD_2020</t>
  </si>
  <si>
    <t>327,886479</t>
  </si>
  <si>
    <t>INV_NATIONAL_BIOD_2021</t>
  </si>
  <si>
    <t>324,5406986</t>
  </si>
  <si>
    <t>INV_NATIONAL_BIOD_2022</t>
  </si>
  <si>
    <t>321,1949182</t>
  </si>
  <si>
    <t>INV_NATIONAL_BIOD_2023</t>
  </si>
  <si>
    <t>317,8491378</t>
  </si>
  <si>
    <t>INV_NATIONAL_BIOD_2024</t>
  </si>
  <si>
    <t>314,5033574</t>
  </si>
  <si>
    <t>INV_NATIONAL_BIOD_2025</t>
  </si>
  <si>
    <t>311,157577</t>
  </si>
  <si>
    <t>INV_NATIONAL_BIOD_2026</t>
  </si>
  <si>
    <t>307,8117966</t>
  </si>
  <si>
    <t>INV_NATIONAL_BIOD_2027</t>
  </si>
  <si>
    <t>304,4660162</t>
  </si>
  <si>
    <t>INV_NATIONAL_BIOD_2028</t>
  </si>
  <si>
    <t>301,1202358</t>
  </si>
  <si>
    <t>INV_NATIONAL_BIOD_2029</t>
  </si>
  <si>
    <t>297,7744554</t>
  </si>
  <si>
    <t>INV_NATIONAL_BIOD_2030</t>
  </si>
  <si>
    <t>294,428675</t>
  </si>
  <si>
    <t>INV_NATIONAL_ISDND_2019</t>
  </si>
  <si>
    <t>149,057767</t>
  </si>
  <si>
    <t>INV_NATIONAL_ISDND_2020</t>
  </si>
  <si>
    <t>147,552133</t>
  </si>
  <si>
    <t>INV_NATIONAL_ISDND_2021</t>
  </si>
  <si>
    <t>146,046499</t>
  </si>
  <si>
    <t>INV_NATIONAL_ISDND_2022</t>
  </si>
  <si>
    <t>144,540865</t>
  </si>
  <si>
    <t>INV_NATIONAL_ISDND_2023</t>
  </si>
  <si>
    <t>143,035231</t>
  </si>
  <si>
    <t>INV_NATIONAL_ISDND_2024</t>
  </si>
  <si>
    <t>141,529597</t>
  </si>
  <si>
    <t>INV_NATIONAL_ISDND_2025</t>
  </si>
  <si>
    <t>140,023963</t>
  </si>
  <si>
    <t>INV_NATIONAL_ISDND_2026</t>
  </si>
  <si>
    <t>138,5183289</t>
  </si>
  <si>
    <t>INV_NATIONAL_ISDND_2027</t>
  </si>
  <si>
    <t>137,0126949</t>
  </si>
  <si>
    <t>INV_NATIONAL_ISDND_2028</t>
  </si>
  <si>
    <t>135,5070609</t>
  </si>
  <si>
    <t>INV_NATIONAL_ISDND_2029</t>
  </si>
  <si>
    <t>134,0014269</t>
  </si>
  <si>
    <t>INV_NATIONAL_ISDND_2030</t>
  </si>
  <si>
    <t>132,4957929</t>
  </si>
  <si>
    <t>INV_NATIONAL_STEP_2019</t>
  </si>
  <si>
    <t>793,4008435</t>
  </si>
  <si>
    <t>INV_NATIONAL_STEP_2020</t>
  </si>
  <si>
    <t>785,3866936</t>
  </si>
  <si>
    <t>INV_NATIONAL_STEP_2021</t>
  </si>
  <si>
    <t>777,3725437</t>
  </si>
  <si>
    <t>INV_NATIONAL_STEP_2022</t>
  </si>
  <si>
    <t>769,3583937</t>
  </si>
  <si>
    <t>INV_NATIONAL_STEP_2023</t>
  </si>
  <si>
    <t>761,3442438</t>
  </si>
  <si>
    <t>INV_NATIONAL_STEP_2024</t>
  </si>
  <si>
    <t>753,3300939</t>
  </si>
  <si>
    <t>INV_NATIONAL_STEP_2025</t>
  </si>
  <si>
    <t>745,3159439</t>
  </si>
  <si>
    <t>INV_NATIONAL_STEP_2026</t>
  </si>
  <si>
    <t>737,301794</t>
  </si>
  <si>
    <t>INV_NATIONAL_STEP_2027</t>
  </si>
  <si>
    <t>729,2876441</t>
  </si>
  <si>
    <t>INV_NATIONAL_STEP_2028</t>
  </si>
  <si>
    <t>721,2734941</t>
  </si>
  <si>
    <t>INV_NATIONAL_STEP_2029</t>
  </si>
  <si>
    <t>713,2593442</t>
  </si>
  <si>
    <t>INV_NATIONAL_STEP_2030</t>
  </si>
  <si>
    <t>705,2451943</t>
  </si>
  <si>
    <t>ETP_OPEX_TOTAUX_AA_2019</t>
  </si>
  <si>
    <t>0,000493565</t>
  </si>
  <si>
    <t>ETP_OPEX_TOTAUX_AA_2020</t>
  </si>
  <si>
    <t>0,000487881</t>
  </si>
  <si>
    <t>ETP_OPEX_TOTAUX_AA_2021</t>
  </si>
  <si>
    <t>0,000482241</t>
  </si>
  <si>
    <t>ETP_OPEX_TOTAUX_AA_2022</t>
  </si>
  <si>
    <t>0,000476645</t>
  </si>
  <si>
    <t>ETP_OPEX_TOTAUX_AA_2023</t>
  </si>
  <si>
    <t>0,000471093</t>
  </si>
  <si>
    <t>ETP_OPEX_TOTAUX_AA_2024</t>
  </si>
  <si>
    <t>0,000465585</t>
  </si>
  <si>
    <t>ETP_OPEX_TOTAUX_AA_2025</t>
  </si>
  <si>
    <t>0,000460119</t>
  </si>
  <si>
    <t>ETP_OPEX_TOTAUX_AA_2026</t>
  </si>
  <si>
    <t>0,000454697</t>
  </si>
  <si>
    <t>ETP_OPEX_TOTAUX_AA_2027</t>
  </si>
  <si>
    <t>0,000449317</t>
  </si>
  <si>
    <t>ETP_OPEX_TOTAUX_AA_2028</t>
  </si>
  <si>
    <t>0,000443979</t>
  </si>
  <si>
    <t>ETP_OPEX_TOTAUX_AA_2029</t>
  </si>
  <si>
    <t>0,000438683</t>
  </si>
  <si>
    <t>ETP_OPEX_TOTAUX_AA_2030</t>
  </si>
  <si>
    <t>0,000433429</t>
  </si>
  <si>
    <t>ETP_OPEX_TOTAUX_AT_2019</t>
  </si>
  <si>
    <t>0,000781741</t>
  </si>
  <si>
    <t>ETP_OPEX_TOTAUX_AT_2020</t>
  </si>
  <si>
    <t>0,000774869</t>
  </si>
  <si>
    <t>ETP_OPEX_TOTAUX_AT_2021</t>
  </si>
  <si>
    <t>0,000768046</t>
  </si>
  <si>
    <t>ETP_OPEX_TOTAUX_AT_2022</t>
  </si>
  <si>
    <t>0,000761272</t>
  </si>
  <si>
    <t>ETP_OPEX_TOTAUX_AT_2023</t>
  </si>
  <si>
    <t>0,000754546</t>
  </si>
  <si>
    <t>ETP_OPEX_TOTAUX_AT_2024</t>
  </si>
  <si>
    <t>0,000747869</t>
  </si>
  <si>
    <t>ETP_OPEX_TOTAUX_AT_2025</t>
  </si>
  <si>
    <t>0,000741239</t>
  </si>
  <si>
    <t>ETP_OPEX_TOTAUX_AT_2026</t>
  </si>
  <si>
    <t>0,000734657</t>
  </si>
  <si>
    <t>ETP_OPEX_TOTAUX_AT_2027</t>
  </si>
  <si>
    <t>0,000728121</t>
  </si>
  <si>
    <t>ETP_OPEX_TOTAUX_AT_2028</t>
  </si>
  <si>
    <t>0,000721633</t>
  </si>
  <si>
    <t>ETP_OPEX_TOTAUX_AT_2029</t>
  </si>
  <si>
    <t>0,000715191</t>
  </si>
  <si>
    <t>ETP_OPEX_TOTAUX_AT_2030</t>
  </si>
  <si>
    <t>0,000708795</t>
  </si>
  <si>
    <t>ETP_OPEX_TOTAUX_IT_2019</t>
  </si>
  <si>
    <t>0,00072861</t>
  </si>
  <si>
    <t>ETP_OPEX_TOTAUX_IT_2020</t>
  </si>
  <si>
    <t>0,000722027</t>
  </si>
  <si>
    <t>ETP_OPEX_TOTAUX_IT_2021</t>
  </si>
  <si>
    <t>0,000715491</t>
  </si>
  <si>
    <t>ETP_OPEX_TOTAUX_IT_2022</t>
  </si>
  <si>
    <t>0,000709002</t>
  </si>
  <si>
    <t>ETP_OPEX_TOTAUX_IT_2023</t>
  </si>
  <si>
    <t>0,00070256</t>
  </si>
  <si>
    <t>ETP_OPEX_TOTAUX_IT_2024</t>
  </si>
  <si>
    <t>0,000696165</t>
  </si>
  <si>
    <t>ETP_OPEX_TOTAUX_IT_2025</t>
  </si>
  <si>
    <t>0,000689816</t>
  </si>
  <si>
    <t>ETP_OPEX_TOTAUX_IT_2026</t>
  </si>
  <si>
    <t>0,000683513</t>
  </si>
  <si>
    <t>ETP_OPEX_TOTAUX_IT_2027</t>
  </si>
  <si>
    <t>0,000677255</t>
  </si>
  <si>
    <t>ETP_OPEX_TOTAUX_IT_2028</t>
  </si>
  <si>
    <t>0,000671043</t>
  </si>
  <si>
    <t>ETP_OPEX_TOTAUX_IT_2029</t>
  </si>
  <si>
    <t>0,000664876</t>
  </si>
  <si>
    <t>ETP_OPEX_TOTAUX_IT_2030</t>
  </si>
  <si>
    <t>0,000658754</t>
  </si>
  <si>
    <t>ETP_OPEX_TOTAUX_BIOD_2019</t>
  </si>
  <si>
    <t>0,000398862</t>
  </si>
  <si>
    <t>ETP_OPEX_TOTAUX_BIOD_2020</t>
  </si>
  <si>
    <t>0,000393652</t>
  </si>
  <si>
    <t>ETP_OPEX_TOTAUX_BIOD_2021</t>
  </si>
  <si>
    <t>0,000388576</t>
  </si>
  <si>
    <t>ETP_OPEX_TOTAUX_BIOD_2022</t>
  </si>
  <si>
    <t>0,000383588</t>
  </si>
  <si>
    <t>ETP_OPEX_TOTAUX_BIOD_2023</t>
  </si>
  <si>
    <t>0,000378619</t>
  </si>
  <si>
    <t>ETP_OPEX_TOTAUX_BIOD_2024</t>
  </si>
  <si>
    <t>0,000373735</t>
  </si>
  <si>
    <t>ETP_OPEX_TOTAUX_BIOD_2025</t>
  </si>
  <si>
    <t>0,000368883</t>
  </si>
  <si>
    <t>ETP_OPEX_TOTAUX_BIOD_2026</t>
  </si>
  <si>
    <t>0,000364088</t>
  </si>
  <si>
    <t>ETP_OPEX_TOTAUX_BIOD_2027</t>
  </si>
  <si>
    <t>0,000359357</t>
  </si>
  <si>
    <t>ETP_OPEX_TOTAUX_BIOD_2028</t>
  </si>
  <si>
    <t>0,000354676</t>
  </si>
  <si>
    <t>ETP_OPEX_TOTAUX_BIOD_2029</t>
  </si>
  <si>
    <t>0,000350038</t>
  </si>
  <si>
    <t>ETP_OPEX_TOTAUX_BIOD_2030</t>
  </si>
  <si>
    <t>0,000345441</t>
  </si>
  <si>
    <t>ETP_OPEX_TOTAUX_ISDND_2019</t>
  </si>
  <si>
    <t>0,000177628</t>
  </si>
  <si>
    <t>ETP_OPEX_TOTAUX_ISDND_2020</t>
  </si>
  <si>
    <t>0,000175409</t>
  </si>
  <si>
    <t>ETP_OPEX_TOTAUX_ISDND_2021</t>
  </si>
  <si>
    <t>0,000173208</t>
  </si>
  <si>
    <t>ETP_OPEX_TOTAUX_ISDND_2022</t>
  </si>
  <si>
    <t>0,000171023</t>
  </si>
  <si>
    <t>ETP_OPEX_TOTAUX_ISDND_2023</t>
  </si>
  <si>
    <t>0,000168857</t>
  </si>
  <si>
    <t>ETP_OPEX_TOTAUX_ISDND_2024</t>
  </si>
  <si>
    <t>0,000166708</t>
  </si>
  <si>
    <t>ETP_OPEX_TOTAUX_ISDND_2025</t>
  </si>
  <si>
    <t>0,000164575</t>
  </si>
  <si>
    <t>ETP_OPEX_TOTAUX_ISDND_2026</t>
  </si>
  <si>
    <t>0,00016246</t>
  </si>
  <si>
    <t>ETP_OPEX_TOTAUX_ISDND_2027</t>
  </si>
  <si>
    <t>0,000160362</t>
  </si>
  <si>
    <t>ETP_OPEX_TOTAUX_ISDND_2028</t>
  </si>
  <si>
    <t>0,000158281</t>
  </si>
  <si>
    <t>ETP_OPEX_TOTAUX_ISDND_2029</t>
  </si>
  <si>
    <t>0,000156217</t>
  </si>
  <si>
    <t>ETP_OPEX_TOTAUX_ISDND_2030</t>
  </si>
  <si>
    <t>0,000154169</t>
  </si>
  <si>
    <t>ETP_OPEX_TOTAUX_STEP_2019</t>
  </si>
  <si>
    <t>0,000418558</t>
  </si>
  <si>
    <t>ETP_OPEX_TOTAUX_STEP_2020</t>
  </si>
  <si>
    <t>0,000413329</t>
  </si>
  <si>
    <t>ETP_OPEX_TOTAUX_STEP_2021</t>
  </si>
  <si>
    <t>0,000408141</t>
  </si>
  <si>
    <t>ETP_OPEX_TOTAUX_STEP_2022</t>
  </si>
  <si>
    <t>0,000402994</t>
  </si>
  <si>
    <t>ETP_OPEX_TOTAUX_STEP_2023</t>
  </si>
  <si>
    <t>0,000397889</t>
  </si>
  <si>
    <t>ETP_OPEX_TOTAUX_STEP_2024</t>
  </si>
  <si>
    <t>0,000392824</t>
  </si>
  <si>
    <t>ETP_OPEX_TOTAUX_STEP_2025</t>
  </si>
  <si>
    <t>0,0003878</t>
  </si>
  <si>
    <t>ETP_OPEX_TOTAUX_STEP_2026</t>
  </si>
  <si>
    <t>0,000382816</t>
  </si>
  <si>
    <t>ETP_OPEX_TOTAUX_STEP_2027</t>
  </si>
  <si>
    <t>0,000377873</t>
  </si>
  <si>
    <t>ETP_OPEX_TOTAUX_STEP_2028</t>
  </si>
  <si>
    <t>0,000372969</t>
  </si>
  <si>
    <t>ETP_OPEX_TOTAUX_STEP_2029</t>
  </si>
  <si>
    <t>0,000368104</t>
  </si>
  <si>
    <t>ETP_OPEX_TOTAUX_STEP_2030</t>
  </si>
  <si>
    <t>0,000363279</t>
  </si>
  <si>
    <t>ETP_OPEX_NATIONAL_TOT_AA_2019</t>
  </si>
  <si>
    <t>0,000484856</t>
  </si>
  <si>
    <t>ETP_OPEX_NATIONAL_TOT_AA_2020</t>
  </si>
  <si>
    <t>0,00047928</t>
  </si>
  <si>
    <t>ETP_OPEX_NATIONAL_TOT_AA_2021</t>
  </si>
  <si>
    <t>0,000473748</t>
  </si>
  <si>
    <t>ETP_OPEX_NATIONAL_TOT_AA_2022</t>
  </si>
  <si>
    <t>0,00046826</t>
  </si>
  <si>
    <t>ETP_OPEX_NATIONAL_TOT_AA_2023</t>
  </si>
  <si>
    <t>0,000462814</t>
  </si>
  <si>
    <t>ETP_OPEX_NATIONAL_TOT_AA_2024</t>
  </si>
  <si>
    <t>0,000457411</t>
  </si>
  <si>
    <t>ETP_OPEX_NATIONAL_TOT_AA_2025</t>
  </si>
  <si>
    <t>0,00045205</t>
  </si>
  <si>
    <t>ETP_OPEX_NATIONAL_TOT_AA_2026</t>
  </si>
  <si>
    <t>0,000446731</t>
  </si>
  <si>
    <t>ETP_OPEX_NATIONAL_TOT_AA_2027</t>
  </si>
  <si>
    <t>0,000441454</t>
  </si>
  <si>
    <t>ETP_OPEX_NATIONAL_TOT_AA_2028</t>
  </si>
  <si>
    <t>0,000436218</t>
  </si>
  <si>
    <t>ETP_OPEX_NATIONAL_TOT_AA_2029</t>
  </si>
  <si>
    <t>0,000431024</t>
  </si>
  <si>
    <t>ETP_OPEX_NATIONAL_TOT_AA_2030</t>
  </si>
  <si>
    <t>0,00042587</t>
  </si>
  <si>
    <t>ETP_OPEX_NATIONAL_TOT_AT_2019</t>
  </si>
  <si>
    <t>0,000775899</t>
  </si>
  <si>
    <t>ETP_OPEX_NATIONAL_TOT_AT_2020</t>
  </si>
  <si>
    <t>0,000769101</t>
  </si>
  <si>
    <t>ETP_OPEX_NATIONAL_TOT_AT_2021</t>
  </si>
  <si>
    <t>0,00076235</t>
  </si>
  <si>
    <t>ETP_OPEX_NATIONAL_TOT_AT_2022</t>
  </si>
  <si>
    <t>0,000755648</t>
  </si>
  <si>
    <t>ETP_OPEX_NATIONAL_TOT_AT_2023</t>
  </si>
  <si>
    <t>0,000748993</t>
  </si>
  <si>
    <t>ETP_OPEX_NATIONAL_TOT_AT_2024</t>
  </si>
  <si>
    <t>0,000742386</t>
  </si>
  <si>
    <t>ETP_OPEX_NATIONAL_TOT_AT_2025</t>
  </si>
  <si>
    <t>0,000735827</t>
  </si>
  <si>
    <t>ETP_OPEX_NATIONAL_TOT_AT_2026</t>
  </si>
  <si>
    <t>0,000729314</t>
  </si>
  <si>
    <t>ETP_OPEX_NATIONAL_TOT_AT_2027</t>
  </si>
  <si>
    <t>0,000722848</t>
  </si>
  <si>
    <t>ETP_OPEX_NATIONAL_TOT_AT_2028</t>
  </si>
  <si>
    <t>0,000716428</t>
  </si>
  <si>
    <t>ETP_OPEX_NATIONAL_TOT_AT_2029</t>
  </si>
  <si>
    <t>0,000710054</t>
  </si>
  <si>
    <t>ETP_OPEX_NATIONAL_TOT_AT_2030</t>
  </si>
  <si>
    <t>0,000703725</t>
  </si>
  <si>
    <t>ETP_OPEX_NATIONAL_TOT_IT_2019</t>
  </si>
  <si>
    <t>0,000721494</t>
  </si>
  <si>
    <t>ETP_OPEX_NATIONAL_TOT_IT_2020</t>
  </si>
  <si>
    <t>0,000714999</t>
  </si>
  <si>
    <t>ETP_OPEX_NATIONAL_TOT_IT_2021</t>
  </si>
  <si>
    <t>0,000708552</t>
  </si>
  <si>
    <t>ETP_OPEX_NATIONAL_TOT_IT_2022</t>
  </si>
  <si>
    <t>0,00070215</t>
  </si>
  <si>
    <t>ETP_OPEX_NATIONAL_TOT_IT_2023</t>
  </si>
  <si>
    <t>0,000695795</t>
  </si>
  <si>
    <t>ETP_OPEX_NATIONAL_TOT_IT_2024</t>
  </si>
  <si>
    <t>0,000689486</t>
  </si>
  <si>
    <t>ETP_OPEX_NATIONAL_TOT_IT_2025</t>
  </si>
  <si>
    <t>0,000683223</t>
  </si>
  <si>
    <t>ETP_OPEX_NATIONAL_TOT_IT_2026</t>
  </si>
  <si>
    <t>0,000677004</t>
  </si>
  <si>
    <t>ETP_OPEX_NATIONAL_TOT_IT_2027</t>
  </si>
  <si>
    <t>0,000670831</t>
  </si>
  <si>
    <t>ETP_OPEX_NATIONAL_TOT_IT_2028</t>
  </si>
  <si>
    <t>0,000664702</t>
  </si>
  <si>
    <t>ETP_OPEX_NATIONAL_TOT_IT_2029</t>
  </si>
  <si>
    <t>0,000658618</t>
  </si>
  <si>
    <t>ETP_OPEX_NATIONAL_TOT_IT_2030</t>
  </si>
  <si>
    <t>0,000652577</t>
  </si>
  <si>
    <t>ETP_OPEX_NATIONAL_TOT_BIOD_2019</t>
  </si>
  <si>
    <t>0,000391729</t>
  </si>
  <si>
    <t>ETP_OPEX_NATIONAL_TOT_BIOD_2020</t>
  </si>
  <si>
    <t>0,000386612</t>
  </si>
  <si>
    <t>ETP_OPEX_NATIONAL_TOT_BIOD_2021</t>
  </si>
  <si>
    <t>0,000381628</t>
  </si>
  <si>
    <t>ETP_OPEX_NATIONAL_TOT_BIOD_2022</t>
  </si>
  <si>
    <t>0,000376729</t>
  </si>
  <si>
    <t>ETP_OPEX_NATIONAL_TOT_BIOD_2023</t>
  </si>
  <si>
    <t>0,000371849</t>
  </si>
  <si>
    <t>ETP_OPEX_NATIONAL_TOT_BIOD_2024</t>
  </si>
  <si>
    <t>0,000367052</t>
  </si>
  <si>
    <t>ETP_OPEX_NATIONAL_TOT_BIOD_2025</t>
  </si>
  <si>
    <t>0,000362286</t>
  </si>
  <si>
    <t>ETP_OPEX_NATIONAL_TOT_BIOD_2026</t>
  </si>
  <si>
    <t>0,000357577</t>
  </si>
  <si>
    <t>ETP_OPEX_NATIONAL_TOT_BIOD_2027</t>
  </si>
  <si>
    <t>0,000352931</t>
  </si>
  <si>
    <t>ETP_OPEX_NATIONAL_TOT_BIOD_2028</t>
  </si>
  <si>
    <t>0,000348333</t>
  </si>
  <si>
    <t>ETP_OPEX_NATIONAL_TOT_BIOD_2029</t>
  </si>
  <si>
    <t>0,000343778</t>
  </si>
  <si>
    <t>ETP_OPEX_NATIONAL_TOT_BIOD_2030</t>
  </si>
  <si>
    <t>0,000339263</t>
  </si>
  <si>
    <t>ETP_OPEX_NATIONAL_TOT_ISDND_2019</t>
  </si>
  <si>
    <t>0,000173075</t>
  </si>
  <si>
    <t>ETP_OPEX_NATIONAL_TOT_ISDND_2020</t>
  </si>
  <si>
    <t>0,000170912</t>
  </si>
  <si>
    <t>ETP_OPEX_NATIONAL_TOT_ISDND_2021</t>
  </si>
  <si>
    <t>0,000168767</t>
  </si>
  <si>
    <t>ETP_OPEX_NATIONAL_TOT_ISDND_2022</t>
  </si>
  <si>
    <t>0,000166639</t>
  </si>
  <si>
    <t>ETP_OPEX_NATIONAL_TOT_ISDND_2023</t>
  </si>
  <si>
    <t>0,000164528</t>
  </si>
  <si>
    <t>ETP_OPEX_NATIONAL_TOT_ISDND_2024</t>
  </si>
  <si>
    <t>0,000162434</t>
  </si>
  <si>
    <t>ETP_OPEX_NATIONAL_TOT_ISDND_2025</t>
  </si>
  <si>
    <t>0,000160356</t>
  </si>
  <si>
    <t>ETP_OPEX_NATIONAL_TOT_ISDND_2026</t>
  </si>
  <si>
    <t>0,000158296</t>
  </si>
  <si>
    <t>ETP_OPEX_NATIONAL_TOT_ISDND_2027</t>
  </si>
  <si>
    <t>0,000156251</t>
  </si>
  <si>
    <t>ETP_OPEX_NATIONAL_TOT_ISDND_2028</t>
  </si>
  <si>
    <t>0,000154224</t>
  </si>
  <si>
    <t>ETP_OPEX_NATIONAL_TOT_ISDND_2029</t>
  </si>
  <si>
    <t>0,000152212</t>
  </si>
  <si>
    <t>ETP_OPEX_NATIONAL_TOT_ISDND_2030</t>
  </si>
  <si>
    <t>0,000150217</t>
  </si>
  <si>
    <t>ETP_OPEX_NATIONAL_TOT_STEP_2019</t>
  </si>
  <si>
    <t>0,000412039</t>
  </si>
  <si>
    <t>ETP_OPEX_NATIONAL_TOT_STEP_2020</t>
  </si>
  <si>
    <t>0,000406891</t>
  </si>
  <si>
    <t>ETP_OPEX_NATIONAL_TOT_STEP_2021</t>
  </si>
  <si>
    <t>0,000401784</t>
  </si>
  <si>
    <t>ETP_OPEX_NATIONAL_TOT_STEP_2022</t>
  </si>
  <si>
    <t>0,000396718</t>
  </si>
  <si>
    <t>ETP_OPEX_NATIONAL_TOT_STEP_2023</t>
  </si>
  <si>
    <t>0,000391692</t>
  </si>
  <si>
    <t>ETP_OPEX_NATIONAL_TOT_STEP_2024</t>
  </si>
  <si>
    <t>0,000386706</t>
  </si>
  <si>
    <t>ETP_OPEX_NATIONAL_TOT_STEP_2025</t>
  </si>
  <si>
    <t>0,00038176</t>
  </si>
  <si>
    <t>ETP_OPEX_NATIONAL_TOT_STEP_2026</t>
  </si>
  <si>
    <t>0,000376854</t>
  </si>
  <si>
    <t>ETP_OPEX_NATIONAL_TOT_STEP_2027</t>
  </si>
  <si>
    <t>0,000371987</t>
  </si>
  <si>
    <t>ETP_OPEX_NATIONAL_TOT_STEP_2028</t>
  </si>
  <si>
    <t>0,00036716</t>
  </si>
  <si>
    <t>ETP_OPEX_NATIONAL_TOT_STEP_2029</t>
  </si>
  <si>
    <t>0,000362371</t>
  </si>
  <si>
    <t>ETP_OPEX_NATIONAL_TOT_STEP_2030</t>
  </si>
  <si>
    <t>0,000357621</t>
  </si>
  <si>
    <t>ETP_OPEX_NATIONAL_DIRECT_AA_2019</t>
  </si>
  <si>
    <t>0,000298252</t>
  </si>
  <si>
    <t>ETP_OPEX_NATIONAL_DIRECT_AA_2020</t>
  </si>
  <si>
    <t>0,000294849</t>
  </si>
  <si>
    <t>ETP_OPEX_NATIONAL_DIRECT_AA_2021</t>
  </si>
  <si>
    <t>0,000291472</t>
  </si>
  <si>
    <t>ETP_OPEX_NATIONAL_DIRECT_AA_2022</t>
  </si>
  <si>
    <t>0,000288122</t>
  </si>
  <si>
    <t>ETP_OPEX_NATIONAL_DIRECT_AA_2023</t>
  </si>
  <si>
    <t>0,000284798</t>
  </si>
  <si>
    <t>ETP_OPEX_NATIONAL_DIRECT_AA_2024</t>
  </si>
  <si>
    <t>0,0002815</t>
  </si>
  <si>
    <t>ETP_OPEX_NATIONAL_DIRECT_AA_2025</t>
  </si>
  <si>
    <t>0,000278228</t>
  </si>
  <si>
    <t>ETP_OPEX_NATIONAL_DIRECT_AA_2026</t>
  </si>
  <si>
    <t>0,000274981</t>
  </si>
  <si>
    <t>ETP_OPEX_NATIONAL_DIRECT_AA_2027</t>
  </si>
  <si>
    <t>0,00027176</t>
  </si>
  <si>
    <t>ETP_OPEX_NATIONAL_DIRECT_AA_2028</t>
  </si>
  <si>
    <t>0,000268564</t>
  </si>
  <si>
    <t>ETP_OPEX_NATIONAL_DIRECT_AA_2029</t>
  </si>
  <si>
    <t>0,000265393</t>
  </si>
  <si>
    <t>ETP_OPEX_NATIONAL_DIRECT_AA_2030</t>
  </si>
  <si>
    <t>0,000262247</t>
  </si>
  <si>
    <t>ETP_OPEX_NATIONAL_DIRECT_AT_2019</t>
  </si>
  <si>
    <t>0,000506272</t>
  </si>
  <si>
    <t>ETP_OPEX_NATIONAL_DIRECT_AT_2020</t>
  </si>
  <si>
    <t>0,000501888</t>
  </si>
  <si>
    <t>ETP_OPEX_NATIONAL_DIRECT_AT_2021</t>
  </si>
  <si>
    <t>0,000497535</t>
  </si>
  <si>
    <t>ETP_OPEX_NATIONAL_DIRECT_AT_2022</t>
  </si>
  <si>
    <t>0,000493213</t>
  </si>
  <si>
    <t>ETP_OPEX_NATIONAL_DIRECT_AT_2023</t>
  </si>
  <si>
    <t>0,000488922</t>
  </si>
  <si>
    <t>ETP_OPEX_NATIONAL_DIRECT_AT_2024</t>
  </si>
  <si>
    <t>0,000484661</t>
  </si>
  <si>
    <t>ETP_OPEX_NATIONAL_DIRECT_AT_2025</t>
  </si>
  <si>
    <t>0,000480431</t>
  </si>
  <si>
    <t>ETP_OPEX_NATIONAL_DIRECT_AT_2026</t>
  </si>
  <si>
    <t>0,00047623</t>
  </si>
  <si>
    <t>ETP_OPEX_NATIONAL_DIRECT_AT_2027</t>
  </si>
  <si>
    <t>0,00047206</t>
  </si>
  <si>
    <t>ETP_OPEX_NATIONAL_DIRECT_AT_2028</t>
  </si>
  <si>
    <t>0,000467919</t>
  </si>
  <si>
    <t>ETP_OPEX_NATIONAL_DIRECT_AT_2029</t>
  </si>
  <si>
    <t>0,000463808</t>
  </si>
  <si>
    <t>ETP_OPEX_NATIONAL_DIRECT_AT_2030</t>
  </si>
  <si>
    <t>0,000459726</t>
  </si>
  <si>
    <t>ETP_OPEX_NATIONAL_DIRECT_IT_2019</t>
  </si>
  <si>
    <t>0,000472369</t>
  </si>
  <si>
    <t>ETP_OPEX_NATIONAL_DIRECT_IT_2020</t>
  </si>
  <si>
    <t>0,000468157</t>
  </si>
  <si>
    <t>ETP_OPEX_NATIONAL_DIRECT_IT_2021</t>
  </si>
  <si>
    <t>0,000463975</t>
  </si>
  <si>
    <t>ETP_OPEX_NATIONAL_DIRECT_IT_2022</t>
  </si>
  <si>
    <t>0,000459824</t>
  </si>
  <si>
    <t>ETP_OPEX_NATIONAL_DIRECT_IT_2023</t>
  </si>
  <si>
    <t>0,000455702</t>
  </si>
  <si>
    <t>ETP_OPEX_NATIONAL_DIRECT_IT_2024</t>
  </si>
  <si>
    <t>0,000451609</t>
  </si>
  <si>
    <t>ETP_OPEX_NATIONAL_DIRECT_IT_2025</t>
  </si>
  <si>
    <t>0,000447546</t>
  </si>
  <si>
    <t>ETP_OPEX_NATIONAL_DIRECT_IT_2026</t>
  </si>
  <si>
    <t>0,000443513</t>
  </si>
  <si>
    <t>ETP_OPEX_NATIONAL_DIRECT_IT_2027</t>
  </si>
  <si>
    <t>0,000439508</t>
  </si>
  <si>
    <t>ETP_OPEX_NATIONAL_DIRECT_IT_2028</t>
  </si>
  <si>
    <t>0,000435532</t>
  </si>
  <si>
    <t>ETP_OPEX_NATIONAL_DIRECT_IT_2029</t>
  </si>
  <si>
    <t>0,000431585</t>
  </si>
  <si>
    <t>ETP_OPEX_NATIONAL_DIRECT_IT_2030</t>
  </si>
  <si>
    <t>0,000427667</t>
  </si>
  <si>
    <t>ETP_OPEX_NATIONAL_DIRECT_BIOD_2019</t>
  </si>
  <si>
    <t>0,000248637</t>
  </si>
  <si>
    <t>ETP_OPEX_NATIONAL_DIRECT_BIOD_2020</t>
  </si>
  <si>
    <t>0,000245389</t>
  </si>
  <si>
    <t>ETP_OPEX_NATIONAL_DIRECT_BIOD_2021</t>
  </si>
  <si>
    <t>0,000242225</t>
  </si>
  <si>
    <t>ETP_OPEX_NATIONAL_DIRECT_BIOD_2022</t>
  </si>
  <si>
    <t>0,000239116</t>
  </si>
  <si>
    <t>ETP_OPEX_NATIONAL_DIRECT_BIOD_2023</t>
  </si>
  <si>
    <t>0,000236018</t>
  </si>
  <si>
    <t>ETP_OPEX_NATIONAL_DIRECT_BIOD_2024</t>
  </si>
  <si>
    <t>0,000232974</t>
  </si>
  <si>
    <t>ETP_OPEX_NATIONAL_DIRECT_BIOD_2025</t>
  </si>
  <si>
    <t>0,000229949</t>
  </si>
  <si>
    <t>ETP_OPEX_NATIONAL_DIRECT_BIOD_2026</t>
  </si>
  <si>
    <t>0,00022696</t>
  </si>
  <si>
    <t>ETP_OPEX_NATIONAL_DIRECT_BIOD_2027</t>
  </si>
  <si>
    <t>0,000224011</t>
  </si>
  <si>
    <t>ETP_OPEX_NATIONAL_DIRECT_BIOD_2028</t>
  </si>
  <si>
    <t>0,000221093</t>
  </si>
  <si>
    <t>ETP_OPEX_NATIONAL_DIRECT_BIOD_2029</t>
  </si>
  <si>
    <t>0,000218202</t>
  </si>
  <si>
    <t>ETP_OPEX_NATIONAL_DIRECT_BIOD_2030</t>
  </si>
  <si>
    <t>0,000215336</t>
  </si>
  <si>
    <t>ETP_OPEX_NATIONAL_DIRECT_ISDND_2019</t>
  </si>
  <si>
    <t>0,000103439</t>
  </si>
  <si>
    <t>ETP_OPEX_NATIONAL_DIRECT_ISDND_2020</t>
  </si>
  <si>
    <t>0,000102146</t>
  </si>
  <si>
    <t>ETP_OPEX_NATIONAL_DIRECT_ISDND_2021</t>
  </si>
  <si>
    <t>0,000100864</t>
  </si>
  <si>
    <t>ETP_OPEX_NATIONAL_DIRECT_ISDND_2022</t>
  </si>
  <si>
    <t>9,96E-05</t>
  </si>
  <si>
    <t>ETP_OPEX_NATIONAL_DIRECT_ISDND_2023</t>
  </si>
  <si>
    <t>9,83E-05</t>
  </si>
  <si>
    <t>ETP_OPEX_NATIONAL_DIRECT_ISDND_2024</t>
  </si>
  <si>
    <t>9,71E-05</t>
  </si>
  <si>
    <t>ETP_OPEX_NATIONAL_DIRECT_ISDND_2025</t>
  </si>
  <si>
    <t>9,58E-05</t>
  </si>
  <si>
    <t>ETP_OPEX_NATIONAL_DIRECT_ISDND_2026</t>
  </si>
  <si>
    <t>9,46E-05</t>
  </si>
  <si>
    <t>ETP_OPEX_NATIONAL_DIRECT_ISDND_2027</t>
  </si>
  <si>
    <t>9,34E-05</t>
  </si>
  <si>
    <t>ETP_OPEX_NATIONAL_DIRECT_ISDND_2028</t>
  </si>
  <si>
    <t>9,22E-05</t>
  </si>
  <si>
    <t>ETP_OPEX_NATIONAL_DIRECT_ISDND_2029</t>
  </si>
  <si>
    <t>9,10E-05</t>
  </si>
  <si>
    <t>ETP_OPEX_NATIONAL_DIRECT_ISDND_2030</t>
  </si>
  <si>
    <t>8,98E-05</t>
  </si>
  <si>
    <t>ETP_OPEX_NATIONAL_DIRECT_STEP_2019</t>
  </si>
  <si>
    <t>0,000250312</t>
  </si>
  <si>
    <t>ETP_OPEX_NATIONAL_DIRECT_STEP_2020</t>
  </si>
  <si>
    <t>0,000247185</t>
  </si>
  <si>
    <t>ETP_OPEX_NATIONAL_DIRECT_STEP_2021</t>
  </si>
  <si>
    <t>0,000244082</t>
  </si>
  <si>
    <t>ETP_OPEX_NATIONAL_DIRECT_STEP_2022</t>
  </si>
  <si>
    <t>0,000241004</t>
  </si>
  <si>
    <t>ETP_OPEX_NATIONAL_DIRECT_STEP_2023</t>
  </si>
  <si>
    <t>0,000237951</t>
  </si>
  <si>
    <t>ETP_OPEX_NATIONAL_DIRECT_STEP_2024</t>
  </si>
  <si>
    <t>0,000234922</t>
  </si>
  <si>
    <t>ETP_OPEX_NATIONAL_DIRECT_STEP_2025</t>
  </si>
  <si>
    <t>0,000231918</t>
  </si>
  <si>
    <t>ETP_OPEX_NATIONAL_DIRECT_STEP_2026</t>
  </si>
  <si>
    <t>0,000228938</t>
  </si>
  <si>
    <t>ETP_OPEX_NATIONAL_DIRECT_STEP_2027</t>
  </si>
  <si>
    <t>0,000225981</t>
  </si>
  <si>
    <t>ETP_OPEX_NATIONAL_DIRECT_STEP_2028</t>
  </si>
  <si>
    <t>0,000223048</t>
  </si>
  <si>
    <t>ETP_OPEX_NATIONAL_DIRECT_STEP_2029</t>
  </si>
  <si>
    <t>0,000220139</t>
  </si>
  <si>
    <t>ETP_OPEX_NATIONAL_DIRECT_STEP_2030</t>
  </si>
  <si>
    <t>0,000217253</t>
  </si>
  <si>
    <t>ETP_OPEX_LOCAL_DIRECT_AA_2019</t>
  </si>
  <si>
    <t>0,000242538</t>
  </si>
  <si>
    <t>ETP_OPEX_LOCAL_DIRECT_AA_2020</t>
  </si>
  <si>
    <t>0,000239831</t>
  </si>
  <si>
    <t>ETP_OPEX_LOCAL_DIRECT_AA_2021</t>
  </si>
  <si>
    <t>0,000237145</t>
  </si>
  <si>
    <t>ETP_OPEX_LOCAL_DIRECT_AA_2022</t>
  </si>
  <si>
    <t>0,00023448</t>
  </si>
  <si>
    <t>ETP_OPEX_LOCAL_DIRECT_AA_2023</t>
  </si>
  <si>
    <t>0,000231836</t>
  </si>
  <si>
    <t>ETP_OPEX_LOCAL_DIRECT_AA_2024</t>
  </si>
  <si>
    <t>0,000229212</t>
  </si>
  <si>
    <t>ETP_OPEX_LOCAL_DIRECT_AA_2025</t>
  </si>
  <si>
    <t>0,000226608</t>
  </si>
  <si>
    <t>ETP_OPEX_LOCAL_DIRECT_AA_2026</t>
  </si>
  <si>
    <t>0,000224025</t>
  </si>
  <si>
    <t>ETP_OPEX_LOCAL_DIRECT_AA_2027</t>
  </si>
  <si>
    <t>0,000221462</t>
  </si>
  <si>
    <t>ETP_OPEX_LOCAL_DIRECT_AA_2028</t>
  </si>
  <si>
    <t>0,000218919</t>
  </si>
  <si>
    <t>ETP_OPEX_LOCAL_DIRECT_AA_2029</t>
  </si>
  <si>
    <t>0,000216395</t>
  </si>
  <si>
    <t>ETP_OPEX_LOCAL_DIRECT_AA_2030</t>
  </si>
  <si>
    <t>0,000213892</t>
  </si>
  <si>
    <t>ETP_OPEX_LOCAL_DIRECT_AT_2019</t>
  </si>
  <si>
    <t>0,0004499</t>
  </si>
  <si>
    <t>ETP_OPEX_LOCAL_DIRECT_AT_2020</t>
  </si>
  <si>
    <t>0,00044622</t>
  </si>
  <si>
    <t>ETP_OPEX_LOCAL_DIRECT_AT_2021</t>
  </si>
  <si>
    <t>0,000442566</t>
  </si>
  <si>
    <t>ETP_OPEX_LOCAL_DIRECT_AT_2022</t>
  </si>
  <si>
    <t>0,000438937</t>
  </si>
  <si>
    <t>ETP_OPEX_LOCAL_DIRECT_AT_2023</t>
  </si>
  <si>
    <t>0,000435334</t>
  </si>
  <si>
    <t>ETP_OPEX_LOCAL_DIRECT_AT_2024</t>
  </si>
  <si>
    <t>0,000431755</t>
  </si>
  <si>
    <t>ETP_OPEX_LOCAL_DIRECT_AT_2025</t>
  </si>
  <si>
    <t>0,000428201</t>
  </si>
  <si>
    <t>ETP_OPEX_LOCAL_DIRECT_AT_2026</t>
  </si>
  <si>
    <t>0,000424672</t>
  </si>
  <si>
    <t>ETP_OPEX_LOCAL_DIRECT_AT_2027</t>
  </si>
  <si>
    <t>0,000421167</t>
  </si>
  <si>
    <t>ETP_OPEX_LOCAL_DIRECT_AT_2028</t>
  </si>
  <si>
    <t>0,000417687</t>
  </si>
  <si>
    <t>ETP_OPEX_LOCAL_DIRECT_AT_2029</t>
  </si>
  <si>
    <t>0,000414231</t>
  </si>
  <si>
    <t>ETP_OPEX_LOCAL_DIRECT_AT_2030</t>
  </si>
  <si>
    <t>0,000410799</t>
  </si>
  <si>
    <t>ETP_OPEX_LOCAL_DIRECT_IT_2019</t>
  </si>
  <si>
    <t>0,000415997</t>
  </si>
  <si>
    <t>ETP_OPEX_LOCAL_DIRECT_IT_2020</t>
  </si>
  <si>
    <t>0,000412489</t>
  </si>
  <si>
    <t>ETP_OPEX_LOCAL_DIRECT_IT_2021</t>
  </si>
  <si>
    <t>0,000409006</t>
  </si>
  <si>
    <t>ETP_OPEX_LOCAL_DIRECT_IT_2022</t>
  </si>
  <si>
    <t>0,000405548</t>
  </si>
  <si>
    <t>ETP_OPEX_LOCAL_DIRECT_IT_2023</t>
  </si>
  <si>
    <t>0,000402113</t>
  </si>
  <si>
    <t>ETP_OPEX_LOCAL_DIRECT_IT_2024</t>
  </si>
  <si>
    <t>0,000398703</t>
  </si>
  <si>
    <t>ETP_OPEX_LOCAL_DIRECT_IT_2025</t>
  </si>
  <si>
    <t>0,000395317</t>
  </si>
  <si>
    <t>ETP_OPEX_LOCAL_DIRECT_IT_2026</t>
  </si>
  <si>
    <t>0,000391954</t>
  </si>
  <si>
    <t>ETP_OPEX_LOCAL_DIRECT_IT_2027</t>
  </si>
  <si>
    <t>0,000388615</t>
  </si>
  <si>
    <t>ETP_OPEX_LOCAL_DIRECT_IT_2028</t>
  </si>
  <si>
    <t>0,0003853</t>
  </si>
  <si>
    <t>ETP_OPEX_LOCAL_DIRECT_IT_2029</t>
  </si>
  <si>
    <t>0,000382008</t>
  </si>
  <si>
    <t>ETP_OPEX_LOCAL_DIRECT_IT_2030</t>
  </si>
  <si>
    <t>0,00037874</t>
  </si>
  <si>
    <t>ETP_OPEX_LOCAL_DIRECT_BIOD_2019</t>
  </si>
  <si>
    <t>0,000192135</t>
  </si>
  <si>
    <t>ETP_OPEX_LOCAL_DIRECT_BIOD_2020</t>
  </si>
  <si>
    <t>0,000189625</t>
  </si>
  <si>
    <t>ETP_OPEX_LOCAL_DIRECT_BIOD_2021</t>
  </si>
  <si>
    <t>0,00018718</t>
  </si>
  <si>
    <t>ETP_OPEX_LOCAL_DIRECT_BIOD_2022</t>
  </si>
  <si>
    <t>0,000184777</t>
  </si>
  <si>
    <t>ETP_OPEX_LOCAL_DIRECT_BIOD_2023</t>
  </si>
  <si>
    <t>0,000182384</t>
  </si>
  <si>
    <t>ETP_OPEX_LOCAL_DIRECT_BIOD_2024</t>
  </si>
  <si>
    <t>0,000180031</t>
  </si>
  <si>
    <t>ETP_OPEX_LOCAL_DIRECT_BIOD_2025</t>
  </si>
  <si>
    <t>0,000177693</t>
  </si>
  <si>
    <t>ETP_OPEX_LOCAL_DIRECT_BIOD_2026</t>
  </si>
  <si>
    <t>0,000175384</t>
  </si>
  <si>
    <t>ETP_OPEX_LOCAL_DIRECT_BIOD_2027</t>
  </si>
  <si>
    <t>0,000173105</t>
  </si>
  <si>
    <t>ETP_OPEX_LOCAL_DIRECT_BIOD_2028</t>
  </si>
  <si>
    <t>0,00017085</t>
  </si>
  <si>
    <t>ETP_OPEX_LOCAL_DIRECT_BIOD_2029</t>
  </si>
  <si>
    <t>0,000168616</t>
  </si>
  <si>
    <t>ETP_OPEX_LOCAL_DIRECT_BIOD_2030</t>
  </si>
  <si>
    <t>0,000166401</t>
  </si>
  <si>
    <t>ETP_OPEX_LOCAL_DIRECT_ISDND_2019</t>
  </si>
  <si>
    <t>7,29E-05</t>
  </si>
  <si>
    <t>ETP_OPEX_LOCAL_DIRECT_ISDND_2020</t>
  </si>
  <si>
    <t>7,20E-05</t>
  </si>
  <si>
    <t>ETP_OPEX_LOCAL_DIRECT_ISDND_2021</t>
  </si>
  <si>
    <t>7,11E-05</t>
  </si>
  <si>
    <t>ETP_OPEX_LOCAL_DIRECT_ISDND_2022</t>
  </si>
  <si>
    <t>7,02E-05</t>
  </si>
  <si>
    <t>ETP_OPEX_LOCAL_DIRECT_ISDND_2023</t>
  </si>
  <si>
    <t>6,93E-05</t>
  </si>
  <si>
    <t>ETP_OPEX_LOCAL_DIRECT_ISDND_2024</t>
  </si>
  <si>
    <t>6,84E-05</t>
  </si>
  <si>
    <t>ETP_OPEX_LOCAL_DIRECT_ISDND_2025</t>
  </si>
  <si>
    <t>6,76E-05</t>
  </si>
  <si>
    <t>ETP_OPEX_LOCAL_DIRECT_ISDND_2026</t>
  </si>
  <si>
    <t>6,67E-05</t>
  </si>
  <si>
    <t>ETP_OPEX_LOCAL_DIRECT_ISDND_2027</t>
  </si>
  <si>
    <t>6,58E-05</t>
  </si>
  <si>
    <t>ETP_OPEX_LOCAL_DIRECT_ISDND_2028</t>
  </si>
  <si>
    <t>6,50E-05</t>
  </si>
  <si>
    <t>ETP_OPEX_LOCAL_DIRECT_ISDND_2029</t>
  </si>
  <si>
    <t>6,41E-05</t>
  </si>
  <si>
    <t>ETP_OPEX_LOCAL_DIRECT_ISDND_2030</t>
  </si>
  <si>
    <t>6,33E-05</t>
  </si>
  <si>
    <t>ETP_OPEX_LOCAL_DIRECT_STEP_2019</t>
  </si>
  <si>
    <t>0,00019965</t>
  </si>
  <si>
    <t>ETP_OPEX_LOCAL_DIRECT_STEP_2020</t>
  </si>
  <si>
    <t>0,000197156</t>
  </si>
  <si>
    <t>ETP_OPEX_LOCAL_DIRECT_STEP_2021</t>
  </si>
  <si>
    <t>0,000194681</t>
  </si>
  <si>
    <t>ETP_OPEX_LOCAL_DIRECT_STEP_2022</t>
  </si>
  <si>
    <t>0,000192226</t>
  </si>
  <si>
    <t>ETP_OPEX_LOCAL_DIRECT_STEP_2023</t>
  </si>
  <si>
    <t>0,000189791</t>
  </si>
  <si>
    <t>ETP_OPEX_LOCAL_DIRECT_STEP_2024</t>
  </si>
  <si>
    <t>0,000187375</t>
  </si>
  <si>
    <t>ETP_OPEX_LOCAL_DIRECT_STEP_2025</t>
  </si>
  <si>
    <t>0,000184979</t>
  </si>
  <si>
    <t>ETP_OPEX_LOCAL_DIRECT_STEP_2026</t>
  </si>
  <si>
    <t>0,000182602</t>
  </si>
  <si>
    <t>ETP_OPEX_LOCAL_DIRECT_STEP_2027</t>
  </si>
  <si>
    <t>0,000180243</t>
  </si>
  <si>
    <t>ETP_OPEX_LOCAL_DIRECT_STEP_2028</t>
  </si>
  <si>
    <t>0,000177904</t>
  </si>
  <si>
    <t>ETP_OPEX_LOCAL_DIRECT_STEP_2029</t>
  </si>
  <si>
    <t>0,000175584</t>
  </si>
  <si>
    <t>ETP_OPEX_LOCAL_DIRECT_STEP_2030</t>
  </si>
  <si>
    <t>0,000173282</t>
  </si>
  <si>
    <t>ETP_CAPEX_TOTAUX_AA_2019</t>
  </si>
  <si>
    <t>0,005174927</t>
  </si>
  <si>
    <t>ETP_CAPEX_TOTAUX_AA_2020</t>
  </si>
  <si>
    <t>0,005097169</t>
  </si>
  <si>
    <t>ETP_CAPEX_TOTAUX_AA_2021</t>
  </si>
  <si>
    <t>0,005020057</t>
  </si>
  <si>
    <t>ETP_CAPEX_TOTAUX_AA_2022</t>
  </si>
  <si>
    <t>0,004943586</t>
  </si>
  <si>
    <t>ETP_CAPEX_TOTAUX_AA_2023</t>
  </si>
  <si>
    <t>0,004867752</t>
  </si>
  <si>
    <t>ETP_CAPEX_TOTAUX_AA_2024</t>
  </si>
  <si>
    <t>0,004792549</t>
  </si>
  <si>
    <t>ETP_CAPEX_TOTAUX_AA_2025</t>
  </si>
  <si>
    <t>0,004717975</t>
  </si>
  <si>
    <t>ETP_CAPEX_TOTAUX_AA_2026</t>
  </si>
  <si>
    <t>0,004644024</t>
  </si>
  <si>
    <t>ETP_CAPEX_TOTAUX_AA_2027</t>
  </si>
  <si>
    <t>0,004570692</t>
  </si>
  <si>
    <t>ETP_CAPEX_TOTAUX_AA_2028</t>
  </si>
  <si>
    <t>0,004497975</t>
  </si>
  <si>
    <t>ETP_CAPEX_TOTAUX_AA_2029</t>
  </si>
  <si>
    <t>0,004425868</t>
  </si>
  <si>
    <t>ETP_CAPEX_TOTAUX_AA_2030</t>
  </si>
  <si>
    <t>0,004354367</t>
  </si>
  <si>
    <t>ETP_CAPEX_TOTAUX_AT_2019</t>
  </si>
  <si>
    <t>0,00386433</t>
  </si>
  <si>
    <t>ETP_CAPEX_TOTAUX_AT_2020</t>
  </si>
  <si>
    <t>0,003806265</t>
  </si>
  <si>
    <t>ETP_CAPEX_TOTAUX_AT_2021</t>
  </si>
  <si>
    <t>0,003748682</t>
  </si>
  <si>
    <t>ETP_CAPEX_TOTAUX_AT_2022</t>
  </si>
  <si>
    <t>0,003691578</t>
  </si>
  <si>
    <t>ETP_CAPEX_TOTAUX_AT_2023</t>
  </si>
  <si>
    <t>0,003634949</t>
  </si>
  <si>
    <t>ETP_CAPEX_TOTAUX_AT_2024</t>
  </si>
  <si>
    <t>0,003578793</t>
  </si>
  <si>
    <t>ETP_CAPEX_TOTAUX_AT_2025</t>
  </si>
  <si>
    <t>0,003523105</t>
  </si>
  <si>
    <t>ETP_CAPEX_TOTAUX_AT_2026</t>
  </si>
  <si>
    <t>0,003467883</t>
  </si>
  <si>
    <t>ETP_CAPEX_TOTAUX_AT_2027</t>
  </si>
  <si>
    <t>0,003413123</t>
  </si>
  <si>
    <t>ETP_CAPEX_TOTAUX_AT_2028</t>
  </si>
  <si>
    <t>0,003358822</t>
  </si>
  <si>
    <t>ETP_CAPEX_TOTAUX_AT_2029</t>
  </si>
  <si>
    <t>0,003304977</t>
  </si>
  <si>
    <t>ETP_CAPEX_TOTAUX_AT_2030</t>
  </si>
  <si>
    <t>0,003251584</t>
  </si>
  <si>
    <t>ETP_CAPEX_TOTAUX_IT_2019</t>
  </si>
  <si>
    <t>0,003543958</t>
  </si>
  <si>
    <t>ETP_CAPEX_TOTAUX_IT_2020</t>
  </si>
  <si>
    <t>0,003490707</t>
  </si>
  <si>
    <t>ETP_CAPEX_TOTAUX_IT_2021</t>
  </si>
  <si>
    <t>0,003437898</t>
  </si>
  <si>
    <t>ETP_CAPEX_TOTAUX_IT_2022</t>
  </si>
  <si>
    <t>0,003385528</t>
  </si>
  <si>
    <t>ETP_CAPEX_TOTAUX_IT_2023</t>
  </si>
  <si>
    <t>0,003333594</t>
  </si>
  <si>
    <t>ETP_CAPEX_TOTAUX_IT_2024</t>
  </si>
  <si>
    <t>0,003282093</t>
  </si>
  <si>
    <t>ETP_CAPEX_TOTAUX_IT_2025</t>
  </si>
  <si>
    <t>0,003231022</t>
  </si>
  <si>
    <t>ETP_CAPEX_TOTAUX_IT_2026</t>
  </si>
  <si>
    <t>0,003180378</t>
  </si>
  <si>
    <t>ETP_CAPEX_TOTAUX_IT_2027</t>
  </si>
  <si>
    <t>0,003130158</t>
  </si>
  <si>
    <t>ETP_CAPEX_TOTAUX_IT_2028</t>
  </si>
  <si>
    <t>0,003080359</t>
  </si>
  <si>
    <t>ETP_CAPEX_TOTAUX_IT_2029</t>
  </si>
  <si>
    <t>0,003030978</t>
  </si>
  <si>
    <t>ETP_CAPEX_TOTAUX_IT_2030</t>
  </si>
  <si>
    <t>0,002982012</t>
  </si>
  <si>
    <t>ETP_CAPEX_TOTAUX_BIOD_2019</t>
  </si>
  <si>
    <t>0,003859362</t>
  </si>
  <si>
    <t>ETP_CAPEX_TOTAUX_BIOD_2020</t>
  </si>
  <si>
    <t>0,003801371</t>
  </si>
  <si>
    <t>ETP_CAPEX_TOTAUX_BIOD_2021</t>
  </si>
  <si>
    <t>0,003743863</t>
  </si>
  <si>
    <t>ETP_CAPEX_TOTAUX_BIOD_2022</t>
  </si>
  <si>
    <t>0,003686832</t>
  </si>
  <si>
    <t>ETP_CAPEX_TOTAUX_BIOD_2023</t>
  </si>
  <si>
    <t>0,003630276</t>
  </si>
  <si>
    <t>ETP_CAPEX_TOTAUX_BIOD_2024</t>
  </si>
  <si>
    <t>0,003574192</t>
  </si>
  <si>
    <t>ETP_CAPEX_TOTAUX_BIOD_2025</t>
  </si>
  <si>
    <t>0,003518575</t>
  </si>
  <si>
    <t>ETP_CAPEX_TOTAUX_BIOD_2026</t>
  </si>
  <si>
    <t>0,003463424</t>
  </si>
  <si>
    <t>ETP_CAPEX_TOTAUX_BIOD_2027</t>
  </si>
  <si>
    <t>0,003408735</t>
  </si>
  <si>
    <t>ETP_CAPEX_TOTAUX_BIOD_2028</t>
  </si>
  <si>
    <t>0,003354503</t>
  </si>
  <si>
    <t>ETP_CAPEX_TOTAUX_BIOD_2029</t>
  </si>
  <si>
    <t>0,003300728</t>
  </si>
  <si>
    <t>ETP_CAPEX_TOTAUX_BIOD_2030</t>
  </si>
  <si>
    <t>0,003247404</t>
  </si>
  <si>
    <t>ETP_CAPEX_TOTAUX_ISDND_2019</t>
  </si>
  <si>
    <t>0,001813318</t>
  </si>
  <si>
    <t>ETP_CAPEX_TOTAUX_ISDND_2020</t>
  </si>
  <si>
    <t>0,001786072</t>
  </si>
  <si>
    <t>ETP_CAPEX_TOTAUX_ISDND_2021</t>
  </si>
  <si>
    <t>0,001759051</t>
  </si>
  <si>
    <t>ETP_CAPEX_TOTAUX_ISDND_2022</t>
  </si>
  <si>
    <t>0,001732255</t>
  </si>
  <si>
    <t>ETP_CAPEX_TOTAUX_ISDND_2023</t>
  </si>
  <si>
    <t>0,001705683</t>
  </si>
  <si>
    <t>ETP_CAPEX_TOTAUX_ISDND_2024</t>
  </si>
  <si>
    <t>0,001679331</t>
  </si>
  <si>
    <t>ETP_CAPEX_TOTAUX_ISDND_2025</t>
  </si>
  <si>
    <t>0,0016532</t>
  </si>
  <si>
    <t>ETP_CAPEX_TOTAUX_ISDND_2026</t>
  </si>
  <si>
    <t>0,001627287</t>
  </si>
  <si>
    <t>ETP_CAPEX_TOTAUX_ISDND_2027</t>
  </si>
  <si>
    <t>0,001601591</t>
  </si>
  <si>
    <t>ETP_CAPEX_TOTAUX_ISDND_2028</t>
  </si>
  <si>
    <t>0,001576111</t>
  </si>
  <si>
    <t>ETP_CAPEX_TOTAUX_ISDND_2029</t>
  </si>
  <si>
    <t>0,001550844</t>
  </si>
  <si>
    <t>ETP_CAPEX_TOTAUX_ISDND_2030</t>
  </si>
  <si>
    <t>0,00152579</t>
  </si>
  <si>
    <t>ETP_CAPEX_TOTAUX_STEP_2019</t>
  </si>
  <si>
    <t>0,009318237</t>
  </si>
  <si>
    <t>ETP_CAPEX_TOTAUX_STEP_2020</t>
  </si>
  <si>
    <t>0,009178223</t>
  </si>
  <si>
    <t>ETP_CAPEX_TOTAUX_STEP_2021</t>
  </si>
  <si>
    <t>0,009039371</t>
  </si>
  <si>
    <t>ETP_CAPEX_TOTAUX_STEP_2022</t>
  </si>
  <si>
    <t>0,008901673</t>
  </si>
  <si>
    <t>ETP_CAPEX_TOTAUX_STEP_2023</t>
  </si>
  <si>
    <t>0,008765121</t>
  </si>
  <si>
    <t>ETP_CAPEX_TOTAUX_STEP_2024</t>
  </si>
  <si>
    <t>0,008629708</t>
  </si>
  <si>
    <t>ETP_CAPEX_TOTAUX_STEP_2025</t>
  </si>
  <si>
    <t>0,008495426</t>
  </si>
  <si>
    <t>ETP_CAPEX_TOTAUX_STEP_2026</t>
  </si>
  <si>
    <t>0,008362266</t>
  </si>
  <si>
    <t>ETP_CAPEX_TOTAUX_STEP_2027</t>
  </si>
  <si>
    <t>0,008230221</t>
  </si>
  <si>
    <t>ETP_CAPEX_TOTAUX_STEP_2028</t>
  </si>
  <si>
    <t>0,008099282</t>
  </si>
  <si>
    <t>ETP_CAPEX_TOTAUX_STEP_2029</t>
  </si>
  <si>
    <t>0,007969443</t>
  </si>
  <si>
    <t>ETP_CAPEX_TOTAUX_STEP_2030</t>
  </si>
  <si>
    <t>0,007840695</t>
  </si>
  <si>
    <t>ETP_CAPEX_NATIONAL_TOT_AA_2019</t>
  </si>
  <si>
    <t>0,004687857</t>
  </si>
  <si>
    <t>ETP_CAPEX_NATIONAL_TOT_AA_2020</t>
  </si>
  <si>
    <t>0,004617418</t>
  </si>
  <si>
    <t>ETP_CAPEX_NATIONAL_TOT_AA_2021</t>
  </si>
  <si>
    <t>0,004547564</t>
  </si>
  <si>
    <t>ETP_CAPEX_NATIONAL_TOT_AA_2022</t>
  </si>
  <si>
    <t>0,00447829</t>
  </si>
  <si>
    <t>ETP_CAPEX_NATIONAL_TOT_AA_2023</t>
  </si>
  <si>
    <t>0,004409593</t>
  </si>
  <si>
    <t>ETP_CAPEX_NATIONAL_TOT_AA_2024</t>
  </si>
  <si>
    <t>0,004341469</t>
  </si>
  <si>
    <t>ETP_CAPEX_NATIONAL_TOT_AA_2025</t>
  </si>
  <si>
    <t>0,004273914</t>
  </si>
  <si>
    <t>ETP_CAPEX_NATIONAL_TOT_AA_2026</t>
  </si>
  <si>
    <t>0,004206923</t>
  </si>
  <si>
    <t>ETP_CAPEX_NATIONAL_TOT_AA_2027</t>
  </si>
  <si>
    <t>0,004140493</t>
  </si>
  <si>
    <t>ETP_CAPEX_NATIONAL_TOT_AA_2028</t>
  </si>
  <si>
    <t>0,00407462</t>
  </si>
  <si>
    <t>ETP_CAPEX_NATIONAL_TOT_AA_2029</t>
  </si>
  <si>
    <t>0,0040093</t>
  </si>
  <si>
    <t>ETP_CAPEX_NATIONAL_TOT_AA_2030</t>
  </si>
  <si>
    <t>0,003944529</t>
  </si>
  <si>
    <t>ETP_CAPEX_NATIONAL_TOT_AT_2019</t>
  </si>
  <si>
    <t>0,003476517</t>
  </si>
  <si>
    <t>ETP_CAPEX_NATIONAL_TOT_AT_2020</t>
  </si>
  <si>
    <t>0,003424279</t>
  </si>
  <si>
    <t>ETP_CAPEX_NATIONAL_TOT_AT_2021</t>
  </si>
  <si>
    <t>0,003372475</t>
  </si>
  <si>
    <t>ETP_CAPEX_NATIONAL_TOT_AT_2022</t>
  </si>
  <si>
    <t>0,003321102</t>
  </si>
  <si>
    <t>ETP_CAPEX_NATIONAL_TOT_AT_2023</t>
  </si>
  <si>
    <t>0,003270157</t>
  </si>
  <si>
    <t>ETP_CAPEX_NATIONAL_TOT_AT_2024</t>
  </si>
  <si>
    <t>0,003219636</t>
  </si>
  <si>
    <t>ETP_CAPEX_NATIONAL_TOT_AT_2025</t>
  </si>
  <si>
    <t>0,003169537</t>
  </si>
  <si>
    <t>ETP_CAPEX_NATIONAL_TOT_AT_2026</t>
  </si>
  <si>
    <t>0,003119856</t>
  </si>
  <si>
    <t>ETP_CAPEX_NATIONAL_TOT_AT_2027</t>
  </si>
  <si>
    <t>0,003070592</t>
  </si>
  <si>
    <t>ETP_CAPEX_NATIONAL_TOT_AT_2028</t>
  </si>
  <si>
    <t>0,00302174</t>
  </si>
  <si>
    <t>ETP_CAPEX_NATIONAL_TOT_AT_2029</t>
  </si>
  <si>
    <t>0,002973299</t>
  </si>
  <si>
    <t>ETP_CAPEX_NATIONAL_TOT_AT_2030</t>
  </si>
  <si>
    <t>0,002925265</t>
  </si>
  <si>
    <t>ETP_CAPEX_NATIONAL_TOT_IT_2019</t>
  </si>
  <si>
    <t>0,003183043</t>
  </si>
  <si>
    <t>ETP_CAPEX_NATIONAL_TOT_IT_2020</t>
  </si>
  <si>
    <t>0,003135215</t>
  </si>
  <si>
    <t>ETP_CAPEX_NATIONAL_TOT_IT_2021</t>
  </si>
  <si>
    <t>0,003087784</t>
  </si>
  <si>
    <t>ETP_CAPEX_NATIONAL_TOT_IT_2022</t>
  </si>
  <si>
    <t>0,003040748</t>
  </si>
  <si>
    <t>ETP_CAPEX_NATIONAL_TOT_IT_2023</t>
  </si>
  <si>
    <t>0,002994103</t>
  </si>
  <si>
    <t>ETP_CAPEX_NATIONAL_TOT_IT_2024</t>
  </si>
  <si>
    <t>0,002947846</t>
  </si>
  <si>
    <t>ETP_CAPEX_NATIONAL_TOT_IT_2025</t>
  </si>
  <si>
    <t>0,002901977</t>
  </si>
  <si>
    <t>ETP_CAPEX_NATIONAL_TOT_IT_2026</t>
  </si>
  <si>
    <t>0,00285649</t>
  </si>
  <si>
    <t>ETP_CAPEX_NATIONAL_TOT_IT_2027</t>
  </si>
  <si>
    <t>0,002811384</t>
  </si>
  <si>
    <t>ETP_CAPEX_NATIONAL_TOT_IT_2028</t>
  </si>
  <si>
    <t>0,002766657</t>
  </si>
  <si>
    <t>ETP_CAPEX_NATIONAL_TOT_IT_2029</t>
  </si>
  <si>
    <t>0,002722305</t>
  </si>
  <si>
    <t>ETP_CAPEX_NATIONAL_TOT_IT_2030</t>
  </si>
  <si>
    <t>0,002678325</t>
  </si>
  <si>
    <t>ETP_CAPEX_NATIONAL_TOT_BIOD_2019</t>
  </si>
  <si>
    <t>0,00347078</t>
  </si>
  <si>
    <t>ETP_CAPEX_NATIONAL_TOT_BIOD_2020</t>
  </si>
  <si>
    <t>0,003418628</t>
  </si>
  <si>
    <t>ETP_CAPEX_NATIONAL_TOT_BIOD_2021</t>
  </si>
  <si>
    <t>0,00336691</t>
  </si>
  <si>
    <t>ETP_CAPEX_NATIONAL_TOT_BIOD_2022</t>
  </si>
  <si>
    <t>0,003315621</t>
  </si>
  <si>
    <t>ETP_CAPEX_NATIONAL_TOT_BIOD_2023</t>
  </si>
  <si>
    <t>0,00326476</t>
  </si>
  <si>
    <t>ETP_CAPEX_NATIONAL_TOT_BIOD_2024</t>
  </si>
  <si>
    <t>0,003214322</t>
  </si>
  <si>
    <t>ETP_CAPEX_NATIONAL_TOT_BIOD_2025</t>
  </si>
  <si>
    <t>0,003164306</t>
  </si>
  <si>
    <t>ETP_CAPEX_NATIONAL_TOT_BIOD_2026</t>
  </si>
  <si>
    <t>0,003114707</t>
  </si>
  <si>
    <t>ETP_CAPEX_NATIONAL_TOT_BIOD_2027</t>
  </si>
  <si>
    <t>0,003065524</t>
  </si>
  <si>
    <t>ETP_CAPEX_NATIONAL_TOT_BIOD_2028</t>
  </si>
  <si>
    <t>0,003016753</t>
  </si>
  <si>
    <t>ETP_CAPEX_NATIONAL_TOT_BIOD_2029</t>
  </si>
  <si>
    <t>0,002968392</t>
  </si>
  <si>
    <t>ETP_CAPEX_NATIONAL_TOT_BIOD_2030</t>
  </si>
  <si>
    <t>0,002920437</t>
  </si>
  <si>
    <t>ETP_CAPEX_NATIONAL_TOT_ISDND_2019</t>
  </si>
  <si>
    <t>0,001579294</t>
  </si>
  <si>
    <t>ETP_CAPEX_NATIONAL_TOT_ISDND_2020</t>
  </si>
  <si>
    <t>0,001555564</t>
  </si>
  <si>
    <t>ETP_CAPEX_NATIONAL_TOT_ISDND_2021</t>
  </si>
  <si>
    <t>0,00153203</t>
  </si>
  <si>
    <t>ETP_CAPEX_NATIONAL_TOT_ISDND_2022</t>
  </si>
  <si>
    <t>0,001508693</t>
  </si>
  <si>
    <t>ETP_CAPEX_NATIONAL_TOT_ISDND_2023</t>
  </si>
  <si>
    <t>0,001485549</t>
  </si>
  <si>
    <t>ETP_CAPEX_NATIONAL_TOT_ISDND_2024</t>
  </si>
  <si>
    <t>0,001462599</t>
  </si>
  <si>
    <t>ETP_CAPEX_NATIONAL_TOT_ISDND_2025</t>
  </si>
  <si>
    <t>0,00143984</t>
  </si>
  <si>
    <t>ETP_CAPEX_NATIONAL_TOT_ISDND_2026</t>
  </si>
  <si>
    <t>0,001417272</t>
  </si>
  <si>
    <t>ETP_CAPEX_NATIONAL_TOT_ISDND_2027</t>
  </si>
  <si>
    <t>0,001394892</t>
  </si>
  <si>
    <t>ETP_CAPEX_NATIONAL_TOT_ISDND_2028</t>
  </si>
  <si>
    <t>0,0013727</t>
  </si>
  <si>
    <t>ETP_CAPEX_NATIONAL_TOT_ISDND_2029</t>
  </si>
  <si>
    <t>0,001350694</t>
  </si>
  <si>
    <t>ETP_CAPEX_NATIONAL_TOT_ISDND_2030</t>
  </si>
  <si>
    <t>0,001328874</t>
  </si>
  <si>
    <t>ETP_CAPEX_NATIONAL_TOT_STEP_2019</t>
  </si>
  <si>
    <t>0,008419181</t>
  </si>
  <si>
    <t>ETP_CAPEX_NATIONAL_TOT_STEP_2020</t>
  </si>
  <si>
    <t>0,008292676</t>
  </si>
  <si>
    <t>ETP_CAPEX_NATIONAL_TOT_STEP_2021</t>
  </si>
  <si>
    <t>0,00816722</t>
  </si>
  <si>
    <t>ETP_CAPEX_NATIONAL_TOT_STEP_2022</t>
  </si>
  <si>
    <t>0,008042808</t>
  </si>
  <si>
    <t>ETP_CAPEX_NATIONAL_TOT_STEP_2023</t>
  </si>
  <si>
    <t>0,007919432</t>
  </si>
  <si>
    <t>ETP_CAPEX_NATIONAL_TOT_STEP_2024</t>
  </si>
  <si>
    <t>0,007797084</t>
  </si>
  <si>
    <t>ETP_CAPEX_NATIONAL_TOT_STEP_2025</t>
  </si>
  <si>
    <t>0,007675757</t>
  </si>
  <si>
    <t>ETP_CAPEX_NATIONAL_TOT_STEP_2026</t>
  </si>
  <si>
    <t>0,007555445</t>
  </si>
  <si>
    <t>ETP_CAPEX_NATIONAL_TOT_STEP_2027</t>
  </si>
  <si>
    <t>0,00743614</t>
  </si>
  <si>
    <t>ETP_CAPEX_NATIONAL_TOT_STEP_2028</t>
  </si>
  <si>
    <t>0,007317835</t>
  </si>
  <si>
    <t>ETP_CAPEX_NATIONAL_TOT_STEP_2029</t>
  </si>
  <si>
    <t>0,007200523</t>
  </si>
  <si>
    <t>ETP_CAPEX_NATIONAL_TOT_STEP_2030</t>
  </si>
  <si>
    <t>0,007084197</t>
  </si>
  <si>
    <t>ETP_CAPEX_NATIONAL_DIRECT_AA_2019</t>
  </si>
  <si>
    <t>0,002392578</t>
  </si>
  <si>
    <t>ETP_CAPEX_NATIONAL_DIRECT_AA_2020</t>
  </si>
  <si>
    <t>0,002356627</t>
  </si>
  <si>
    <t>ETP_CAPEX_NATIONAL_DIRECT_AA_2021</t>
  </si>
  <si>
    <t>0,002320975</t>
  </si>
  <si>
    <t>ETP_CAPEX_NATIONAL_DIRECT_AA_2022</t>
  </si>
  <si>
    <t>0,002285619</t>
  </si>
  <si>
    <t>ETP_CAPEX_NATIONAL_DIRECT_AA_2023</t>
  </si>
  <si>
    <t>0,002250558</t>
  </si>
  <si>
    <t>ETP_CAPEX_NATIONAL_DIRECT_AA_2024</t>
  </si>
  <si>
    <t>0,002215789</t>
  </si>
  <si>
    <t>ETP_CAPEX_NATIONAL_DIRECT_AA_2025</t>
  </si>
  <si>
    <t>0,00218131</t>
  </si>
  <si>
    <t>ETP_CAPEX_NATIONAL_DIRECT_AA_2026</t>
  </si>
  <si>
    <t>0,00214712</t>
  </si>
  <si>
    <t>ETP_CAPEX_NATIONAL_DIRECT_AA_2027</t>
  </si>
  <si>
    <t>0,002113215</t>
  </si>
  <si>
    <t>ETP_CAPEX_NATIONAL_DIRECT_AA_2028</t>
  </si>
  <si>
    <t>0,002079595</t>
  </si>
  <si>
    <t>ETP_CAPEX_NATIONAL_DIRECT_AA_2029</t>
  </si>
  <si>
    <t>0,002046257</t>
  </si>
  <si>
    <t>ETP_CAPEX_NATIONAL_DIRECT_AA_2030</t>
  </si>
  <si>
    <t>0,0020132</t>
  </si>
  <si>
    <t>ETP_CAPEX_NATIONAL_DIRECT_AT_2019</t>
  </si>
  <si>
    <t>0,00176055</t>
  </si>
  <si>
    <t>ETP_CAPEX_NATIONAL_DIRECT_AT_2020</t>
  </si>
  <si>
    <t>0,001734096</t>
  </si>
  <si>
    <t>ETP_CAPEX_NATIONAL_DIRECT_AT_2021</t>
  </si>
  <si>
    <t>0,001707862</t>
  </si>
  <si>
    <t>ETP_CAPEX_NATIONAL_DIRECT_AT_2022</t>
  </si>
  <si>
    <t>0,001681846</t>
  </si>
  <si>
    <t>ETP_CAPEX_NATIONAL_DIRECT_AT_2023</t>
  </si>
  <si>
    <t>0,001656047</t>
  </si>
  <si>
    <t>ETP_CAPEX_NATIONAL_DIRECT_AT_2024</t>
  </si>
  <si>
    <t>0,001630462</t>
  </si>
  <si>
    <t>ETP_CAPEX_NATIONAL_DIRECT_AT_2025</t>
  </si>
  <si>
    <t>0,001605091</t>
  </si>
  <si>
    <t>ETP_CAPEX_NATIONAL_DIRECT_AT_2026</t>
  </si>
  <si>
    <t>0,001579933</t>
  </si>
  <si>
    <t>ETP_CAPEX_NATIONAL_DIRECT_AT_2027</t>
  </si>
  <si>
    <t>0,001554985</t>
  </si>
  <si>
    <t>ETP_CAPEX_NATIONAL_DIRECT_AT_2028</t>
  </si>
  <si>
    <t>0,001530246</t>
  </si>
  <si>
    <t>ETP_CAPEX_NATIONAL_DIRECT_AT_2029</t>
  </si>
  <si>
    <t>0,001505714</t>
  </si>
  <si>
    <t>ETP_CAPEX_NATIONAL_DIRECT_AT_2030</t>
  </si>
  <si>
    <t>0,001481389</t>
  </si>
  <si>
    <t>ETP_CAPEX_NATIONAL_DIRECT_IT_2019</t>
  </si>
  <si>
    <t>0,001608071</t>
  </si>
  <si>
    <t>ETP_CAPEX_NATIONAL_DIRECT_IT_2020</t>
  </si>
  <si>
    <t>0,001583908</t>
  </si>
  <si>
    <t>ETP_CAPEX_NATIONAL_DIRECT_IT_2021</t>
  </si>
  <si>
    <t>0,001559946</t>
  </si>
  <si>
    <t>ETP_CAPEX_NATIONAL_DIRECT_IT_2022</t>
  </si>
  <si>
    <t>0,001536184</t>
  </si>
  <si>
    <t>ETP_CAPEX_NATIONAL_DIRECT_IT_2023</t>
  </si>
  <si>
    <t>0,001512619</t>
  </si>
  <si>
    <t>ETP_CAPEX_NATIONAL_DIRECT_IT_2024</t>
  </si>
  <si>
    <t>0,00148925</t>
  </si>
  <si>
    <t>ETP_CAPEX_NATIONAL_DIRECT_IT_2025</t>
  </si>
  <si>
    <t>0,001466076</t>
  </si>
  <si>
    <t>ETP_CAPEX_NATIONAL_DIRECT_IT_2026</t>
  </si>
  <si>
    <t>0,001443097</t>
  </si>
  <si>
    <t>ETP_CAPEX_NATIONAL_DIRECT_IT_2027</t>
  </si>
  <si>
    <t>0,001420309</t>
  </si>
  <si>
    <t>ETP_CAPEX_NATIONAL_DIRECT_IT_2028</t>
  </si>
  <si>
    <t>0,001397713</t>
  </si>
  <si>
    <t>ETP_CAPEX_NATIONAL_DIRECT_IT_2029</t>
  </si>
  <si>
    <t>0,001375306</t>
  </si>
  <si>
    <t>ETP_CAPEX_NATIONAL_DIRECT_IT_2030</t>
  </si>
  <si>
    <t>0,001353088</t>
  </si>
  <si>
    <t>ETP_CAPEX_NATIONAL_DIRECT_BIOD_2019</t>
  </si>
  <si>
    <t>0,001755645</t>
  </si>
  <si>
    <t>ETP_CAPEX_NATIONAL_DIRECT_BIOD_2020</t>
  </si>
  <si>
    <t>0,001729265</t>
  </si>
  <si>
    <t>ETP_CAPEX_NATIONAL_DIRECT_BIOD_2021</t>
  </si>
  <si>
    <t>0,001703104</t>
  </si>
  <si>
    <t>ETP_CAPEX_NATIONAL_DIRECT_BIOD_2022</t>
  </si>
  <si>
    <t>0,00167716</t>
  </si>
  <si>
    <t>ETP_CAPEX_NATIONAL_DIRECT_BIOD_2023</t>
  </si>
  <si>
    <t>0,001651433</t>
  </si>
  <si>
    <t>ETP_CAPEX_NATIONAL_DIRECT_BIOD_2024</t>
  </si>
  <si>
    <t>0,00162592</t>
  </si>
  <si>
    <t>ETP_CAPEX_NATIONAL_DIRECT_BIOD_2025</t>
  </si>
  <si>
    <t>0,001600619</t>
  </si>
  <si>
    <t>ETP_CAPEX_NATIONAL_DIRECT_BIOD_2026</t>
  </si>
  <si>
    <t>0,001575531</t>
  </si>
  <si>
    <t>ETP_CAPEX_NATIONAL_DIRECT_BIOD_2027</t>
  </si>
  <si>
    <t>0,001550652</t>
  </si>
  <si>
    <t>ETP_CAPEX_NATIONAL_DIRECT_BIOD_2028</t>
  </si>
  <si>
    <t>0,001525982</t>
  </si>
  <si>
    <t>ETP_CAPEX_NATIONAL_DIRECT_BIOD_2029</t>
  </si>
  <si>
    <t>0,001501519</t>
  </si>
  <si>
    <t>ETP_CAPEX_NATIONAL_DIRECT_BIOD_2030</t>
  </si>
  <si>
    <t>0,001477262</t>
  </si>
  <si>
    <t>ETP_CAPEX_NATIONAL_DIRECT_ISDND_2019</t>
  </si>
  <si>
    <t>0,000815682</t>
  </si>
  <si>
    <t>ETP_CAPEX_NATIONAL_DIRECT_ISDND_2020</t>
  </si>
  <si>
    <t>0,000803426</t>
  </si>
  <si>
    <t>ETP_CAPEX_NATIONAL_DIRECT_ISDND_2021</t>
  </si>
  <si>
    <t>0,000791271</t>
  </si>
  <si>
    <t>ETP_CAPEX_NATIONAL_DIRECT_ISDND_2022</t>
  </si>
  <si>
    <t>0,000779218</t>
  </si>
  <si>
    <t>ETP_CAPEX_NATIONAL_DIRECT_ISDND_2023</t>
  </si>
  <si>
    <t>0,000767265</t>
  </si>
  <si>
    <t>ETP_CAPEX_NATIONAL_DIRECT_ISDND_2024</t>
  </si>
  <si>
    <t>0,000755411</t>
  </si>
  <si>
    <t>ETP_CAPEX_NATIONAL_DIRECT_ISDND_2025</t>
  </si>
  <si>
    <t>0,000743657</t>
  </si>
  <si>
    <t>ETP_CAPEX_NATIONAL_DIRECT_ISDND_2026</t>
  </si>
  <si>
    <t>0,000732</t>
  </si>
  <si>
    <t>ETP_CAPEX_NATIONAL_DIRECT_ISDND_2027</t>
  </si>
  <si>
    <t>0,000720442</t>
  </si>
  <si>
    <t>ETP_CAPEX_NATIONAL_DIRECT_ISDND_2028</t>
  </si>
  <si>
    <t>0,00070898</t>
  </si>
  <si>
    <t>ETP_CAPEX_NATIONAL_DIRECT_ISDND_2029</t>
  </si>
  <si>
    <t>0,000697614</t>
  </si>
  <si>
    <t>ETP_CAPEX_NATIONAL_DIRECT_ISDND_2030</t>
  </si>
  <si>
    <t>0,000686344</t>
  </si>
  <si>
    <t>ETP_CAPEX_NATIONAL_DIRECT_STEP_2019</t>
  </si>
  <si>
    <t>0,004152033</t>
  </si>
  <si>
    <t>ETP_CAPEX_NATIONAL_DIRECT_STEP_2020</t>
  </si>
  <si>
    <t>0,004089645</t>
  </si>
  <si>
    <t>ETP_CAPEX_NATIONAL_DIRECT_STEP_2021</t>
  </si>
  <si>
    <t>0,004027775</t>
  </si>
  <si>
    <t>ETP_CAPEX_NATIONAL_DIRECT_STEP_2022</t>
  </si>
  <si>
    <t>0,00396642</t>
  </si>
  <si>
    <t>ETP_CAPEX_NATIONAL_DIRECT_STEP_2023</t>
  </si>
  <si>
    <t>0,003905575</t>
  </si>
  <si>
    <t>ETP_CAPEX_NATIONAL_DIRECT_STEP_2024</t>
  </si>
  <si>
    <t>0,003845238</t>
  </si>
  <si>
    <t>ETP_CAPEX_NATIONAL_DIRECT_STEP_2025</t>
  </si>
  <si>
    <t>0,003785404</t>
  </si>
  <si>
    <t>ETP_CAPEX_NATIONAL_DIRECT_STEP_2026</t>
  </si>
  <si>
    <t>0,00372607</t>
  </si>
  <si>
    <t>ETP_CAPEX_NATIONAL_DIRECT_STEP_2027</t>
  </si>
  <si>
    <t>0,003667233</t>
  </si>
  <si>
    <t>ETP_CAPEX_NATIONAL_DIRECT_STEP_2028</t>
  </si>
  <si>
    <t>0,003608889</t>
  </si>
  <si>
    <t>ETP_CAPEX_NATIONAL_DIRECT_STEP_2029</t>
  </si>
  <si>
    <t>0,003551036</t>
  </si>
  <si>
    <t>ETP_CAPEX_NATIONAL_DIRECT_STEP_2030</t>
  </si>
  <si>
    <t>0,003493668</t>
  </si>
  <si>
    <t>ETP_CAPEX_LOCAL_DIRECT_AA_2019</t>
  </si>
  <si>
    <t>0,001331742</t>
  </si>
  <si>
    <t>ETP_CAPEX_LOCAL_DIRECT_AA_2020</t>
  </si>
  <si>
    <t>0,001311732</t>
  </si>
  <si>
    <t>ETP_CAPEX_LOCAL_DIRECT_AA_2021</t>
  </si>
  <si>
    <t>0,001291887</t>
  </si>
  <si>
    <t>ETP_CAPEX_LOCAL_DIRECT_AA_2022</t>
  </si>
  <si>
    <t>0,001272208</t>
  </si>
  <si>
    <t>ETP_CAPEX_LOCAL_DIRECT_AA_2023</t>
  </si>
  <si>
    <t>0,001252692</t>
  </si>
  <si>
    <t>ETP_CAPEX_LOCAL_DIRECT_AA_2024</t>
  </si>
  <si>
    <t>0,001233339</t>
  </si>
  <si>
    <t>ETP_CAPEX_LOCAL_DIRECT_AA_2025</t>
  </si>
  <si>
    <t>0,001214148</t>
  </si>
  <si>
    <t>ETP_CAPEX_LOCAL_DIRECT_AA_2026</t>
  </si>
  <si>
    <t>0,001195117</t>
  </si>
  <si>
    <t>ETP_CAPEX_LOCAL_DIRECT_AA_2027</t>
  </si>
  <si>
    <t>0,001176245</t>
  </si>
  <si>
    <t>ETP_CAPEX_LOCAL_DIRECT_AA_2028</t>
  </si>
  <si>
    <t>0,001157532</t>
  </si>
  <si>
    <t>ETP_CAPEX_LOCAL_DIRECT_AA_2029</t>
  </si>
  <si>
    <t>0,001138976</t>
  </si>
  <si>
    <t>ETP_CAPEX_LOCAL_DIRECT_AA_2030</t>
  </si>
  <si>
    <t>0,001120575</t>
  </si>
  <si>
    <t>ETP_CAPEX_LOCAL_DIRECT_AT_2019</t>
  </si>
  <si>
    <t>0,000964727</t>
  </si>
  <si>
    <t>ETP_CAPEX_LOCAL_DIRECT_AT_2020</t>
  </si>
  <si>
    <t>0,000950232</t>
  </si>
  <si>
    <t>ETP_CAPEX_LOCAL_DIRECT_AT_2021</t>
  </si>
  <si>
    <t>0,000935856</t>
  </si>
  <si>
    <t>ETP_CAPEX_LOCAL_DIRECT_AT_2022</t>
  </si>
  <si>
    <t>0,0009216</t>
  </si>
  <si>
    <t>ETP_CAPEX_LOCAL_DIRECT_AT_2023</t>
  </si>
  <si>
    <t>0,000907463</t>
  </si>
  <si>
    <t>ETP_CAPEX_LOCAL_DIRECT_AT_2024</t>
  </si>
  <si>
    <t>0,000893443</t>
  </si>
  <si>
    <t>ETP_CAPEX_LOCAL_DIRECT_AT_2025</t>
  </si>
  <si>
    <t>0,000879541</t>
  </si>
  <si>
    <t>ETP_CAPEX_LOCAL_DIRECT_AT_2026</t>
  </si>
  <si>
    <t>0,000865755</t>
  </si>
  <si>
    <t>ETP_CAPEX_LOCAL_DIRECT_AT_2027</t>
  </si>
  <si>
    <t>0,000852084</t>
  </si>
  <si>
    <t>ETP_CAPEX_LOCAL_DIRECT_AT_2028</t>
  </si>
  <si>
    <t>0,000838528</t>
  </si>
  <si>
    <t>ETP_CAPEX_LOCAL_DIRECT_AT_2029</t>
  </si>
  <si>
    <t>0,000825085</t>
  </si>
  <si>
    <t>ETP_CAPEX_LOCAL_DIRECT_AT_2030</t>
  </si>
  <si>
    <t>0,000811756</t>
  </si>
  <si>
    <t>ETP_CAPEX_LOCAL_DIRECT_IT_2019</t>
  </si>
  <si>
    <t>0,000876195</t>
  </si>
  <si>
    <t>ETP_CAPEX_LOCAL_DIRECT_IT_2020</t>
  </si>
  <si>
    <t>0,000863029</t>
  </si>
  <si>
    <t>ETP_CAPEX_LOCAL_DIRECT_IT_2021</t>
  </si>
  <si>
    <t>0,000849973</t>
  </si>
  <si>
    <t>ETP_CAPEX_LOCAL_DIRECT_IT_2022</t>
  </si>
  <si>
    <t>0,000837025</t>
  </si>
  <si>
    <t>ETP_CAPEX_LOCAL_DIRECT_IT_2023</t>
  </si>
  <si>
    <t>0,000824185</t>
  </si>
  <si>
    <t>ETP_CAPEX_LOCAL_DIRECT_IT_2024</t>
  </si>
  <si>
    <t>0,000811452</t>
  </si>
  <si>
    <t>ETP_CAPEX_LOCAL_DIRECT_IT_2025</t>
  </si>
  <si>
    <t>0,000798826</t>
  </si>
  <si>
    <t>ETP_CAPEX_LOCAL_DIRECT_IT_2026</t>
  </si>
  <si>
    <t>0,000786305</t>
  </si>
  <si>
    <t>ETP_CAPEX_LOCAL_DIRECT_IT_2027</t>
  </si>
  <si>
    <t>0,000773889</t>
  </si>
  <si>
    <t>ETP_CAPEX_LOCAL_DIRECT_IT_2028</t>
  </si>
  <si>
    <t>0,000761576</t>
  </si>
  <si>
    <t>ETP_CAPEX_LOCAL_DIRECT_IT_2029</t>
  </si>
  <si>
    <t>0,000749368</t>
  </si>
  <si>
    <t>ETP_CAPEX_LOCAL_DIRECT_IT_2030</t>
  </si>
  <si>
    <t>0,000737261</t>
  </si>
  <si>
    <t>ETP_CAPEX_LOCAL_DIRECT_BIOD_2019</t>
  </si>
  <si>
    <t>0,00096449</t>
  </si>
  <si>
    <t>ETP_CAPEX_LOCAL_DIRECT_BIOD_2020</t>
  </si>
  <si>
    <t>0,000949997</t>
  </si>
  <si>
    <t>ETP_CAPEX_LOCAL_DIRECT_BIOD_2021</t>
  </si>
  <si>
    <t>0,000935625</t>
  </si>
  <si>
    <t>ETP_CAPEX_LOCAL_DIRECT_BIOD_2022</t>
  </si>
  <si>
    <t>0,000921373</t>
  </si>
  <si>
    <t>ETP_CAPEX_LOCAL_DIRECT_BIOD_2023</t>
  </si>
  <si>
    <t>0,000907239</t>
  </si>
  <si>
    <t>ETP_CAPEX_LOCAL_DIRECT_BIOD_2024</t>
  </si>
  <si>
    <t>0,000893223</t>
  </si>
  <si>
    <t>ETP_CAPEX_LOCAL_DIRECT_BIOD_2025</t>
  </si>
  <si>
    <t>0,000879324</t>
  </si>
  <si>
    <t>ETP_CAPEX_LOCAL_DIRECT_BIOD_2026</t>
  </si>
  <si>
    <t>0,000865541</t>
  </si>
  <si>
    <t>ETP_CAPEX_LOCAL_DIRECT_BIOD_2027</t>
  </si>
  <si>
    <t>0,000851874</t>
  </si>
  <si>
    <t>ETP_CAPEX_LOCAL_DIRECT_BIOD_2028</t>
  </si>
  <si>
    <t>0,000838321</t>
  </si>
  <si>
    <t>ETP_CAPEX_LOCAL_DIRECT_BIOD_2029</t>
  </si>
  <si>
    <t>0,000824882</t>
  </si>
  <si>
    <t>ETP_CAPEX_LOCAL_DIRECT_BIOD_2030</t>
  </si>
  <si>
    <t>0,000811556</t>
  </si>
  <si>
    <t>ETP_CAPEX_LOCAL_DIRECT_ISDND_2019</t>
  </si>
  <si>
    <t>0,000506081</t>
  </si>
  <si>
    <t>ETP_CAPEX_LOCAL_DIRECT_ISDND_2020</t>
  </si>
  <si>
    <t>0,000498477</t>
  </si>
  <si>
    <t>ETP_CAPEX_LOCAL_DIRECT_ISDND_2021</t>
  </si>
  <si>
    <t>0,000490935</t>
  </si>
  <si>
    <t>ETP_CAPEX_LOCAL_DIRECT_ISDND_2022</t>
  </si>
  <si>
    <t>0,000483457</t>
  </si>
  <si>
    <t>ETP_CAPEX_LOCAL_DIRECT_ISDND_2023</t>
  </si>
  <si>
    <t>0,000476041</t>
  </si>
  <si>
    <t>ETP_CAPEX_LOCAL_DIRECT_ISDND_2024</t>
  </si>
  <si>
    <t>0,000468686</t>
  </si>
  <si>
    <t>ETP_CAPEX_LOCAL_DIRECT_ISDND_2025</t>
  </si>
  <si>
    <t>0,000461393</t>
  </si>
  <si>
    <t>ETP_CAPEX_LOCAL_DIRECT_ISDND_2026</t>
  </si>
  <si>
    <t>0,000454161</t>
  </si>
  <si>
    <t>ETP_CAPEX_LOCAL_DIRECT_ISDND_2027</t>
  </si>
  <si>
    <t>0,00044699</t>
  </si>
  <si>
    <t>ETP_CAPEX_LOCAL_DIRECT_ISDND_2028</t>
  </si>
  <si>
    <t>0,000439878</t>
  </si>
  <si>
    <t>ETP_CAPEX_LOCAL_DIRECT_ISDND_2029</t>
  </si>
  <si>
    <t>0,000432827</t>
  </si>
  <si>
    <t>ETP_CAPEX_LOCAL_DIRECT_ISDND_2030</t>
  </si>
  <si>
    <t>0,000425834</t>
  </si>
  <si>
    <t>ETP_CAPEX_LOCAL_DIRECT_STEP_2019</t>
  </si>
  <si>
    <t>0,002223081</t>
  </si>
  <si>
    <t>ETP_CAPEX_LOCAL_DIRECT_STEP_2020</t>
  </si>
  <si>
    <t>0,002189678</t>
  </si>
  <si>
    <t>ETP_CAPEX_LOCAL_DIRECT_STEP_2021</t>
  </si>
  <si>
    <t>0,002156551</t>
  </si>
  <si>
    <t>ETP_CAPEX_LOCAL_DIRECT_STEP_2022</t>
  </si>
  <si>
    <t>0,0021237</t>
  </si>
  <si>
    <t>ETP_CAPEX_LOCAL_DIRECT_STEP_2023</t>
  </si>
  <si>
    <t>0,002091123</t>
  </si>
  <si>
    <t>ETP_CAPEX_LOCAL_DIRECT_STEP_2024</t>
  </si>
  <si>
    <t>0,002058817</t>
  </si>
  <si>
    <t>ETP_CAPEX_LOCAL_DIRECT_STEP_2025</t>
  </si>
  <si>
    <t>0,002026781</t>
  </si>
  <si>
    <t>ETP_CAPEX_LOCAL_DIRECT_STEP_2026</t>
  </si>
  <si>
    <t>0,001995012</t>
  </si>
  <si>
    <t>ETP_CAPEX_LOCAL_DIRECT_STEP_2027</t>
  </si>
  <si>
    <t>0,00196351</t>
  </si>
  <si>
    <t>ETP_CAPEX_LOCAL_DIRECT_STEP_2028</t>
  </si>
  <si>
    <t>0,001932271</t>
  </si>
  <si>
    <t>ETP_CAPEX_LOCAL_DIRECT_STEP_2029</t>
  </si>
  <si>
    <t>0,001901295</t>
  </si>
  <si>
    <t>ETP_CAPEX_LOCAL_DIRECT_STEP_2030</t>
  </si>
  <si>
    <t>0,00187058</t>
  </si>
  <si>
    <t>ENR_SITE_AA_RESIDUS</t>
  </si>
  <si>
    <t>0,5</t>
  </si>
  <si>
    <t>ENR_SITE_AA_BIODECHET</t>
  </si>
  <si>
    <t>0,05</t>
  </si>
  <si>
    <t>ENR_SITE_AA_CIMSE</t>
  </si>
  <si>
    <t>ENR_SITE_AA_HERBE</t>
  </si>
  <si>
    <t>ENR_SITE_AA_IAA</t>
  </si>
  <si>
    <t>ENR_SITE_AA_DEJEC</t>
  </si>
  <si>
    <t>ENR_SITE_AT_RESIDUS</t>
  </si>
  <si>
    <t>ENR_SITE_AT_BIODECHET</t>
  </si>
  <si>
    <t>0,2</t>
  </si>
  <si>
    <t>ENR_SITE_AT_CIMSE</t>
  </si>
  <si>
    <t>ENR_SITE_AT_HERBE</t>
  </si>
  <si>
    <t>ENR_SITE_AT_IAA</t>
  </si>
  <si>
    <t>0,1</t>
  </si>
  <si>
    <t>ENR_SITE_AT_DEJEC</t>
  </si>
  <si>
    <t>ENR_SITE_BIODECHET_RESIDUS</t>
  </si>
  <si>
    <t>ENR_SITE_BIODECHET_BIODECHET</t>
  </si>
  <si>
    <t>0,6</t>
  </si>
  <si>
    <t>ENR_SITE_BIODECHET_CIMSE</t>
  </si>
  <si>
    <t>ENR_SITE_BIODECHET_HERBE</t>
  </si>
  <si>
    <t>ENR_SITE_BIODECHET_IAA</t>
  </si>
  <si>
    <t>ENR_SITE_BIODECHET_DEJEC</t>
  </si>
  <si>
    <t>ENR_SITE_IT_RESIDUS</t>
  </si>
  <si>
    <t>ENR_SITE_IT_BIODECHET</t>
  </si>
  <si>
    <t>ENR_SITE_IT_CIMSE</t>
  </si>
  <si>
    <t>ENR_SITE_IT_HERBE</t>
  </si>
  <si>
    <t>ENR_SITE_IT_IAA</t>
  </si>
  <si>
    <t>0,8</t>
  </si>
  <si>
    <t>ENR_SITE_IT_DEJEC</t>
  </si>
  <si>
    <t>ENR_SITE_ISNDN_RESIDUS</t>
  </si>
  <si>
    <t>ENR_SITE_ISNDN_BIODECHET</t>
  </si>
  <si>
    <t>ENR_SITE_ISNDN_CIMSE</t>
  </si>
  <si>
    <t>ENR_SITE_ISNDN_HERBE</t>
  </si>
  <si>
    <t>ENR_SITE_ISNDN_IAA</t>
  </si>
  <si>
    <t>ENR_SITE_ISNDN_DEJEC</t>
  </si>
  <si>
    <t>ENR_SITE_STEP_RESIDUS</t>
  </si>
  <si>
    <t>ENR_SITE_STEP_BIODECHET</t>
  </si>
  <si>
    <t>ENR_SITE_STEP_CIMSE</t>
  </si>
  <si>
    <t>ENR_SITE_STEP_HERBE</t>
  </si>
  <si>
    <t>ENR_SITE_STEP_IAA</t>
  </si>
  <si>
    <t>ENR_SITE_STEP_DEJEC</t>
  </si>
  <si>
    <t>ENR_INTR_RESIDUS_AA</t>
  </si>
  <si>
    <t>ENR_INTR_RESIDUS_AT</t>
  </si>
  <si>
    <t>ENR_INTR_RESIDUS_IT</t>
  </si>
  <si>
    <t>ENR_INTR_BIODECHETS_AA</t>
  </si>
  <si>
    <t>ENR_INTR_BIODECHETS_AT</t>
  </si>
  <si>
    <t>ENR_INTR_BIODECHETS_IT</t>
  </si>
  <si>
    <t>ENR_INTR_CIMSE_AA</t>
  </si>
  <si>
    <t>ENR_INTR_CIMSE_AT</t>
  </si>
  <si>
    <t>ENR_INTR_CIMSE_IT</t>
  </si>
  <si>
    <t>ENR_INTR_IAA_AA</t>
  </si>
  <si>
    <t>ENR_INTR_IAA_AT</t>
  </si>
  <si>
    <t>ENR_INTR_IAA_IT</t>
  </si>
  <si>
    <t>ENR_INTR_DEJECTION_AA</t>
  </si>
  <si>
    <t>0,45</t>
  </si>
  <si>
    <t>ENR_INTR_DEJECTION_AT</t>
  </si>
  <si>
    <t>ENR_INTR_DEJECTION_IT</t>
  </si>
  <si>
    <t>ENR_POT_RESIDUS</t>
  </si>
  <si>
    <t>1403,38</t>
  </si>
  <si>
    <t>ENR_POT_BIODECHETS</t>
  </si>
  <si>
    <t>726,67</t>
  </si>
  <si>
    <t>ENR_POT_CIMSE</t>
  </si>
  <si>
    <t>ENR_POT_IAA</t>
  </si>
  <si>
    <t>1711,3</t>
  </si>
  <si>
    <t>ENR_POT_STEP</t>
  </si>
  <si>
    <t>381,5</t>
  </si>
  <si>
    <t>ENR_POT_DEJECTION</t>
  </si>
  <si>
    <t>559,53</t>
  </si>
  <si>
    <t>ENR_POT_HERBES</t>
  </si>
  <si>
    <t>2267,2</t>
  </si>
  <si>
    <t>ENR_POURCENT_DIGESTAT</t>
  </si>
  <si>
    <t>0,92</t>
  </si>
  <si>
    <t>Equipes biométhane</t>
  </si>
  <si>
    <t>ENR_POURCENT_ENGRAIS</t>
  </si>
  <si>
    <t>ENR_TENEUR_N</t>
  </si>
  <si>
    <t>0,0025</t>
  </si>
  <si>
    <t>Coefficients incorrects amené à disparaître et àªtre remplacés par un autre après la mise en place du nouveau calcul engrais</t>
  </si>
  <si>
    <t>ENR_TENEUR_PK</t>
  </si>
  <si>
    <t>0,212</t>
  </si>
  <si>
    <t>ANC_CVAE_EPCI</t>
  </si>
  <si>
    <t>0,53</t>
  </si>
  <si>
    <t>Changement 2021</t>
  </si>
  <si>
    <t>ANC_CVAE_DPT</t>
  </si>
  <si>
    <t>0,47</t>
  </si>
  <si>
    <t>ANC_CVAE_REGION</t>
  </si>
  <si>
    <t>GNV_FE_CO2_BIOGAZ</t>
  </si>
  <si>
    <t>0,0424</t>
  </si>
  <si>
    <t>facteur d'émission de CO2 du biogaz</t>
  </si>
  <si>
    <t>GNV_CONSO_MWH_PCS_BOM</t>
  </si>
  <si>
    <t>184</t>
  </si>
  <si>
    <t>0.92</t>
  </si>
  <si>
    <t>TEC_IMPORTS_TXREJETS_GENE</t>
  </si>
  <si>
    <t>0.05</t>
  </si>
  <si>
    <t>TEC_IMPORTS_NBFICHIERS_GENE_GRP</t>
  </si>
  <si>
    <t>3</t>
  </si>
  <si>
    <t>TEC_IMPORTS_NBFICHIERS_GENE_PYRAMID</t>
  </si>
  <si>
    <t>TEC_IMPORTS_NBFICHIERS_GENE_STATIONSGNV</t>
  </si>
  <si>
    <t>TEC_IMPORTS_NBFICHIERS_GENE_POINTSBIOMETHANE</t>
  </si>
  <si>
    <t>TEC_IMPORTS_NBFICHIERS_GENE_MAJ_DEP_UTILISATEURS</t>
  </si>
  <si>
    <t>TEC_IMPORTS_LOG_DETAILLEE</t>
  </si>
  <si>
    <t>BIOD_MENAGES_PRODANNUELLE</t>
  </si>
  <si>
    <t>86</t>
  </si>
  <si>
    <t>BIOD_MENAGES_PARTGISEMENT</t>
  </si>
  <si>
    <t>BIOD_MENAGES_POTMETHANOGENE</t>
  </si>
  <si>
    <t>95</t>
  </si>
  <si>
    <t>BIOD_DECHETSVERTS_PARTGISEMENT</t>
  </si>
  <si>
    <t>BIOD_DECHETSVERTS_POTMETHANOGENE</t>
  </si>
  <si>
    <t>81</t>
  </si>
  <si>
    <t>BIOD_MARCHES_PRODPARHAB</t>
  </si>
  <si>
    <t>2,1</t>
  </si>
  <si>
    <t>BIOD_MARCHES_PRODPARMIN</t>
  </si>
  <si>
    <t>1052,632</t>
  </si>
  <si>
    <t>BIOD_MARCHES_PARTGISEMENT</t>
  </si>
  <si>
    <t>BIOD_MARCHES_POTMETHANOGENE</t>
  </si>
  <si>
    <t>44</t>
  </si>
  <si>
    <t>BIOD_RESTAUCOMM_TRADI_PRODANNUELLE</t>
  </si>
  <si>
    <t>4643</t>
  </si>
  <si>
    <t>BIOD_RESTAUCOMM_TRADI_PARTGISEMENT</t>
  </si>
  <si>
    <t>0,33</t>
  </si>
  <si>
    <t>BIOD_RESTAUCOMM_TRADI_POTMETHANOGENE</t>
  </si>
  <si>
    <t>63</t>
  </si>
  <si>
    <t>BIOD_RESTAUCOMM_RAPIDE_PRODANNUELLE</t>
  </si>
  <si>
    <t>3445</t>
  </si>
  <si>
    <t>BIOD_RESTAUCOMM_RAPIDE_PARTGISEMENT</t>
  </si>
  <si>
    <t>BIOD_RESTAUCOMM_RAPIDE_POTMETHANOGENE</t>
  </si>
  <si>
    <t>BIOD_RESTSCO_ECOLE_1_PRODANNUELLE</t>
  </si>
  <si>
    <t>12</t>
  </si>
  <si>
    <t>BIOD_RESTSCO_ECOLE_1_PARTGISEMENT</t>
  </si>
  <si>
    <t>BIOD_RESTSCO_ECOLE_1_POTMETHANOGENE</t>
  </si>
  <si>
    <t>BIOD_RESTSCO_ECOLE_2_PRODANNUELLE</t>
  </si>
  <si>
    <t>BIOD_RESTSCO_ECOLE_2_PARTGISEMENT</t>
  </si>
  <si>
    <t>BIOD_RESTSCO_ECOLE_2_POTMETHANOGENE</t>
  </si>
  <si>
    <t>BIOD_RESTSCO_ECOLE_SUP_PRODANNUELLE</t>
  </si>
  <si>
    <t>BIOD_RESTSCO_ECOLE_SUP_PARTGISEMENT</t>
  </si>
  <si>
    <t>BIOD_RESTSCO_ECOLE_SUP_POTMETHANOGENE</t>
  </si>
  <si>
    <t>BIOD_COMMERCES_PRODANNUELLE</t>
  </si>
  <si>
    <t>3646</t>
  </si>
  <si>
    <t>BIOD_COMMERCES_PARTGISEMENT</t>
  </si>
  <si>
    <t>BIOD_COMMERCES_POTMETHANOGENE</t>
  </si>
  <si>
    <t>BIOD_RESTAUHOSP_PRODANNUELLE</t>
  </si>
  <si>
    <t>BIOD_RESTAUHOSP_PARTGISEMENT</t>
  </si>
  <si>
    <t>BIOD_RESTAUHOSP_POTMETHANOGENE</t>
  </si>
  <si>
    <t>BIOD_GRANDEDISTRI_SUPERETTE_PRODANNUELLE</t>
  </si>
  <si>
    <t>4320</t>
  </si>
  <si>
    <t>BIOD_GRANDEDISTRI_SUPERETTE_PARTGISEMENT</t>
  </si>
  <si>
    <t>BIOD_GRANDEDISTRI_SUPERETTE_POTMETHANOGENE</t>
  </si>
  <si>
    <t>BIOD_GRANDEDISTRI_SUPER_PRODANNUELLE</t>
  </si>
  <si>
    <t>21680</t>
  </si>
  <si>
    <t>BIOD_GRANDEDISTRI_SUPER_PARTGISEMENT</t>
  </si>
  <si>
    <t>0,40</t>
  </si>
  <si>
    <t>BIOD_GRANDEDISTRI_SUPER_POTMETHANOGENE</t>
  </si>
  <si>
    <t>BIOD_GRANDEDISTRI_HYPER_PRODANNUELLE</t>
  </si>
  <si>
    <t>126980</t>
  </si>
  <si>
    <t>BIOD_GRANDEDISTRI_HYPER_PARTGISEMENT</t>
  </si>
  <si>
    <t>BIOD_GRANDEDISTRI_HYPER_POTMETHANOGENE</t>
  </si>
  <si>
    <t>BAT_RES_EMPLOIS_FR_CC</t>
  </si>
  <si>
    <t>0,050</t>
  </si>
  <si>
    <t>BAT_RES_EMPLOIS_FR_PAC</t>
  </si>
  <si>
    <t>0,079</t>
  </si>
  <si>
    <t>BAT_RES_EMPLOIS_LOC_CC</t>
  </si>
  <si>
    <t>0,047</t>
  </si>
  <si>
    <t>BAT_RES_EMPLOIS_LOC_PAC</t>
  </si>
  <si>
    <t>0,064</t>
  </si>
  <si>
    <t>BAT_RES_INVEST_FR_CC</t>
  </si>
  <si>
    <t>5000</t>
  </si>
  <si>
    <t>BAT_RES_INVEST_FR_PAC</t>
  </si>
  <si>
    <t>11000</t>
  </si>
  <si>
    <t>BAT_RES_INVEST_LOC_CC</t>
  </si>
  <si>
    <t>4000</t>
  </si>
  <si>
    <t>BAT_RES_INVEST_LOC_PAC</t>
  </si>
  <si>
    <t>8000</t>
  </si>
  <si>
    <t>ENR_DIG_PART_N</t>
  </si>
  <si>
    <t>0,00456</t>
  </si>
  <si>
    <t>ENR_DIG_PART_P2O5</t>
  </si>
  <si>
    <t>0,002</t>
  </si>
  <si>
    <t>ENR_DIG_PART_K2O</t>
  </si>
  <si>
    <t>0,0056</t>
  </si>
  <si>
    <t>ENR_DIG_PART_C</t>
  </si>
  <si>
    <t>0,0369</t>
  </si>
  <si>
    <t>ENR_TBASE_AA</t>
  </si>
  <si>
    <t>104</t>
  </si>
  <si>
    <t>ENR_TBASE_AT</t>
  </si>
  <si>
    <t>ENR_TBASE_IT</t>
  </si>
  <si>
    <t>88</t>
  </si>
  <si>
    <t>ENR_TBASE_BIOD</t>
  </si>
  <si>
    <t>ENR_TBASE_ISDND</t>
  </si>
  <si>
    <t>64</t>
  </si>
  <si>
    <t>ENR_TBASE_STEP</t>
  </si>
  <si>
    <t>115</t>
  </si>
  <si>
    <t>ENR_ENG_PART_N</t>
  </si>
  <si>
    <t>0,335</t>
  </si>
  <si>
    <t>ENR_ENG_PART_P2O5</t>
  </si>
  <si>
    <t>ENR_ENG_PART_K2O</t>
  </si>
  <si>
    <t>0,60</t>
  </si>
  <si>
    <t>ENR_PRIX_AMMO</t>
  </si>
  <si>
    <t>280</t>
  </si>
  <si>
    <t>ENR_PRIX_TRIPLESUPERPHOS_45</t>
  </si>
  <si>
    <t>320</t>
  </si>
  <si>
    <t>ENR_PRIX_KCL_60</t>
  </si>
  <si>
    <t>290</t>
  </si>
  <si>
    <t>ENR_PRIX_CARBONE</t>
  </si>
  <si>
    <t>60</t>
  </si>
  <si>
    <t>Profil</t>
  </si>
  <si>
    <t>Equipement initial</t>
  </si>
  <si>
    <t>Equipement final</t>
  </si>
  <si>
    <t>Gain (€)</t>
  </si>
  <si>
    <t>Chaudière standard de plus de 15 ans</t>
  </si>
  <si>
    <t>THPE + CESI</t>
  </si>
  <si>
    <r>
      <t>Bâtiment tertiaire (</t>
    </r>
    <r>
      <rPr>
        <b/>
        <sz val="11"/>
        <color theme="0"/>
        <rFont val="Arial"/>
        <family val="2"/>
        <scheme val="minor"/>
      </rPr>
      <t>moyen</t>
    </r>
    <r>
      <rPr>
        <sz val="11"/>
        <color theme="0"/>
        <rFont val="Arial"/>
        <family val="2"/>
        <scheme val="minor"/>
      </rPr>
      <t>)</t>
    </r>
  </si>
  <si>
    <r>
      <t>Bâtiment tertiaire (</t>
    </r>
    <r>
      <rPr>
        <b/>
        <sz val="11"/>
        <color theme="0"/>
        <rFont val="Arial"/>
        <family val="2"/>
        <scheme val="minor"/>
      </rPr>
      <t>grand</t>
    </r>
    <r>
      <rPr>
        <sz val="11"/>
        <color theme="0"/>
        <rFont val="Arial"/>
        <family val="2"/>
        <scheme val="minor"/>
      </rPr>
      <t>)</t>
    </r>
  </si>
  <si>
    <t>CAS TYPE MAISON - n°1</t>
  </si>
  <si>
    <t xml:space="preserve">Localisation </t>
  </si>
  <si>
    <t>Orléans</t>
  </si>
  <si>
    <t>Fiche résultat</t>
  </si>
  <si>
    <t>Superficie (m2)</t>
  </si>
  <si>
    <t xml:space="preserve">Solution initiale </t>
  </si>
  <si>
    <t xml:space="preserve">1. Comparaison à la solution initiale </t>
  </si>
  <si>
    <t>2. Comparaison à la solution concurrente</t>
  </si>
  <si>
    <t xml:space="preserve">Type d'équipement </t>
  </si>
  <si>
    <t>tCO2eq évitées / an</t>
  </si>
  <si>
    <t>Consommation (kWh/an)</t>
  </si>
  <si>
    <t>soit 3 500 km en voiture thermique</t>
  </si>
  <si>
    <t>Prix du kWh gaz (€)</t>
  </si>
  <si>
    <t>Facture annuelle (€)</t>
  </si>
  <si>
    <t>Solution finale</t>
  </si>
  <si>
    <t>Type d'équipement posé</t>
  </si>
  <si>
    <t>Chaudière à condensation - Très Haute Performance Energétique (THPE)</t>
  </si>
  <si>
    <t>€ économisés/an</t>
  </si>
  <si>
    <t>Consommation gaz (kWh/an)</t>
  </si>
  <si>
    <t>d'économies sur vos dépenses énergétiques</t>
  </si>
  <si>
    <t>Consommation élec (kWh/an)</t>
  </si>
  <si>
    <t>€/kgCO2 évitée</t>
  </si>
  <si>
    <t>Soit un gain énergétique de</t>
  </si>
  <si>
    <t>Prix du kWh élec (€)</t>
  </si>
  <si>
    <t>Facture d'énergie annuelle (€)</t>
  </si>
  <si>
    <t>Prix d'achat (fourniture + pose) (€)</t>
  </si>
  <si>
    <t>Solution concurrente = PAC A/E</t>
  </si>
  <si>
    <t>CAS TYPE MAISON - n°2</t>
  </si>
  <si>
    <t>Bordeaux</t>
  </si>
  <si>
    <t>PAC hybride (PAC Air/Eau + Chaudière THPE)</t>
  </si>
  <si>
    <t>CAS TYPE MAISON - n°3</t>
  </si>
  <si>
    <t>Soit 4 130 km en voiture thermique</t>
  </si>
  <si>
    <t>€/tCO2 évitée</t>
  </si>
  <si>
    <t>à compléter - conventions à poser</t>
  </si>
  <si>
    <t>Petite</t>
  </si>
  <si>
    <t>Grande</t>
  </si>
  <si>
    <t>Date de construction</t>
  </si>
  <si>
    <t>avant 1946</t>
  </si>
  <si>
    <r>
      <t xml:space="preserve">Surface </t>
    </r>
    <r>
      <rPr>
        <sz val="11"/>
        <color theme="1"/>
        <rFont val="Arial"/>
        <family val="2"/>
        <scheme val="minor"/>
      </rPr>
      <t>(en m2)</t>
    </r>
  </si>
  <si>
    <t>Localisation</t>
  </si>
  <si>
    <t>Lille</t>
  </si>
  <si>
    <t>Région</t>
  </si>
  <si>
    <t>Nord Ouest</t>
  </si>
  <si>
    <t>Nombre de personnes dans le foyer</t>
  </si>
  <si>
    <r>
      <t>Consommation annuelle moyenne</t>
    </r>
    <r>
      <rPr>
        <sz val="11"/>
        <color theme="1"/>
        <rFont val="Arial"/>
        <family val="2"/>
        <scheme val="minor"/>
      </rPr>
      <t xml:space="preserve"> (en kWh/an)</t>
    </r>
  </si>
  <si>
    <t xml:space="preserve">SCENARIOS &gt;&gt; </t>
  </si>
  <si>
    <t>Estimation des gains énergétiques et CO2 d'une affaire de rénovation B2B, pour intégration dans le CRM Clients 360</t>
  </si>
  <si>
    <t>MODOP bâtiments (tertiaires et résidentiels)</t>
  </si>
  <si>
    <t>Objectif</t>
  </si>
  <si>
    <r>
      <t xml:space="preserve">Cette feuille permet de calculer une </t>
    </r>
    <r>
      <rPr>
        <b/>
        <u/>
        <sz val="12"/>
        <color theme="1"/>
        <rFont val="Arial"/>
        <family val="2"/>
        <scheme val="minor"/>
      </rPr>
      <t>estimation</t>
    </r>
    <r>
      <rPr>
        <b/>
        <sz val="12"/>
        <color theme="1"/>
        <rFont val="Arial"/>
        <family val="2"/>
        <scheme val="minor"/>
      </rPr>
      <t xml:space="preserve"> des gains énergétiques et des réductions d'émissions de CO2</t>
    </r>
    <r>
      <rPr>
        <sz val="12"/>
        <color theme="1"/>
        <rFont val="Arial"/>
        <family val="2"/>
        <scheme val="minor"/>
      </rPr>
      <t xml:space="preserve"> associées à un remplacement d'équipement (chauffage + ECS).</t>
    </r>
  </si>
  <si>
    <t xml:space="preserve">Ce simulateur prend en compte : </t>
  </si>
  <si>
    <t>- La solution en place avant rénovation et celle après rénovation parmi une liste déroulante : chaudière standard, chaudière THPE, chaudiè THPE + chauffe-eau solaire, PAC gaz, PAC hybride, chaudière fioul THPE ou chaudière fioul standard</t>
  </si>
  <si>
    <r>
      <t xml:space="preserve">- La consommation énergétique initiale - </t>
    </r>
    <r>
      <rPr>
        <i/>
        <sz val="12"/>
        <color theme="1"/>
        <rFont val="Arial"/>
        <family val="2"/>
        <scheme val="minor"/>
      </rPr>
      <t>calculée sur la base de moyenne de consommation par m2/type de bâtiment ou saisie manuellement</t>
    </r>
  </si>
  <si>
    <t>- La consommation énergétique finale - calculée sur un % de gain énergétique moyen ou sur un % de gain énergétique personnalisé</t>
  </si>
  <si>
    <t>- Pour la PAC hybride, la répartition entre la consommation de gaz et d'électricité dans le total de la consommation</t>
  </si>
  <si>
    <t xml:space="preserve">- Les facteurs d'émissions du gaz et de l'électricité </t>
  </si>
  <si>
    <t>Déroulé du simulateur</t>
  </si>
  <si>
    <r>
      <t xml:space="preserve">Etape 1 : saisir la </t>
    </r>
    <r>
      <rPr>
        <b/>
        <sz val="12"/>
        <color theme="5"/>
        <rFont val="Arial"/>
        <family val="2"/>
        <scheme val="minor"/>
      </rPr>
      <t>consommation initiale du site</t>
    </r>
    <r>
      <rPr>
        <sz val="12"/>
        <rFont val="Arial"/>
        <family val="2"/>
        <scheme val="minor"/>
      </rPr>
      <t xml:space="preserve"> si disponible (pré-rempli sur Clients 360) et la </t>
    </r>
    <r>
      <rPr>
        <b/>
        <sz val="12"/>
        <color theme="5"/>
        <rFont val="Arial"/>
        <family val="2"/>
        <scheme val="minor"/>
      </rPr>
      <t xml:space="preserve">valeur retenue </t>
    </r>
    <r>
      <rPr>
        <sz val="12"/>
        <rFont val="Arial"/>
        <family val="2"/>
        <scheme val="minor"/>
      </rPr>
      <t>de consommation dont il est question pour le scénario de rénovation</t>
    </r>
  </si>
  <si>
    <r>
      <t>Etape 2 : sélectionner la</t>
    </r>
    <r>
      <rPr>
        <b/>
        <sz val="12"/>
        <color theme="4"/>
        <rFont val="Arial"/>
        <family val="2"/>
        <scheme val="minor"/>
      </rPr>
      <t xml:space="preserve"> </t>
    </r>
    <r>
      <rPr>
        <b/>
        <sz val="12"/>
        <color theme="5"/>
        <rFont val="Arial"/>
        <family val="2"/>
        <scheme val="minor"/>
      </rPr>
      <t xml:space="preserve">solution avant rénovation </t>
    </r>
    <r>
      <rPr>
        <sz val="12"/>
        <color theme="1"/>
        <rFont val="Arial"/>
        <family val="2"/>
        <scheme val="minor"/>
      </rPr>
      <t>et</t>
    </r>
    <r>
      <rPr>
        <sz val="12"/>
        <color theme="5"/>
        <rFont val="Arial"/>
        <family val="2"/>
        <scheme val="minor"/>
      </rPr>
      <t xml:space="preserve"> </t>
    </r>
    <r>
      <rPr>
        <b/>
        <sz val="12"/>
        <color theme="5"/>
        <rFont val="Arial"/>
        <family val="2"/>
        <scheme val="minor"/>
      </rPr>
      <t>solution après rénovation</t>
    </r>
  </si>
  <si>
    <r>
      <t xml:space="preserve">Etape 3 : saisir le </t>
    </r>
    <r>
      <rPr>
        <b/>
        <sz val="12"/>
        <color theme="5"/>
        <rFont val="Arial"/>
        <family val="2"/>
        <scheme val="minor"/>
      </rPr>
      <t xml:space="preserve">% de gaz vert </t>
    </r>
    <r>
      <rPr>
        <sz val="12"/>
        <color theme="1"/>
        <rFont val="Arial"/>
        <family val="2"/>
        <scheme val="minor"/>
      </rPr>
      <t>au contrat</t>
    </r>
  </si>
  <si>
    <r>
      <t xml:space="preserve">Etape 4 : saisir un </t>
    </r>
    <r>
      <rPr>
        <b/>
        <sz val="12"/>
        <color theme="5"/>
        <rFont val="Arial"/>
        <family val="2"/>
        <scheme val="minor"/>
      </rPr>
      <t xml:space="preserve">% de gain énergétique personnalisé </t>
    </r>
    <r>
      <rPr>
        <sz val="12"/>
        <color theme="1"/>
        <rFont val="Arial"/>
        <family val="2"/>
        <scheme val="minor"/>
      </rPr>
      <t>s'il est disponible, sinon le simulateur calcul le gain en valeur sur la base du % de gain moyen pour ce type de bâtiment et de solution</t>
    </r>
  </si>
  <si>
    <r>
      <t xml:space="preserve">Etape 5 : saisir la </t>
    </r>
    <r>
      <rPr>
        <b/>
        <sz val="12"/>
        <color theme="5"/>
        <rFont val="Arial"/>
        <family val="2"/>
        <scheme val="minor"/>
      </rPr>
      <t>répartition entre gaz et élec</t>
    </r>
    <r>
      <rPr>
        <sz val="12"/>
        <color theme="1"/>
        <rFont val="Arial"/>
        <family val="2"/>
        <scheme val="minor"/>
      </rPr>
      <t xml:space="preserve"> pour une solution hybride, sinon le simulateur utilise la répartition moyenne pour ce type de bâtiment et de solution</t>
    </r>
  </si>
  <si>
    <t xml:space="preserve">Consommation </t>
  </si>
  <si>
    <t>Gains énergétiques</t>
  </si>
  <si>
    <r>
      <t xml:space="preserve">Consommation initiale (chauffage + ECS, kWh </t>
    </r>
    <r>
      <rPr>
        <sz val="11"/>
        <color rgb="FFFF0000"/>
        <rFont val="Arial"/>
        <family val="2"/>
        <scheme val="minor"/>
      </rPr>
      <t>PCI</t>
    </r>
    <r>
      <rPr>
        <sz val="11"/>
        <color theme="1"/>
        <rFont val="Arial"/>
        <family val="2"/>
        <scheme val="minor"/>
      </rPr>
      <t>/an)</t>
    </r>
  </si>
  <si>
    <t>pré-rempli si disponible sur Clients 360 ou à saisir</t>
  </si>
  <si>
    <t>Estimation des gains énergétiques</t>
  </si>
  <si>
    <r>
      <t xml:space="preserve">Consommation initiale moyenne (chauffage + ECS, kWh </t>
    </r>
    <r>
      <rPr>
        <sz val="11"/>
        <color rgb="FFFF0000"/>
        <rFont val="Arial"/>
        <family val="2"/>
        <scheme val="minor"/>
      </rPr>
      <t>PCI</t>
    </r>
    <r>
      <rPr>
        <sz val="11"/>
        <color theme="1"/>
        <rFont val="Arial"/>
        <family val="2"/>
        <scheme val="minor"/>
      </rPr>
      <t>/an, zone H2)</t>
    </r>
  </si>
  <si>
    <t>Consommation retenue</t>
  </si>
  <si>
    <t>kWh PCI/an</t>
  </si>
  <si>
    <t>d'économies d'énergie</t>
  </si>
  <si>
    <t>Scénario de rénovation</t>
  </si>
  <si>
    <t>Résultats</t>
  </si>
  <si>
    <r>
      <t xml:space="preserve">Solution avant rénovation </t>
    </r>
    <r>
      <rPr>
        <sz val="12"/>
        <color theme="1"/>
        <rFont val="Arial"/>
        <family val="2"/>
        <scheme val="minor"/>
      </rPr>
      <t>(liste déroulante)</t>
    </r>
  </si>
  <si>
    <r>
      <t xml:space="preserve">Solution après rénovation </t>
    </r>
    <r>
      <rPr>
        <sz val="12"/>
        <color theme="1"/>
        <rFont val="Arial"/>
        <family val="2"/>
        <scheme val="minor"/>
      </rPr>
      <t>(liste déroulante)</t>
    </r>
  </si>
  <si>
    <t>Estimation de la consommation future</t>
  </si>
  <si>
    <t>Estimation des gains CO2</t>
  </si>
  <si>
    <t>Cas fioul -&gt; gaz</t>
  </si>
  <si>
    <t>5.1</t>
  </si>
  <si>
    <t>tCO2 évitées/an</t>
  </si>
  <si>
    <t>Retenue</t>
  </si>
  <si>
    <t>Part de gaz (EF)*</t>
  </si>
  <si>
    <t>5.2</t>
  </si>
  <si>
    <t>Cas fioul -&gt; hybride</t>
  </si>
  <si>
    <t>Part d'électricité (EF)*</t>
  </si>
  <si>
    <t>Gaz vert</t>
  </si>
  <si>
    <t>Personnalisée</t>
  </si>
  <si>
    <t>Cas gaz -&gt; hybride</t>
  </si>
  <si>
    <t>Part de gaz vert au contrat (en %)</t>
  </si>
  <si>
    <t>5.3</t>
  </si>
  <si>
    <t>kWh</t>
  </si>
  <si>
    <t>^ Consommation finale dans le cas d'une solution hybride (ne pas afficher)</t>
  </si>
  <si>
    <t>5.4</t>
  </si>
  <si>
    <t>Cas gaz -&gt; gaz</t>
  </si>
  <si>
    <t>Consommation</t>
  </si>
  <si>
    <t>pré-rempli si disponible ou à saisir</t>
  </si>
  <si>
    <t>pré-rempli si disponible sur Clients 360</t>
  </si>
  <si>
    <t>Nombre de logements</t>
  </si>
  <si>
    <t>Puissance</t>
  </si>
  <si>
    <t>Gains CO2</t>
  </si>
  <si>
    <t>Type de chaudière</t>
  </si>
  <si>
    <t>Puissance de la chaudière</t>
  </si>
  <si>
    <t>% gain CO2 (chaufferie)</t>
  </si>
  <si>
    <t>Consommation initiale moyenne de la chaudière (MWh)</t>
  </si>
  <si>
    <t>Consommation initiale site (ECS + chauffage)</t>
  </si>
  <si>
    <r>
      <t xml:space="preserve">Consommation - </t>
    </r>
    <r>
      <rPr>
        <b/>
        <sz val="11"/>
        <color theme="1"/>
        <rFont val="Arial"/>
        <family val="2"/>
        <scheme val="minor"/>
      </rPr>
      <t xml:space="preserve">valeur retenue </t>
    </r>
    <r>
      <rPr>
        <sz val="11"/>
        <color theme="1"/>
        <rFont val="Arial"/>
        <family val="2"/>
        <scheme val="minor"/>
      </rPr>
      <t>(si &lt; 100% de la consommation du site)</t>
    </r>
  </si>
  <si>
    <t>tCO2eq</t>
  </si>
  <si>
    <t>Consommation à prendre en compte</t>
  </si>
  <si>
    <t>Scénario</t>
  </si>
  <si>
    <t>Action réalisée - chaufferie</t>
  </si>
  <si>
    <t>Estimation des gains énergétiques, CO2 et € d'une affaire de rénovation</t>
  </si>
  <si>
    <t>&lt;&lt;&lt; Le détail des solutions est en colonne B (masquée)</t>
  </si>
  <si>
    <t>Résultats CO2</t>
  </si>
  <si>
    <t>Nouvelle solution</t>
  </si>
  <si>
    <t>Données financières</t>
  </si>
  <si>
    <t xml:space="preserve">NB: nous n'intégrons pas ici le coût de l'abonnement </t>
  </si>
  <si>
    <t>Coût d'investissement moyen</t>
  </si>
  <si>
    <t>Coût retenu</t>
  </si>
  <si>
    <t>&gt;&gt;&gt;</t>
  </si>
  <si>
    <t>Coût d'investissement personnalisé</t>
  </si>
  <si>
    <t>SOIT</t>
  </si>
  <si>
    <t>Prix du kWh de gaz naturel (€ TTC)</t>
  </si>
  <si>
    <t>Prix du kWh d'électricité (€ TTC)</t>
  </si>
  <si>
    <t>A/R Paris-Marseille en TGV</t>
  </si>
  <si>
    <t>Prix du kWh de gaz vert (€ TTC)</t>
  </si>
  <si>
    <t>Prix du kWh de fioul (€ TTC)</t>
  </si>
  <si>
    <t>tours de la Terre en voiture</t>
  </si>
  <si>
    <t xml:space="preserve">A/R Paris-Nîmes en voiture </t>
  </si>
  <si>
    <t xml:space="preserve">€ / an </t>
  </si>
  <si>
    <t>Pour industrie : voir onglet 3.1 Affaires CO2 - Clients 360 - ligne 200</t>
  </si>
  <si>
    <t>&gt;&gt;&gt;&gt;&gt;</t>
  </si>
  <si>
    <t>Estimation des gains CO2 (à fiabiliser)</t>
  </si>
  <si>
    <t>Industriel</t>
  </si>
  <si>
    <r>
      <t xml:space="preserve">Cette feuille permet de calculer une </t>
    </r>
    <r>
      <rPr>
        <b/>
        <u/>
        <sz val="11"/>
        <color theme="1"/>
        <rFont val="Arial"/>
        <family val="2"/>
        <scheme val="minor"/>
      </rPr>
      <t>estimation</t>
    </r>
    <r>
      <rPr>
        <b/>
        <sz val="11"/>
        <color theme="1"/>
        <rFont val="Arial"/>
        <family val="2"/>
        <scheme val="minor"/>
      </rPr>
      <t xml:space="preserve"> des gains énergétiques et des réductions d'émissions de CO2</t>
    </r>
    <r>
      <rPr>
        <sz val="11"/>
        <color theme="1"/>
        <rFont val="Arial"/>
        <family val="2"/>
        <scheme val="minor"/>
      </rPr>
      <t xml:space="preserve"> associées à un remplacement d'équipement (chauffage + ECS).</t>
    </r>
  </si>
  <si>
    <r>
      <t xml:space="preserve">- La solution en place avant rénovation et celle après rénovation parmi une liste déroulante : chaudière standard, chaudière THPE, chaudiè THPE + chauffe-eau solaire, PAC gaz, PAC hybride </t>
    </r>
    <r>
      <rPr>
        <sz val="11"/>
        <color rgb="FFFF0000"/>
        <rFont val="Arial"/>
        <family val="2"/>
        <scheme val="minor"/>
      </rPr>
      <t>(complété dans les semaines prochaines avec de nouveaux équipements)</t>
    </r>
  </si>
  <si>
    <r>
      <t xml:space="preserve">- La consommation énergétique initiale - </t>
    </r>
    <r>
      <rPr>
        <i/>
        <sz val="11"/>
        <color theme="1"/>
        <rFont val="Arial"/>
        <family val="2"/>
        <scheme val="minor"/>
      </rPr>
      <t>calculée sur la base de moyenne de consommation par m2/type de bâtiment ou saisie manuellement</t>
    </r>
  </si>
  <si>
    <r>
      <t>- Pour la PAC hybride, la répartition entre la consommation de gaz et d'électricité dans le total de la consommation -</t>
    </r>
    <r>
      <rPr>
        <sz val="11"/>
        <color rgb="FFFF0000"/>
        <rFont val="Arial"/>
        <family val="2"/>
        <scheme val="minor"/>
      </rPr>
      <t xml:space="preserve"> (formule à mettre en place pour pouvoir modifier cette répartition)</t>
    </r>
  </si>
  <si>
    <r>
      <t xml:space="preserve">Etape 1 : saisir la </t>
    </r>
    <r>
      <rPr>
        <b/>
        <sz val="11"/>
        <color theme="5"/>
        <rFont val="Arial"/>
        <family val="2"/>
        <scheme val="minor"/>
      </rPr>
      <t>consommation initiale du site</t>
    </r>
    <r>
      <rPr>
        <sz val="11"/>
        <rFont val="Arial"/>
        <family val="2"/>
        <scheme val="minor"/>
      </rPr>
      <t xml:space="preserve"> si disponible (pré-rempli sur Clients 360) et la </t>
    </r>
    <r>
      <rPr>
        <b/>
        <sz val="11"/>
        <color theme="5"/>
        <rFont val="Arial"/>
        <family val="2"/>
        <scheme val="minor"/>
      </rPr>
      <t xml:space="preserve">valeur retenue </t>
    </r>
    <r>
      <rPr>
        <sz val="11"/>
        <rFont val="Arial"/>
        <family val="2"/>
        <scheme val="minor"/>
      </rPr>
      <t>de consommation dont il est question pour le scénario de rénovation</t>
    </r>
  </si>
  <si>
    <r>
      <t>Etape 2 : sélectionner la</t>
    </r>
    <r>
      <rPr>
        <b/>
        <sz val="11"/>
        <color theme="4"/>
        <rFont val="Arial"/>
        <family val="2"/>
        <scheme val="minor"/>
      </rPr>
      <t xml:space="preserve"> </t>
    </r>
    <r>
      <rPr>
        <b/>
        <sz val="11"/>
        <color theme="5"/>
        <rFont val="Arial"/>
        <family val="2"/>
        <scheme val="minor"/>
      </rPr>
      <t xml:space="preserve">solution avant rénovation </t>
    </r>
    <r>
      <rPr>
        <sz val="11"/>
        <color theme="1"/>
        <rFont val="Arial"/>
        <family val="2"/>
        <scheme val="minor"/>
      </rPr>
      <t>et</t>
    </r>
    <r>
      <rPr>
        <sz val="11"/>
        <color theme="5"/>
        <rFont val="Arial"/>
        <family val="2"/>
        <scheme val="minor"/>
      </rPr>
      <t xml:space="preserve"> </t>
    </r>
    <r>
      <rPr>
        <b/>
        <sz val="11"/>
        <color theme="5"/>
        <rFont val="Arial"/>
        <family val="2"/>
        <scheme val="minor"/>
      </rPr>
      <t>solution après rénovation</t>
    </r>
  </si>
  <si>
    <r>
      <t xml:space="preserve">Etape 3 : saisir un </t>
    </r>
    <r>
      <rPr>
        <b/>
        <sz val="11"/>
        <color theme="5"/>
        <rFont val="Arial"/>
        <family val="2"/>
        <scheme val="minor"/>
      </rPr>
      <t xml:space="preserve">% de gain énergétique personnalisé </t>
    </r>
    <r>
      <rPr>
        <sz val="11"/>
        <color theme="1"/>
        <rFont val="Arial"/>
        <family val="2"/>
        <scheme val="minor"/>
      </rPr>
      <t>s'il est disponible, sinon le simulateur calcul le gain en valeur sur la base du % de gain moyen pour ce type de bâtiment et de solution</t>
    </r>
  </si>
  <si>
    <r>
      <t xml:space="preserve">Etape 4 </t>
    </r>
    <r>
      <rPr>
        <sz val="11"/>
        <color rgb="FFFF0000"/>
        <rFont val="Arial"/>
        <family val="2"/>
        <scheme val="minor"/>
      </rPr>
      <t>(à venir)</t>
    </r>
    <r>
      <rPr>
        <sz val="11"/>
        <color theme="1"/>
        <rFont val="Arial"/>
        <family val="2"/>
        <scheme val="minor"/>
      </rPr>
      <t xml:space="preserve"> : saisir la </t>
    </r>
    <r>
      <rPr>
        <b/>
        <sz val="11"/>
        <color theme="5"/>
        <rFont val="Arial"/>
        <family val="2"/>
        <scheme val="minor"/>
      </rPr>
      <t>répartition entre gaz et élec</t>
    </r>
    <r>
      <rPr>
        <sz val="11"/>
        <color theme="1"/>
        <rFont val="Arial"/>
        <family val="2"/>
        <scheme val="minor"/>
      </rPr>
      <t xml:space="preserve"> pour une solution hybride, sinon le simulateur utilise la répartition moyenne pour ce type de bâtiment et de solution</t>
    </r>
  </si>
  <si>
    <t>Consommation initiale du site (ECS + chauffage) (en kWh PCI/an)</t>
  </si>
  <si>
    <t>Consommation - valeur retenue (si &lt; 100% de la consommation du site) (en kWh PCI/an)</t>
  </si>
  <si>
    <t>à remplir par le commercial</t>
  </si>
  <si>
    <t>Chaudière standard neuve</t>
  </si>
  <si>
    <t>&gt;&gt;&gt;&gt;</t>
  </si>
  <si>
    <t>Estimation des gains CO2 (encore à fiabiliser)</t>
  </si>
  <si>
    <t>Equivalents</t>
  </si>
  <si>
    <t>Estimation des gains €</t>
  </si>
  <si>
    <t>€/tCO2 évitées</t>
  </si>
  <si>
    <t>km en voiture thermique</t>
  </si>
  <si>
    <t>Gain facture</t>
  </si>
  <si>
    <t>Prix de la solution</t>
  </si>
  <si>
    <t>remplissages de piscines</t>
  </si>
  <si>
    <t>Prix de la solution concurrente (PAC 100% élec)</t>
  </si>
  <si>
    <t>Prix du kWh de gaz</t>
  </si>
  <si>
    <t>Prix du kWh d'électricité</t>
  </si>
  <si>
    <t>Zone climatique par défaut : H2</t>
  </si>
  <si>
    <t>Ajouter les zones climatiques H1 / H2 / H3 ?</t>
  </si>
  <si>
    <t>1. SOLUTION AVANT ET APRES RENOVATION</t>
  </si>
  <si>
    <t>&gt;&gt;</t>
  </si>
  <si>
    <t>FICHE RESULTAT</t>
  </si>
  <si>
    <r>
      <t xml:space="preserve">Solution avant rénovation </t>
    </r>
    <r>
      <rPr>
        <sz val="12"/>
        <color theme="1"/>
        <rFont val="Arial"/>
        <family val="2"/>
        <scheme val="minor"/>
      </rPr>
      <t>(</t>
    </r>
    <r>
      <rPr>
        <sz val="12"/>
        <color rgb="FFFF0000"/>
        <rFont val="Arial"/>
        <family val="2"/>
        <scheme val="minor"/>
      </rPr>
      <t>liste déroulante</t>
    </r>
    <r>
      <rPr>
        <sz val="12"/>
        <color theme="1"/>
        <rFont val="Arial"/>
        <family val="2"/>
        <scheme val="minor"/>
      </rPr>
      <t>)</t>
    </r>
  </si>
  <si>
    <r>
      <t xml:space="preserve">Solution après rénovation </t>
    </r>
    <r>
      <rPr>
        <sz val="12"/>
        <color theme="1"/>
        <rFont val="Arial"/>
        <family val="2"/>
        <scheme val="minor"/>
      </rPr>
      <t>(</t>
    </r>
    <r>
      <rPr>
        <sz val="12"/>
        <color rgb="FFFF0000"/>
        <rFont val="Arial"/>
        <family val="2"/>
        <scheme val="minor"/>
      </rPr>
      <t>liste déroulante</t>
    </r>
    <r>
      <rPr>
        <sz val="12"/>
        <color theme="1"/>
        <rFont val="Arial"/>
        <family val="2"/>
        <scheme val="minor"/>
      </rPr>
      <t>)</t>
    </r>
  </si>
  <si>
    <t>Chaudière standard fioul de plus de 15 ans</t>
  </si>
  <si>
    <t>1.Gains énergétiques</t>
  </si>
  <si>
    <r>
      <rPr>
        <b/>
        <sz val="11"/>
        <color theme="1"/>
        <rFont val="Arial"/>
        <family val="2"/>
        <scheme val="minor"/>
      </rPr>
      <t>Consommation MOYENNE</t>
    </r>
    <r>
      <rPr>
        <sz val="11"/>
        <color theme="1"/>
        <rFont val="Arial"/>
        <family val="2"/>
        <scheme val="minor"/>
      </rPr>
      <t xml:space="preserve"> (chauffage + ECS)</t>
    </r>
  </si>
  <si>
    <t>Consommation MOYENNE (chauffage + ECS) - gaz</t>
  </si>
  <si>
    <t>Fixe</t>
  </si>
  <si>
    <t>Consommation MOYENNE (chauffage + ECS) - élec</t>
  </si>
  <si>
    <t>kWhe</t>
  </si>
  <si>
    <t>Dynamique</t>
  </si>
  <si>
    <t>Chaudière à condensation fioul</t>
  </si>
  <si>
    <r>
      <rPr>
        <b/>
        <sz val="11"/>
        <color theme="1"/>
        <rFont val="Arial"/>
        <family val="2"/>
        <scheme val="minor"/>
      </rPr>
      <t>Consommation</t>
    </r>
    <r>
      <rPr>
        <sz val="11"/>
        <color theme="1"/>
        <rFont val="Arial"/>
        <family val="2"/>
        <scheme val="minor"/>
      </rPr>
      <t xml:space="preserve"> </t>
    </r>
    <r>
      <rPr>
        <b/>
        <sz val="11"/>
        <color theme="1"/>
        <rFont val="Arial"/>
        <family val="2"/>
        <scheme val="minor"/>
      </rPr>
      <t>PERSONNALISEE</t>
    </r>
    <r>
      <rPr>
        <sz val="11"/>
        <color theme="1"/>
        <rFont val="Arial"/>
        <family val="2"/>
        <scheme val="minor"/>
      </rPr>
      <t xml:space="preserve"> (chauffage + ECS)</t>
    </r>
  </si>
  <si>
    <t>Soit une répartition moyenne :</t>
  </si>
  <si>
    <t xml:space="preserve">2.1.Gains CO2 </t>
  </si>
  <si>
    <r>
      <t xml:space="preserve">2.2.Gains CO2 avec </t>
    </r>
    <r>
      <rPr>
        <b/>
        <sz val="14"/>
        <color theme="4"/>
        <rFont val="Arial"/>
        <family val="2"/>
        <scheme val="minor"/>
      </rPr>
      <t>100% de gaz vert</t>
    </r>
  </si>
  <si>
    <r>
      <rPr>
        <b/>
        <sz val="11"/>
        <color theme="1"/>
        <rFont val="Arial"/>
        <family val="2"/>
        <scheme val="minor"/>
      </rPr>
      <t xml:space="preserve">Consommation initiale RETENUE </t>
    </r>
    <r>
      <rPr>
        <sz val="11"/>
        <color theme="1"/>
        <rFont val="Arial"/>
        <family val="2"/>
        <scheme val="minor"/>
      </rPr>
      <t>(chauffage + ECS)</t>
    </r>
  </si>
  <si>
    <t>à partir des valeurs absolues</t>
  </si>
  <si>
    <t>tCO2eq évités</t>
  </si>
  <si>
    <t>d'économies de CO2</t>
  </si>
  <si>
    <t>Consommation PERSONNALISEE (chauffage + ECS) - gaz</t>
  </si>
  <si>
    <t>tCO2eq supplémentaires</t>
  </si>
  <si>
    <t>Consommation PERSONNALISEE (chauffage + ECS) - élec</t>
  </si>
  <si>
    <t>Ajouter le gaz vert personnalisé</t>
  </si>
  <si>
    <t>Equivalents concrets (sur la base des 2.1. gains CO2)</t>
  </si>
  <si>
    <t>AR Paris Marseille en TGV</t>
  </si>
  <si>
    <t>2. PRIX</t>
  </si>
  <si>
    <r>
      <rPr>
        <b/>
        <sz val="11"/>
        <color theme="1"/>
        <rFont val="Arial"/>
        <family val="2"/>
        <scheme val="minor"/>
      </rPr>
      <t xml:space="preserve">Consommation finale RETENUE </t>
    </r>
    <r>
      <rPr>
        <sz val="11"/>
        <color theme="1"/>
        <rFont val="Arial"/>
        <family val="2"/>
        <scheme val="minor"/>
      </rPr>
      <t>(chauffage + ECS) - gaz</t>
    </r>
  </si>
  <si>
    <t>Non</t>
  </si>
  <si>
    <t>3. Gains financiers (sur la base des 2.1. gains CO2)</t>
  </si>
  <si>
    <t>Investissement : argent gagné vs. solution concurrente</t>
  </si>
  <si>
    <t>Utilisation : gain sur la facture énergétique</t>
  </si>
  <si>
    <t>€ évités/an</t>
  </si>
  <si>
    <t xml:space="preserve">€ investi / tCO2 évitées </t>
  </si>
  <si>
    <t>3.  GAZ VERT</t>
  </si>
  <si>
    <t xml:space="preserve">Contrat gaz vert </t>
  </si>
  <si>
    <t>Prix du kWh de fioul</t>
  </si>
  <si>
    <t>Part de biométhane (%)</t>
  </si>
  <si>
    <t xml:space="preserve">Prix du kWh de gaz </t>
  </si>
  <si>
    <t>Prix du kWh d'élec</t>
  </si>
  <si>
    <t>ajouter prix du kWh de gaz et d'électricité</t>
  </si>
  <si>
    <t>Matrice gains énergétiques</t>
  </si>
  <si>
    <t>Matrice gains CO2</t>
  </si>
  <si>
    <t>Résidentiel - appartement chauffage individuel - rénovation monogeste</t>
  </si>
  <si>
    <t>Consommation initiale appart (ECS + chauffage)</t>
  </si>
  <si>
    <t>Résidentiel - appartement chauffage collectif - rénovation monogeste</t>
  </si>
  <si>
    <t>En cours</t>
  </si>
  <si>
    <t>Four de cuisson/chauffage</t>
  </si>
  <si>
    <t>Consommation initiale moyenne (kWh PCI) d'une chaudière</t>
  </si>
  <si>
    <t>Technos nouvelles</t>
  </si>
  <si>
    <t>Nombre de chaudières</t>
  </si>
  <si>
    <t>Consommation totale moyenne</t>
  </si>
  <si>
    <t xml:space="preserve">Brûleur à air chaud </t>
  </si>
  <si>
    <t>Résidentiel - maison individuelle - rénovation monogeste</t>
  </si>
  <si>
    <t>Consommation initiale de la maison (ECS + chauffage)</t>
  </si>
  <si>
    <t xml:space="preserve">Equivalent </t>
  </si>
  <si>
    <t>Résultat test</t>
  </si>
  <si>
    <t>à remplir</t>
  </si>
  <si>
    <t>PAC hybride gaz-élec</t>
  </si>
  <si>
    <t>Surface bâtiment (en m2)</t>
  </si>
  <si>
    <t>Type de bâtiment</t>
  </si>
  <si>
    <t>Appartement chauffage indiv</t>
  </si>
  <si>
    <t>Site industriel</t>
  </si>
  <si>
    <r>
      <t xml:space="preserve">Consommation initiale </t>
    </r>
    <r>
      <rPr>
        <sz val="11"/>
        <color theme="1"/>
        <rFont val="Arial"/>
        <family val="2"/>
        <scheme val="minor"/>
      </rPr>
      <t>(kWh/an)</t>
    </r>
  </si>
  <si>
    <t>formule Excel</t>
  </si>
  <si>
    <t>% baisse d'émissions</t>
  </si>
  <si>
    <r>
      <t xml:space="preserve">Baisse d'émissions </t>
    </r>
    <r>
      <rPr>
        <sz val="11"/>
        <color theme="1"/>
        <rFont val="Arial"/>
        <family val="2"/>
        <scheme val="minor"/>
      </rPr>
      <t>(tCO2eq/an)</t>
    </r>
  </si>
  <si>
    <t>Caractéristiques maison</t>
  </si>
  <si>
    <t>Surface (m2)</t>
  </si>
  <si>
    <t>Nombre de résidents du foyer</t>
  </si>
  <si>
    <t>Consommation gaz annuelle</t>
  </si>
  <si>
    <t>Consommation fioul annuelle</t>
  </si>
  <si>
    <t>Volumes et projections d'évolution du segment au global</t>
  </si>
  <si>
    <t xml:space="preserve">Nombre de PCE </t>
  </si>
  <si>
    <t>Volume de consommation annuel (GWh)</t>
  </si>
  <si>
    <t>Emissions de CO2</t>
  </si>
  <si>
    <t>Données d'entrée</t>
  </si>
  <si>
    <t>Standards de conversion CO2 selon le scénario</t>
  </si>
  <si>
    <t>Performance</t>
  </si>
  <si>
    <t>tCO2 évitées (baisse de consommation x FE)</t>
  </si>
  <si>
    <t>Pour détails</t>
  </si>
  <si>
    <t>Solution nouvelle</t>
  </si>
  <si>
    <t>Scénario petite maison</t>
  </si>
  <si>
    <t>Scénario maison moyenne</t>
  </si>
  <si>
    <t>Scénario grande maison</t>
  </si>
  <si>
    <t>Performance relative en % baisse de consommation de gaz</t>
  </si>
  <si>
    <t>Résultat H1</t>
  </si>
  <si>
    <t>Résultat H2</t>
  </si>
  <si>
    <t>Résultat H3</t>
  </si>
  <si>
    <t>&gt;</t>
  </si>
  <si>
    <t>Chaudière THPE individuelle seule</t>
  </si>
  <si>
    <t>Chaudière THPE + chauffe eau thermodynamique (CET)</t>
  </si>
  <si>
    <t>PAC hybride individuelle</t>
  </si>
  <si>
    <t>Système hybride solaire-gaz</t>
  </si>
  <si>
    <t>Chaudière hybride bois-gaz</t>
  </si>
  <si>
    <t>Chaudière THPE individuelle + chauffe eau thermodynamique (CET)</t>
  </si>
  <si>
    <t>Chaudière fioul</t>
  </si>
  <si>
    <t>Centre-Ouest</t>
  </si>
  <si>
    <t>Nord-Ouest</t>
  </si>
  <si>
    <t>Sud-Ouest</t>
  </si>
  <si>
    <t>Sud-Est</t>
  </si>
  <si>
    <t>Est</t>
  </si>
  <si>
    <t>IDF</t>
  </si>
  <si>
    <t>Caractéristiques appartement</t>
  </si>
  <si>
    <t>Petit</t>
  </si>
  <si>
    <t>Moyen</t>
  </si>
  <si>
    <t>Grand</t>
  </si>
  <si>
    <t>Volumes et projections d'évolution du segment</t>
  </si>
  <si>
    <t>Scénario petit appartement</t>
  </si>
  <si>
    <t>Scénario appartement moyen</t>
  </si>
  <si>
    <t>Scénario grand appartement</t>
  </si>
  <si>
    <t>Chaudière basse température individuelle</t>
  </si>
  <si>
    <t>Chaudière THPE individuelle</t>
  </si>
  <si>
    <t>Chaudière THPE individuelle  + chauffe eau thermodynamique (CET)</t>
  </si>
  <si>
    <t>Nombre de PCE</t>
  </si>
  <si>
    <t>Chaudière THPE collective seule</t>
  </si>
  <si>
    <t>Chaudière THPE collective + chauffe eau thermodynamique (CET)</t>
  </si>
  <si>
    <t>PAC hybride collective</t>
  </si>
  <si>
    <t>Chaudière THPE collective</t>
  </si>
  <si>
    <t>Chaudière THPE collective  + chauffe eau thermodynamique (CET)</t>
  </si>
  <si>
    <t>Caractéristiques bâtiment</t>
  </si>
  <si>
    <t>Emissions de CO2 totales</t>
  </si>
  <si>
    <t>Chaudière THPE seule</t>
  </si>
  <si>
    <t>Scénario petit bâtiment</t>
  </si>
  <si>
    <t>Scénario bâtiment moyen</t>
  </si>
  <si>
    <t>Scénario grand bâtiment</t>
  </si>
  <si>
    <t xml:space="preserve">PAC hybride </t>
  </si>
  <si>
    <t>Nombre de sites</t>
  </si>
  <si>
    <t>Volume de consommation initial (kWh)</t>
  </si>
  <si>
    <t>% de gaz vert</t>
  </si>
  <si>
    <t>Brûleur simple</t>
  </si>
  <si>
    <t>Brûleur régénératif</t>
  </si>
  <si>
    <t>Brûleur auto-récupérateur</t>
  </si>
  <si>
    <t>Brûleur micro-modulant</t>
  </si>
  <si>
    <t>Chaufferie vapeur industrielle</t>
  </si>
  <si>
    <t>Actions d'optimisation de chaufferies (osmoseur, purges de chaudière, …)</t>
  </si>
  <si>
    <t>Récupération de la chaleur fatale</t>
  </si>
  <si>
    <t>Chaufferie hybride gaz-électricité</t>
  </si>
  <si>
    <t xml:space="preserve">Dans quel contexte s'est posée la question de ce référentiel ? </t>
  </si>
  <si>
    <t>A quels besoins ce référentiel répond-t-il ?</t>
  </si>
  <si>
    <r>
      <rPr>
        <b/>
        <sz val="11"/>
        <color theme="5"/>
        <rFont val="Arial"/>
        <family val="2"/>
        <scheme val="minor"/>
      </rPr>
      <t xml:space="preserve">A.1. </t>
    </r>
    <r>
      <rPr>
        <sz val="11"/>
        <color theme="5"/>
        <rFont val="Arial"/>
        <family val="2"/>
        <scheme val="minor"/>
      </rPr>
      <t>Consommation moyenne par bâtiments par équipement (en zone H2)</t>
    </r>
  </si>
  <si>
    <t>Consommation moyenne GNV/BioGNV (kg/100km)</t>
  </si>
  <si>
    <t>Département</t>
  </si>
  <si>
    <t>Département (numéro + nom)</t>
  </si>
  <si>
    <t>01 - Ain</t>
  </si>
  <si>
    <t>02 - Aisne</t>
  </si>
  <si>
    <t>03 - Allier</t>
  </si>
  <si>
    <t>04 - Alpes-de-Haute-Provence</t>
  </si>
  <si>
    <t>05 - Hautes-Alpes</t>
  </si>
  <si>
    <t>06 - Alpes-Maritimes</t>
  </si>
  <si>
    <t>07 - Ardèche</t>
  </si>
  <si>
    <t>08 - Ardennes</t>
  </si>
  <si>
    <t>09 - Ariège</t>
  </si>
  <si>
    <t>10 - Aube</t>
  </si>
  <si>
    <t>11 - Aude</t>
  </si>
  <si>
    <t>12 - Aveyron</t>
  </si>
  <si>
    <t>13 - Bouches-du-Rhône</t>
  </si>
  <si>
    <t>14 - Calvados</t>
  </si>
  <si>
    <t>15 - Cantal</t>
  </si>
  <si>
    <t>16 - Charente</t>
  </si>
  <si>
    <t>17 - Charente-Maritime</t>
  </si>
  <si>
    <t>18 - Cher</t>
  </si>
  <si>
    <t>19 - Corrèze</t>
  </si>
  <si>
    <t>2A - Corse-du-Sud</t>
  </si>
  <si>
    <t>2B - Haute-Corse</t>
  </si>
  <si>
    <t>21 - Côte-d'Or</t>
  </si>
  <si>
    <t>22 - Côtes-d'Armor</t>
  </si>
  <si>
    <t>23 - Creuse</t>
  </si>
  <si>
    <t>24 - Dordogne</t>
  </si>
  <si>
    <t>25 - Doubs</t>
  </si>
  <si>
    <t>26 - Drôme</t>
  </si>
  <si>
    <t>27 - Eure</t>
  </si>
  <si>
    <t>28 - Eure-et-Loir</t>
  </si>
  <si>
    <t>29 - Finistère</t>
  </si>
  <si>
    <t>30 - Gard</t>
  </si>
  <si>
    <t>31 - Haute-Garonne</t>
  </si>
  <si>
    <t>32 - Gers</t>
  </si>
  <si>
    <t>33 - Gironde</t>
  </si>
  <si>
    <t>34 - Hérault</t>
  </si>
  <si>
    <t>35 - Ille-et-Vilaine</t>
  </si>
  <si>
    <t>36 - Indre</t>
  </si>
  <si>
    <t>37 - Indre-et-Loire</t>
  </si>
  <si>
    <t>38 - Isère</t>
  </si>
  <si>
    <t>39 - Jura</t>
  </si>
  <si>
    <t>40 - Landes</t>
  </si>
  <si>
    <t>41 - Loir-et-Cher</t>
  </si>
  <si>
    <t>42 - Loire</t>
  </si>
  <si>
    <t>43 - Haute-Loire</t>
  </si>
  <si>
    <t>44 - Loire-Atlantique</t>
  </si>
  <si>
    <t>45 - Loiret</t>
  </si>
  <si>
    <t>46 - Lot</t>
  </si>
  <si>
    <t>47 - Lot-et-Garonne</t>
  </si>
  <si>
    <t>48 - Lozère</t>
  </si>
  <si>
    <t>49 - Maine-et-Loire</t>
  </si>
  <si>
    <t>50 - Manche</t>
  </si>
  <si>
    <t>51 - Marne</t>
  </si>
  <si>
    <t>52 - Haute-Marne</t>
  </si>
  <si>
    <t>53 - Mayenne</t>
  </si>
  <si>
    <t>54 - Meurthe-et-Moselle</t>
  </si>
  <si>
    <t>55 - Meuse</t>
  </si>
  <si>
    <t>56 - Morbihan</t>
  </si>
  <si>
    <t>57 - Moselle</t>
  </si>
  <si>
    <t>58 - Nièvre</t>
  </si>
  <si>
    <t>59 - Nord</t>
  </si>
  <si>
    <t>60 - Oise</t>
  </si>
  <si>
    <t>61 - Orne</t>
  </si>
  <si>
    <t>62 - Pas-de-Calais</t>
  </si>
  <si>
    <t>63 - Puy-de-Dôme</t>
  </si>
  <si>
    <t>64 - Pyrénées-Atlantiques</t>
  </si>
  <si>
    <t>65 - Hautes-Pyrénées</t>
  </si>
  <si>
    <t>66 - Pyrénées-Orientales</t>
  </si>
  <si>
    <t>67 - Bas-Rhin</t>
  </si>
  <si>
    <t>68 - Haut-Rhin</t>
  </si>
  <si>
    <t>69 - Rhône</t>
  </si>
  <si>
    <t>70 - Haute-Saône</t>
  </si>
  <si>
    <t>71 - Saône-et-Loire</t>
  </si>
  <si>
    <t>72 - Sarthe</t>
  </si>
  <si>
    <t>73 - Savoie</t>
  </si>
  <si>
    <t>74 - Haute-Savoie</t>
  </si>
  <si>
    <t>75 - Paris</t>
  </si>
  <si>
    <t>76 - Seine-Maritime</t>
  </si>
  <si>
    <t>77 - Seine-et-Marne</t>
  </si>
  <si>
    <t>78 - Yvelines</t>
  </si>
  <si>
    <t>79 – Deux-Sèvres</t>
  </si>
  <si>
    <t>80 - Somme</t>
  </si>
  <si>
    <t>81 - Tarn</t>
  </si>
  <si>
    <t>82 – Tarn-et-Garonne</t>
  </si>
  <si>
    <t>83 - Var</t>
  </si>
  <si>
    <t>84 - Vaucluse</t>
  </si>
  <si>
    <t>85 - Vendée</t>
  </si>
  <si>
    <t>86 - Vienne</t>
  </si>
  <si>
    <t>87 - Haute-Vienne</t>
  </si>
  <si>
    <t>88 - Vosges</t>
  </si>
  <si>
    <t>89 - Yonne</t>
  </si>
  <si>
    <t>90 – Territoire de Belfort</t>
  </si>
  <si>
    <t>91 - Essonne</t>
  </si>
  <si>
    <t>92 – Hauts-de-Seine</t>
  </si>
  <si>
    <t>93 – Seine-Saint-Denis</t>
  </si>
  <si>
    <t>94 – Val-de-Marne</t>
  </si>
  <si>
    <t>95 – Val-d’Oise</t>
  </si>
  <si>
    <t>Correspondance zone climatique</t>
  </si>
  <si>
    <r>
      <t xml:space="preserve">Consommation initiale moyenne (chauffage + ECS, kWh </t>
    </r>
    <r>
      <rPr>
        <sz val="11"/>
        <color rgb="FFFF0000"/>
        <rFont val="Arial"/>
        <family val="2"/>
        <scheme val="minor"/>
      </rPr>
      <t>PCI</t>
    </r>
    <r>
      <rPr>
        <sz val="11"/>
        <color theme="1"/>
        <rFont val="Arial"/>
        <family val="2"/>
        <scheme val="minor"/>
      </rPr>
      <t>/an)</t>
    </r>
  </si>
  <si>
    <t>Onglet</t>
  </si>
  <si>
    <t>A.1 Conso_bâtiment_EF</t>
  </si>
  <si>
    <t>0. Zones climatiques</t>
  </si>
  <si>
    <t>CONSOMMATION</t>
  </si>
  <si>
    <t>Coefficient</t>
  </si>
  <si>
    <t xml:space="preserve">Gains énergétiques et CO2 moyens entre équipements résidentiels et tertiaires </t>
  </si>
  <si>
    <t>A.2 Performances_Bâtiments</t>
  </si>
  <si>
    <t>%</t>
  </si>
  <si>
    <t>calcul à partir des données DPEX</t>
  </si>
  <si>
    <t>Alaïs ANDRE</t>
  </si>
  <si>
    <t>Consommations moyennes d'un process industriel</t>
  </si>
  <si>
    <t>MWh/an</t>
  </si>
  <si>
    <t>kWh/m2/an</t>
  </si>
  <si>
    <t>A.3. Conso_chaudière_indus</t>
  </si>
  <si>
    <t>à venir</t>
  </si>
  <si>
    <t>Les équipes de Laurent Lantoine travaille avec le CEREN pour construire le même document que pour les consommations de chaufferie, pour les process industriels</t>
  </si>
  <si>
    <t>A.4. Performances_industrie</t>
  </si>
  <si>
    <t>Consommations mobilité</t>
  </si>
  <si>
    <t>A.5. Km_Conso_Mobilité</t>
  </si>
  <si>
    <t xml:space="preserve">Consommations moyennes de carburant (GNV/BioGNV et diesel) par type de véhicule </t>
  </si>
  <si>
    <t>Statistiques du ministère de la transition écologique</t>
  </si>
  <si>
    <t>kg/100km (GNV/BioGNV) et L/100km (diesel)</t>
  </si>
  <si>
    <t>Elodie DUPRAY</t>
  </si>
  <si>
    <t>https://www.grdf.fr/acteurs-gnv/accompagnement-grdf-gnv/concevoir-projet/emissions-co2-carburants</t>
  </si>
  <si>
    <t xml:space="preserve">Simulateur GRDF GNV </t>
  </si>
  <si>
    <t>Facteurs d'émissions (gaz naturel, biométhane, électricité, fioul, diesel, GNV, BioGNV…)</t>
  </si>
  <si>
    <t>kgCO2eq/KWh</t>
  </si>
  <si>
    <t>D.1 Facteur d'émissions</t>
  </si>
  <si>
    <t xml:space="preserve">https://base-empreinte.ademe.fr/ </t>
  </si>
  <si>
    <t>Poids carbone</t>
  </si>
  <si>
    <t>Equivalents concrets CO2 (nb d'AR Paris-Marseille en TGV, nb tours de la Terre en voiture, etc.)</t>
  </si>
  <si>
    <t>D.2 Equivalents ADEME</t>
  </si>
  <si>
    <t>Calculatrice Impact CO2 ADEME</t>
  </si>
  <si>
    <t>Grégory PROST/Sébastien MAGNE</t>
  </si>
  <si>
    <t xml:space="preserve">Coûts financiers </t>
  </si>
  <si>
    <t>€ TTC</t>
  </si>
  <si>
    <t>C.1 Facteurs éco - coûts</t>
  </si>
  <si>
    <t>Coûts d'investissement des solutions de chauffage principales en résidentiel/tertiaire (gaz, hybride et élec)</t>
  </si>
  <si>
    <t>€/kWh</t>
  </si>
  <si>
    <t>Rénovation (à venir)</t>
  </si>
  <si>
    <r>
      <t xml:space="preserve">Grille du prix de repère de vente du </t>
    </r>
    <r>
      <rPr>
        <b/>
        <u/>
        <sz val="14"/>
        <rFont val="Arial"/>
        <family val="2"/>
        <scheme val="minor"/>
      </rPr>
      <t>gaz naturel</t>
    </r>
    <r>
      <rPr>
        <b/>
        <sz val="14"/>
        <rFont val="Arial"/>
        <family val="2"/>
        <scheme val="minor"/>
      </rPr>
      <t xml:space="preserve"> sur la zone de GRDF - à destination des clients résidentiels</t>
    </r>
  </si>
  <si>
    <r>
      <t xml:space="preserve">Grille du prix de repère de vente du </t>
    </r>
    <r>
      <rPr>
        <b/>
        <u/>
        <sz val="14"/>
        <rFont val="Arial"/>
        <family val="2"/>
        <scheme val="minor"/>
      </rPr>
      <t>gaz naturel</t>
    </r>
    <r>
      <rPr>
        <b/>
        <sz val="14"/>
        <rFont val="Arial"/>
        <family val="2"/>
        <scheme val="minor"/>
      </rPr>
      <t xml:space="preserve"> - à destination des clients professionnels </t>
    </r>
  </si>
  <si>
    <r>
      <t xml:space="preserve">Grille du tarif réglementé de </t>
    </r>
    <r>
      <rPr>
        <b/>
        <u/>
        <sz val="14"/>
        <rFont val="Arial"/>
        <family val="2"/>
        <scheme val="minor"/>
      </rPr>
      <t>l'électricité</t>
    </r>
    <r>
      <rPr>
        <b/>
        <sz val="14"/>
        <rFont val="Arial"/>
        <family val="2"/>
        <scheme val="minor"/>
      </rPr>
      <t xml:space="preserve"> commercialisé par EDF (tarif bleu option base) - pour un compteur 6kVA</t>
    </r>
  </si>
  <si>
    <r>
      <t xml:space="preserve">Grille du tarif réglementé de </t>
    </r>
    <r>
      <rPr>
        <b/>
        <u/>
        <sz val="14"/>
        <rFont val="Arial"/>
        <family val="2"/>
        <scheme val="minor"/>
      </rPr>
      <t>l'électricité</t>
    </r>
    <r>
      <rPr>
        <b/>
        <sz val="14"/>
        <rFont val="Arial"/>
        <family val="2"/>
        <scheme val="minor"/>
      </rPr>
      <t xml:space="preserve"> commercialisé par EDF (tarif bleu non résidentiel option base)</t>
    </r>
  </si>
  <si>
    <t>Prix du gaz naturel (résidentiel et professionnel)</t>
  </si>
  <si>
    <t>Prix de l'abonnement gaz naturel (résidentiel et professionnel)</t>
  </si>
  <si>
    <t>€/an</t>
  </si>
  <si>
    <t>CRE</t>
  </si>
  <si>
    <t>Prix réglementé du gaz naturel</t>
  </si>
  <si>
    <t xml:space="preserve">Prix du gaz vert </t>
  </si>
  <si>
    <t>Prix du fioul</t>
  </si>
  <si>
    <t>Prix de l'électricité (résidentiel et professionnel)</t>
  </si>
  <si>
    <t>Prix de l'abonnement électricité (résidentiel et professionnel)</t>
  </si>
  <si>
    <t>Panorama du prix des énergies</t>
  </si>
  <si>
    <t>EDF</t>
  </si>
  <si>
    <t>Tarif bleu option base</t>
  </si>
  <si>
    <t>https://www.statistiques.developpement-durable.gouv.fr/620-600-poids-lourds-en-circulation-au-1er-janvier-2023 
https://www.statistiques.developpement-durable.gouv.fr/66-100-autocars-et-27-800-autobus-en-circulation-au-1er-janvier-2024#:~:text=Le%20parcours%20annuel%20moyen%20des%20autobus%20est%20stable,en%20un%20an%2C%20s%E2%80%99%C3%A9tablissant%20%C3%A0%2029%20500%20km%2Fan.</t>
  </si>
  <si>
    <t>nombre</t>
  </si>
  <si>
    <t>Evolution du marché gaz</t>
  </si>
  <si>
    <t xml:space="preserve">Dataviz DCC </t>
  </si>
  <si>
    <t>Evolution de la consommation de gaz par usages d'ici 2020-2035</t>
  </si>
  <si>
    <t>TWh</t>
  </si>
  <si>
    <t>Trajectoire de rénovation en résidentiel et tertiaire 2020-2030, par régions</t>
  </si>
  <si>
    <t>Nombre d'équipement de chauffage par régions (THPE, PAC hybrides)</t>
  </si>
  <si>
    <t>ODRE</t>
  </si>
  <si>
    <t>Part de BioGNV dans le GNV en 2024</t>
  </si>
  <si>
    <t>Objectif part de BioGNV dans le GNV 2025</t>
  </si>
  <si>
    <r>
      <t>Source</t>
    </r>
    <r>
      <rPr>
        <i/>
        <sz val="11"/>
        <color rgb="FF000000"/>
        <rFont val="Calibri"/>
        <family val="2"/>
      </rPr>
      <t xml:space="preserve"> :  Panorama Biogaz 2024</t>
    </r>
  </si>
  <si>
    <t>Objectif part de BioGNV dans le GNV 2026</t>
  </si>
  <si>
    <r>
      <t>Source</t>
    </r>
    <r>
      <rPr>
        <i/>
        <sz val="11"/>
        <color rgb="FF000000"/>
        <rFont val="Calibri"/>
        <family val="2"/>
      </rPr>
      <t xml:space="preserve"> : Estimation onepoint pour atteindre 100% en 2033</t>
    </r>
  </si>
  <si>
    <t>Objectif part de BioGNV dans le GNV 2027</t>
  </si>
  <si>
    <t>Objectif part de BioGNV dans le GNV 2028</t>
  </si>
  <si>
    <t>Objectif part de BioGNV dans le GNV 2033</t>
  </si>
  <si>
    <t xml:space="preserve">Part de BioGNV dans le GNV </t>
  </si>
  <si>
    <t>6.</t>
  </si>
  <si>
    <t>Nombre de nouveaux véhicules GNV en 2024</t>
  </si>
  <si>
    <t>Panorama des biogaz 2024</t>
  </si>
  <si>
    <t>Part de bioGNV dans le GNV en 2025 et 2030</t>
  </si>
  <si>
    <t xml:space="preserve">6. </t>
  </si>
  <si>
    <t xml:space="preserve">Consommation de gaz dans la mobilité </t>
  </si>
  <si>
    <t>Consommation (TWh PCS)</t>
  </si>
  <si>
    <t>Source : DCC, déformation du portefeuille par segment à horizon 2030</t>
  </si>
  <si>
    <t>Déformation du portefeuille clients par segment à horizon 2030</t>
  </si>
  <si>
    <t>DCC</t>
  </si>
  <si>
    <t xml:space="preserve"> https://odre.opendatasoft.com/explore/dataset/vehicules-gnv/analyze/?disjunctive.parc_des_vehicules_gnv&amp;sort=date_anneemois&amp;dataChart=eyJxdWVyaWVzIjpbeyJjaGFydHMiOlt7InR5cGUiOiJjb2x1bW4iLCJmdW5jIjoiU1VNIiwieUF4aXMiOiJub21icm </t>
  </si>
  <si>
    <t xml:space="preserve">https://www.natrangroupe.com/sites/default/files/pa/panorama-gaz-renouvelables-2024.pdf </t>
  </si>
  <si>
    <t>Fréquence de mise à jour</t>
  </si>
  <si>
    <t>En cas de changement de conventions</t>
  </si>
  <si>
    <t>En cas de nouveaux travaux du CEREN</t>
  </si>
  <si>
    <t>Pas de mise à jour prévue</t>
  </si>
  <si>
    <t>A la sortie d'un nouveau FE (3-4 ans)</t>
  </si>
  <si>
    <t>Trimestriel</t>
  </si>
  <si>
    <t xml:space="preserve">A la sortie de nouvelles analyses </t>
  </si>
  <si>
    <t>Ratio de consommation par zone climatique H1, H2, H3</t>
  </si>
  <si>
    <t>Consommations moyennes d'une chaudière à gaz industrielle par type de puissance</t>
  </si>
  <si>
    <t>Source Interne/externe</t>
  </si>
  <si>
    <t>Gains CO2 moyens par actions d'efficacité énergétique (chaufferie et processus)</t>
  </si>
  <si>
    <t>Ratio de conversion énergétiques PCI/PCS et énergie finale/énergie primaire</t>
  </si>
  <si>
    <t>https://prod-basecarbonesolo.ademe-dri.fr/documentation/UPLOAD_DOC_FR/index.htm?passage_du_pcs_au_pci.htm</t>
  </si>
  <si>
    <r>
      <rPr>
        <sz val="11"/>
        <rFont val="Arial"/>
        <family val="2"/>
        <scheme val="minor"/>
      </rPr>
      <t xml:space="preserve">PCI/PCS </t>
    </r>
    <r>
      <rPr>
        <u/>
        <sz val="11"/>
        <color theme="10"/>
        <rFont val="Arial"/>
        <family val="2"/>
        <scheme val="minor"/>
      </rPr>
      <t xml:space="preserve">: https://impactco2.fr/outils/comparateur#simulateur
</t>
    </r>
    <r>
      <rPr>
        <sz val="11"/>
        <rFont val="Arial"/>
        <family val="2"/>
        <scheme val="minor"/>
      </rPr>
      <t>EF/EP :</t>
    </r>
    <r>
      <rPr>
        <u/>
        <sz val="11"/>
        <color theme="10"/>
        <rFont val="Arial"/>
        <family val="2"/>
        <scheme val="minor"/>
      </rPr>
      <t xml:space="preserve"> https://conseils-thermiques.org/contenu/conversion_energie_primaire_finale.php</t>
    </r>
  </si>
  <si>
    <r>
      <t>Consommations moyennes par équipement par m2 par type de bâtiment (</t>
    </r>
    <r>
      <rPr>
        <i/>
        <sz val="11"/>
        <color theme="1"/>
        <rFont val="Arial"/>
        <family val="2"/>
        <scheme val="minor"/>
      </rPr>
      <t>existant</t>
    </r>
    <r>
      <rPr>
        <sz val="11"/>
        <color theme="1"/>
        <rFont val="Arial"/>
        <family val="2"/>
        <scheme val="minor"/>
      </rPr>
      <t>) - décliné en zone H1, H2 et H3 en énergie finale</t>
    </r>
  </si>
  <si>
    <r>
      <t>Consommations moyennes par équipement par m2 par type de bâtiment (</t>
    </r>
    <r>
      <rPr>
        <i/>
        <sz val="11"/>
        <color theme="1"/>
        <rFont val="Arial"/>
        <family val="2"/>
        <scheme val="minor"/>
      </rPr>
      <t>neuf</t>
    </r>
    <r>
      <rPr>
        <sz val="11"/>
        <color theme="1"/>
        <rFont val="Arial"/>
        <family val="2"/>
        <scheme val="minor"/>
      </rPr>
      <t>) - décliné en zone H1, H2 et H3 en énergie finale</t>
    </r>
  </si>
  <si>
    <t>Descriptif des données</t>
  </si>
  <si>
    <t>Kilométrage annuel moyen par type de véhicule (poids lourds, véhiculers légers, bus, autocar)</t>
  </si>
  <si>
    <t>Commentaires/liens</t>
  </si>
  <si>
    <t xml:space="preserve">Demande faite à Benoît de nous communiquer la source des chiffres partagés </t>
  </si>
  <si>
    <r>
      <rPr>
        <b/>
        <sz val="11"/>
        <color theme="5"/>
        <rFont val="Arial"/>
        <family val="2"/>
        <scheme val="minor"/>
      </rPr>
      <t>D.1.</t>
    </r>
    <r>
      <rPr>
        <sz val="11"/>
        <color theme="5"/>
        <rFont val="Arial"/>
        <family val="2"/>
        <scheme val="minor"/>
      </rPr>
      <t xml:space="preserve"> Facteurs d'émissions, ratio PCI/PCS et EF/EP</t>
    </r>
  </si>
  <si>
    <r>
      <t xml:space="preserve">B.1. </t>
    </r>
    <r>
      <rPr>
        <sz val="11"/>
        <color theme="5"/>
        <rFont val="Arial"/>
        <family val="2"/>
        <scheme val="minor"/>
      </rPr>
      <t>Gains énergétique et CO2 d'une rénovation (logement social)</t>
    </r>
    <r>
      <rPr>
        <b/>
        <sz val="11"/>
        <color theme="5"/>
        <rFont val="Arial"/>
        <family val="2"/>
        <scheme val="minor"/>
      </rPr>
      <t xml:space="preserve"> - à valider</t>
    </r>
  </si>
  <si>
    <t>DPEX - Méthode réglementaire 3CL-2021 (méthode de calcul des consommations conventionnelles du DPE). Calculs réalisés par le bureau d'études TRIBU Energie pour le compte de GRDF.</t>
  </si>
  <si>
    <t>DPEX - Consommation moyenne de gaz par m² et par type de bâtiment : données du CEREN sur le parc gaz en 2023.
Ventilation par type d'équipement :
- Estimation de la proportion de chaudières THPE vs. standards dans le parc, à partir de diverses sources dont les benchmarks d'EHI (cf. https://ehi.eu/wp-content/uploads/2025/04/HMR2024_web.pdf).
- Rendements des équipements indiqués dans la méthode 3CL-2021 (valeurs par défaut) ou, pour les équipements non modélisés dans 3CL, estimés "à dire d'expert".</t>
  </si>
  <si>
    <t>DPEX - Simulations réalisées par le CRIGEN à partir de la méthode réglementaire d’évaluation des consommations conventionnelles des bâtiments neufs (Th-BCE 2020)</t>
  </si>
  <si>
    <t>CC2 RA</t>
  </si>
  <si>
    <t>radiateurs</t>
  </si>
  <si>
    <t>hybride</t>
  </si>
  <si>
    <t xml:space="preserve">Chaudière gaz standard de plus de 15 ans </t>
  </si>
  <si>
    <t>Chaudière gaz THPE</t>
  </si>
  <si>
    <t xml:space="preserve">Chaudière fioul standard de plus de 15 ans </t>
  </si>
  <si>
    <t>kWh gaz</t>
  </si>
  <si>
    <t>PCI</t>
  </si>
  <si>
    <t>Surface moyenne maison fioul initial</t>
  </si>
  <si>
    <t xml:space="preserve">Maison - existant </t>
  </si>
  <si>
    <t>CC2 IN</t>
  </si>
  <si>
    <t xml:space="preserve">Appartement chauffage individuel - existant </t>
  </si>
  <si>
    <t>% moyen d'émissions de CO2 évitées</t>
  </si>
  <si>
    <t>Nouvel équipement</t>
  </si>
  <si>
    <r>
      <t xml:space="preserve">PAC A/E + THPE
</t>
    </r>
    <r>
      <rPr>
        <sz val="11"/>
        <color theme="1"/>
        <rFont val="Inter"/>
      </rPr>
      <t>(= PAC hybride)</t>
    </r>
  </si>
  <si>
    <r>
      <t xml:space="preserve">PAC A/A + THPE
</t>
    </r>
    <r>
      <rPr>
        <sz val="11"/>
        <color theme="1"/>
        <rFont val="Inter"/>
      </rPr>
      <t>(= PAC hybride)</t>
    </r>
  </si>
  <si>
    <r>
      <t xml:space="preserve"> Nombre de tonnes de CO2 évitées par an en moyenne - </t>
    </r>
    <r>
      <rPr>
        <b/>
        <sz val="18"/>
        <rFont val="Inter"/>
      </rPr>
      <t>zone H2</t>
    </r>
  </si>
  <si>
    <r>
      <t xml:space="preserve">Nombre de tonnes de CO2 évitées par an en moyenne - </t>
    </r>
    <r>
      <rPr>
        <b/>
        <sz val="18"/>
        <rFont val="Inter"/>
      </rPr>
      <t>zone H1</t>
    </r>
  </si>
  <si>
    <r>
      <t xml:space="preserve">Nombre de tonnes de CO2 évitées par an en moyenne - </t>
    </r>
    <r>
      <rPr>
        <b/>
        <sz val="18"/>
        <rFont val="Inter"/>
      </rPr>
      <t>zone H3</t>
    </r>
  </si>
  <si>
    <t>Lecture :  remplacer une chaudière gaz standard de plus de 15 ans par une chaudière gaz THPE permet de faire 25% d'économie de CO2 en moyenne</t>
  </si>
  <si>
    <t>SI(zone clim="H2";formule H2;SI(zone clim="H1";formule H1;SI(zone climatique="H3";formule H2;rien)))</t>
  </si>
  <si>
    <t>Lecture :  remplacer une chaudière gaz standard par une chaudière gaz THPE permet d'éviter 0,9 tonnes de CO2eq en moyenne</t>
  </si>
  <si>
    <t>radiateurs vs. THPE</t>
  </si>
  <si>
    <t>radiateurs vs. Hyb</t>
  </si>
  <si>
    <t>Appartement indiv</t>
  </si>
  <si>
    <r>
      <t>PAC</t>
    </r>
    <r>
      <rPr>
        <b/>
        <u/>
        <sz val="11"/>
        <color theme="1"/>
        <rFont val="Inter"/>
      </rPr>
      <t xml:space="preserve"> A/E</t>
    </r>
    <r>
      <rPr>
        <b/>
        <sz val="11"/>
        <color theme="1"/>
        <rFont val="Inter"/>
      </rPr>
      <t xml:space="preserve"> + THPE
</t>
    </r>
    <r>
      <rPr>
        <sz val="11"/>
        <color theme="1"/>
        <rFont val="Inter"/>
      </rPr>
      <t>(= PAC hybride)</t>
    </r>
  </si>
  <si>
    <r>
      <t xml:space="preserve">PAC </t>
    </r>
    <r>
      <rPr>
        <b/>
        <u/>
        <sz val="11"/>
        <color theme="1"/>
        <rFont val="Inter"/>
      </rPr>
      <t>A/A</t>
    </r>
    <r>
      <rPr>
        <b/>
        <sz val="11"/>
        <color theme="1"/>
        <rFont val="Inter"/>
      </rPr>
      <t xml:space="preserve"> + THPE</t>
    </r>
  </si>
  <si>
    <r>
      <t>Pour les conversions fioul et électricité, on calcule ici les émissions de CO2 évitées ou supplémentaires en comparaison aux émissions de l’équipement initial (</t>
    </r>
    <r>
      <rPr>
        <u/>
        <sz val="12"/>
        <color theme="5"/>
        <rFont val="Inter"/>
      </rPr>
      <t xml:space="preserve">à l’échelle de la France </t>
    </r>
    <r>
      <rPr>
        <sz val="12"/>
        <color theme="5"/>
        <rFont val="Inter"/>
      </rPr>
      <t>donc</t>
    </r>
    <r>
      <rPr>
        <b/>
        <sz val="12"/>
        <color theme="5"/>
        <rFont val="Inter"/>
      </rPr>
      <t xml:space="preserve"> </t>
    </r>
    <r>
      <rPr>
        <sz val="12"/>
        <color theme="5"/>
        <rFont val="Inter"/>
      </rPr>
      <t>et non de GRDF)</t>
    </r>
  </si>
  <si>
    <t>Solution concurrence</t>
  </si>
  <si>
    <t>Sur 15 ans</t>
  </si>
  <si>
    <t>€/tCO2 évitée sur la période</t>
  </si>
  <si>
    <t>Chauffage et ECS</t>
  </si>
  <si>
    <r>
      <t xml:space="preserve">PAC A/E + THPE 
</t>
    </r>
    <r>
      <rPr>
        <sz val="11"/>
        <color theme="1"/>
        <rFont val="Inter"/>
      </rPr>
      <t>(PAC hybride)</t>
    </r>
  </si>
  <si>
    <t>Déclaration de ventes de PAC H</t>
  </si>
  <si>
    <t>PAC elec</t>
  </si>
  <si>
    <t>PAC vs. THPE</t>
  </si>
  <si>
    <t>PAC élec</t>
  </si>
  <si>
    <t xml:space="preserve">Propane </t>
  </si>
  <si>
    <r>
      <t>Base empreinte</t>
    </r>
    <r>
      <rPr>
        <sz val="11"/>
        <color theme="1"/>
        <rFont val="Aptos Narrow"/>
        <family val="2"/>
      </rPr>
      <t>® ADEME</t>
    </r>
    <r>
      <rPr>
        <sz val="11"/>
        <color theme="1"/>
        <rFont val="Arial"/>
        <family val="2"/>
        <scheme val="minor"/>
      </rPr>
      <t xml:space="preserve"> (2020)</t>
    </r>
  </si>
  <si>
    <t>Bois granulé</t>
  </si>
  <si>
    <t>€/tCO2 évitée sur la période (PAC)</t>
  </si>
  <si>
    <t>Gains CO2 vs. PAC 100% élec</t>
  </si>
  <si>
    <t>Gains CO2 fioul --&gt; gaz (100% gaz vert)</t>
  </si>
  <si>
    <t>Gains CO2 fioul --&gt; hybride (100% gaz vert)</t>
  </si>
  <si>
    <t>Gains CO2 gaz --&gt; hybride (100% gaz vert)</t>
  </si>
  <si>
    <t>Les chiffres sont données pour 100% de gaz vert</t>
  </si>
  <si>
    <t>Gains CO2 gaz --&gt; gaz (100% gaz vert)</t>
  </si>
  <si>
    <t>Soit</t>
  </si>
  <si>
    <t xml:space="preserve">Chaudière au bois de plus de 15 ans </t>
  </si>
  <si>
    <t xml:space="preserve">Chaudière propane standard de plus de 15 ans </t>
  </si>
  <si>
    <t>Consommation propane (kWh PCI/m2)</t>
  </si>
  <si>
    <t>€ investi/tCO2 évitée sur la période</t>
  </si>
  <si>
    <t>€ investi/tCO2 évitée sur la période (PAC)</t>
  </si>
  <si>
    <t>Gains €</t>
  </si>
  <si>
    <t>MGP</t>
  </si>
  <si>
    <t>Var %</t>
  </si>
  <si>
    <t>Var nb</t>
  </si>
  <si>
    <t>tCO2eq évitées (différence entre 2025 et 2024)</t>
  </si>
  <si>
    <r>
      <t xml:space="preserve">Nombre de ventes de </t>
    </r>
    <r>
      <rPr>
        <b/>
        <u/>
        <sz val="12"/>
        <color theme="1"/>
        <rFont val="Arial"/>
        <family val="2"/>
        <scheme val="minor"/>
      </rPr>
      <t>PAC hybrides individuelles</t>
    </r>
    <r>
      <rPr>
        <b/>
        <sz val="12"/>
        <color theme="1"/>
        <rFont val="Arial"/>
        <family val="2"/>
        <scheme val="minor"/>
      </rPr>
      <t xml:space="preserve"> entre août 2025 et 2024</t>
    </r>
  </si>
  <si>
    <t>Volume de gaz vert acheté</t>
  </si>
  <si>
    <t>Nombre d'années</t>
  </si>
  <si>
    <t>CC2 IN (neuf)</t>
  </si>
  <si>
    <t>Chaudière gaz THPE + CET</t>
  </si>
  <si>
    <t>-</t>
  </si>
  <si>
    <t>Chaudière bois (granulés)</t>
  </si>
  <si>
    <t>Citerne de propane</t>
  </si>
  <si>
    <t>CC2 IN (existant)</t>
  </si>
  <si>
    <t>Surface moyenne maison hors fioul</t>
  </si>
  <si>
    <t>Surface moyenne appartement hors fioul</t>
  </si>
  <si>
    <t>Consommation bois par m2 (kWh/m2)</t>
  </si>
  <si>
    <t>Consommation propane (kWh/m2)</t>
  </si>
  <si>
    <r>
      <rPr>
        <b/>
        <sz val="11"/>
        <color theme="1"/>
        <rFont val="Arial"/>
        <family val="2"/>
        <scheme val="minor"/>
      </rPr>
      <t>Hypothèses</t>
    </r>
    <r>
      <rPr>
        <sz val="11"/>
        <color theme="1"/>
        <rFont val="Arial"/>
        <family val="2"/>
        <scheme val="minor"/>
      </rPr>
      <t xml:space="preserve"> : une PAC hybride est posée en remplacement d'une chaudière standard de plus de 15 ans en maison individuelle, en zone H2, 0% gaz vert</t>
    </r>
  </si>
  <si>
    <t>Soit plus de 500 000 A/R Paris-Marseille en TGV</t>
  </si>
  <si>
    <t>GWh</t>
  </si>
  <si>
    <t>/an</t>
  </si>
  <si>
    <t>tCO2 évitées vs. contrat 100% gaz naturel</t>
  </si>
  <si>
    <t>Exemple de résultat concret d'accompagnement client : SANOFI</t>
  </si>
  <si>
    <r>
      <t xml:space="preserve">Signature d’un </t>
    </r>
    <r>
      <rPr>
        <b/>
        <sz val="10"/>
        <color rgb="FF000000"/>
        <rFont val="Inter"/>
      </rPr>
      <t>contrat d’achat de biométhane à long terme</t>
    </r>
    <r>
      <rPr>
        <sz val="10"/>
        <color rgb="FF000000"/>
        <rFont val="Inter"/>
      </rPr>
      <t xml:space="preserve"> (210 GWh par an sur 6 ans), qui représente 56% des consommations annuelles de gaz des sites de SANOFI en France</t>
    </r>
  </si>
  <si>
    <t>GWh (PCI - à confirmer ?)</t>
  </si>
  <si>
    <t>Total sur 6 ans</t>
  </si>
  <si>
    <t>Solution concurrente</t>
  </si>
  <si>
    <t>Prix d'une PAC 100% élec</t>
  </si>
  <si>
    <t>Gains CO2 vs. radiateurs élec</t>
  </si>
  <si>
    <t>€ investi/tCO2 évitée sur la période (radiateurs)</t>
  </si>
  <si>
    <t>Gains CO2 vs.PAC 100% élec</t>
  </si>
  <si>
    <t xml:space="preserve">Nouvel équipement </t>
  </si>
  <si>
    <t xml:space="preserve">Soit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</si>
</sst>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5" formatCode="#,##0\ &quot;€&quot;;\-#,##0\ &quot;€&quot;"/>
    <numFmt numFmtId="6" formatCode="#,##0\ &quot;€&quot;;[Red]\-#,##0\ &quot;€&quot;"/>
    <numFmt numFmtId="7" formatCode="#,##0.00\ &quot;€&quot;;\-#,##0.00\ &quot;€&quot;"/>
    <numFmt numFmtId="44" formatCode="_-* #,##0.00\ &quot;€&quot;_-;\-* #,##0.00\ &quot;€&quot;_-;_-* &quot;-&quot;??\ &quot;€&quot;_-;_-@_-"/>
    <numFmt numFmtId="43" formatCode="_-* #,##0.00_-;\-* #,##0.00_-;_-* &quot;-&quot;??_-;_-@_-"/>
    <numFmt numFmtId="164" formatCode="_-* #,##0_-;\-* #,##0_-;_-* &quot;-&quot;??_-;_-@_-"/>
    <numFmt numFmtId="165" formatCode="0.000"/>
    <numFmt numFmtId="166" formatCode="0.0"/>
    <numFmt numFmtId="167" formatCode="_-* #,##0\ &quot;€&quot;_-;\-* #,##0\ &quot;€&quot;_-;_-* &quot;-&quot;??\ &quot;€&quot;_-;_-@_-"/>
    <numFmt numFmtId="168" formatCode="_-* #,##0.0000\ &quot;€&quot;_-;\-* #,##0.0000\ &quot;€&quot;_-;_-* &quot;-&quot;??\ &quot;€&quot;_-;_-@_-"/>
    <numFmt numFmtId="169" formatCode="0.0000"/>
    <numFmt numFmtId="170" formatCode="#,##0.00\ &quot;€&quot;"/>
    <numFmt numFmtId="171" formatCode="0.0%"/>
    <numFmt numFmtId="172" formatCode="_-* \+#,##0_-;\-* #,##0_-;_-* &quot;-&quot;??_-;_-@_-"/>
    <numFmt numFmtId="173" formatCode="\+0.0%"/>
    <numFmt numFmtId="174" formatCode="\+0%"/>
    <numFmt numFmtId="175" formatCode="_-* #,##0.0_-;\-* #,##0.0_-;_-* &quot;-&quot;??_-;_-@_-"/>
    <numFmt numFmtId="176" formatCode="_-* #,##0.00\ [$€-40C]_-;\-* #,##0.00\ [$€-40C]_-;_-* &quot;-&quot;??\ [$€-40C]_-;_-@_-"/>
    <numFmt numFmtId="177" formatCode="_-* #,##0.0\ _€_-;\-* #,##0.0\ _€_-;_-* &quot;-&quot;?\ _€_-;_-@_-"/>
    <numFmt numFmtId="178" formatCode="_-* #,##0.000_-;\-* #,##0.000_-;_-* &quot;-&quot;??_-;_-@_-"/>
    <numFmt numFmtId="179" formatCode="#,##0.0"/>
    <numFmt numFmtId="180" formatCode="#,##0\ &quot;€&quot;"/>
    <numFmt numFmtId="181" formatCode="\+0.00%"/>
    <numFmt numFmtId="182" formatCode="_-* #,##0.00\ _€_-;\-* #,##0.00\ _€_-;_-* &quot;-&quot;??\ _€_-;_-@_-"/>
    <numFmt numFmtId="183" formatCode="\+0.0"/>
  </numFmts>
  <fonts count="189" x14ac:knownFonts="1">
    <font>
      <sz val="11"/>
      <color theme="1"/>
      <name val="Arial"/>
      <family val="2"/>
      <scheme val="minor"/>
    </font>
    <font>
      <sz val="11"/>
      <color theme="1"/>
      <name val="Arial"/>
      <family val="2"/>
      <scheme val="minor"/>
    </font>
    <font>
      <b/>
      <sz val="11"/>
      <color theme="1"/>
      <name val="Arial"/>
      <family val="2"/>
      <scheme val="minor"/>
    </font>
    <font>
      <b/>
      <sz val="11"/>
      <color theme="5"/>
      <name val="Arial"/>
      <family val="2"/>
      <scheme val="minor"/>
    </font>
    <font>
      <b/>
      <i/>
      <sz val="11"/>
      <color theme="1"/>
      <name val="Arial"/>
      <family val="2"/>
      <scheme val="minor"/>
    </font>
    <font>
      <b/>
      <sz val="11"/>
      <color theme="7"/>
      <name val="Arial"/>
      <family val="2"/>
      <scheme val="minor"/>
    </font>
    <font>
      <b/>
      <sz val="11"/>
      <color theme="6"/>
      <name val="Arial"/>
      <family val="2"/>
      <scheme val="minor"/>
    </font>
    <font>
      <sz val="14"/>
      <color theme="1"/>
      <name val="Arial"/>
      <family val="2"/>
      <scheme val="minor"/>
    </font>
    <font>
      <i/>
      <sz val="11"/>
      <color theme="1"/>
      <name val="Arial"/>
      <family val="2"/>
      <scheme val="minor"/>
    </font>
    <font>
      <b/>
      <sz val="11"/>
      <color theme="3"/>
      <name val="Arial"/>
      <family val="2"/>
      <scheme val="minor"/>
    </font>
    <font>
      <b/>
      <sz val="11"/>
      <name val="Arial"/>
      <family val="2"/>
      <scheme val="minor"/>
    </font>
    <font>
      <sz val="11"/>
      <name val="Arial"/>
      <family val="2"/>
      <scheme val="minor"/>
    </font>
    <font>
      <sz val="8"/>
      <name val="Arial"/>
      <family val="2"/>
      <scheme val="minor"/>
    </font>
    <font>
      <b/>
      <sz val="12"/>
      <color theme="1"/>
      <name val="Arial"/>
      <family val="2"/>
      <scheme val="minor"/>
    </font>
    <font>
      <b/>
      <i/>
      <sz val="11"/>
      <name val="Arial"/>
      <family val="2"/>
      <scheme val="minor"/>
    </font>
    <font>
      <b/>
      <sz val="11"/>
      <color theme="0"/>
      <name val="Arial"/>
      <family val="2"/>
      <scheme val="minor"/>
    </font>
    <font>
      <sz val="11"/>
      <color rgb="FFFF0000"/>
      <name val="Arial"/>
      <family val="2"/>
      <scheme val="minor"/>
    </font>
    <font>
      <b/>
      <sz val="14"/>
      <color theme="1"/>
      <name val="Arial"/>
      <family val="2"/>
      <scheme val="minor"/>
    </font>
    <font>
      <b/>
      <sz val="11"/>
      <color rgb="FFFF0000"/>
      <name val="Arial"/>
      <family val="2"/>
      <scheme val="minor"/>
    </font>
    <font>
      <sz val="9"/>
      <color indexed="81"/>
      <name val="Tahoma"/>
      <family val="2"/>
    </font>
    <font>
      <b/>
      <sz val="9"/>
      <color indexed="81"/>
      <name val="Tahoma"/>
      <family val="2"/>
    </font>
    <font>
      <b/>
      <sz val="14"/>
      <color theme="5"/>
      <name val="Arial"/>
      <family val="2"/>
      <scheme val="minor"/>
    </font>
    <font>
      <b/>
      <sz val="16"/>
      <color rgb="FFC00000"/>
      <name val="Arial"/>
      <family val="2"/>
      <scheme val="minor"/>
    </font>
    <font>
      <b/>
      <i/>
      <sz val="11"/>
      <color rgb="FFFF0000"/>
      <name val="Arial"/>
      <family val="2"/>
      <scheme val="minor"/>
    </font>
    <font>
      <b/>
      <sz val="14"/>
      <color rgb="FFFF0000"/>
      <name val="Arial"/>
      <family val="2"/>
      <scheme val="minor"/>
    </font>
    <font>
      <sz val="11"/>
      <color theme="2" tint="-9.9978637043366805E-2"/>
      <name val="Arial"/>
      <family val="2"/>
      <scheme val="minor"/>
    </font>
    <font>
      <b/>
      <i/>
      <sz val="11"/>
      <color theme="6"/>
      <name val="Arial"/>
      <family val="2"/>
      <scheme val="minor"/>
    </font>
    <font>
      <b/>
      <sz val="12"/>
      <color rgb="FF242424"/>
      <name val="Aptos Narrow"/>
      <family val="2"/>
    </font>
    <font>
      <b/>
      <sz val="14"/>
      <name val="Arial"/>
      <family val="2"/>
      <scheme val="minor"/>
    </font>
    <font>
      <b/>
      <sz val="12"/>
      <name val="Arial"/>
      <family val="2"/>
      <scheme val="minor"/>
    </font>
    <font>
      <sz val="10"/>
      <name val="Arial"/>
      <family val="2"/>
      <scheme val="minor"/>
    </font>
    <font>
      <b/>
      <sz val="10"/>
      <name val="Arial"/>
      <family val="2"/>
      <scheme val="minor"/>
    </font>
    <font>
      <b/>
      <u/>
      <sz val="14"/>
      <color theme="5"/>
      <name val="Arial"/>
      <family val="2"/>
      <scheme val="minor"/>
    </font>
    <font>
      <sz val="12"/>
      <color theme="1"/>
      <name val="Aptos"/>
      <family val="2"/>
    </font>
    <font>
      <b/>
      <i/>
      <sz val="12"/>
      <color theme="1"/>
      <name val="Aptos"/>
      <family val="2"/>
    </font>
    <font>
      <b/>
      <sz val="12"/>
      <color theme="1"/>
      <name val="Aptos"/>
      <family val="2"/>
    </font>
    <font>
      <sz val="14"/>
      <color theme="1"/>
      <name val="Aptos"/>
      <family val="2"/>
    </font>
    <font>
      <b/>
      <sz val="14"/>
      <color theme="1"/>
      <name val="Aptos"/>
      <family val="2"/>
    </font>
    <font>
      <b/>
      <sz val="16"/>
      <color theme="5"/>
      <name val="Arial"/>
      <family val="2"/>
      <scheme val="minor"/>
    </font>
    <font>
      <sz val="12"/>
      <color theme="1"/>
      <name val="Arial"/>
      <family val="2"/>
      <scheme val="minor"/>
    </font>
    <font>
      <sz val="11"/>
      <color theme="1"/>
      <name val="Aptos"/>
      <family val="2"/>
    </font>
    <font>
      <b/>
      <sz val="11"/>
      <color theme="1"/>
      <name val="Aptos"/>
      <family val="2"/>
    </font>
    <font>
      <i/>
      <sz val="12"/>
      <color theme="1"/>
      <name val="Aptos"/>
      <family val="2"/>
    </font>
    <font>
      <sz val="16"/>
      <color theme="1"/>
      <name val="Aptos"/>
      <family val="2"/>
    </font>
    <font>
      <sz val="11"/>
      <color rgb="FFFF0000"/>
      <name val="Aptos"/>
      <family val="2"/>
    </font>
    <font>
      <b/>
      <sz val="18"/>
      <color theme="5"/>
      <name val="Aptos"/>
      <family val="2"/>
    </font>
    <font>
      <u/>
      <sz val="11"/>
      <color theme="10"/>
      <name val="Arial"/>
      <family val="2"/>
      <scheme val="minor"/>
    </font>
    <font>
      <i/>
      <sz val="11"/>
      <color rgb="FFFF0000"/>
      <name val="Aptos"/>
      <family val="2"/>
    </font>
    <font>
      <sz val="11"/>
      <color theme="1"/>
      <name val="Aptos Narrow"/>
      <family val="2"/>
    </font>
    <font>
      <b/>
      <sz val="16"/>
      <color theme="5"/>
      <name val="Aptos"/>
      <family val="2"/>
    </font>
    <font>
      <sz val="16"/>
      <color theme="5"/>
      <name val="Aptos"/>
      <family val="2"/>
    </font>
    <font>
      <b/>
      <u/>
      <sz val="12"/>
      <color theme="6"/>
      <name val="Aptos"/>
      <family val="2"/>
    </font>
    <font>
      <sz val="16"/>
      <color rgb="FFFF0000"/>
      <name val="Arial"/>
      <family val="2"/>
      <scheme val="minor"/>
    </font>
    <font>
      <b/>
      <sz val="11"/>
      <color theme="0"/>
      <name val="Calibri"/>
      <family val="2"/>
    </font>
    <font>
      <b/>
      <sz val="10"/>
      <color theme="1"/>
      <name val="Arial"/>
      <family val="2"/>
      <scheme val="minor"/>
    </font>
    <font>
      <sz val="11"/>
      <color rgb="FF000000"/>
      <name val="Calibri"/>
      <family val="2"/>
    </font>
    <font>
      <sz val="10"/>
      <color theme="1"/>
      <name val="Arial"/>
      <family val="2"/>
      <scheme val="minor"/>
    </font>
    <font>
      <sz val="11"/>
      <name val="Calibri"/>
      <family val="2"/>
    </font>
    <font>
      <b/>
      <u/>
      <sz val="11"/>
      <color theme="1"/>
      <name val="Arial"/>
      <family val="2"/>
      <scheme val="minor"/>
    </font>
    <font>
      <b/>
      <u/>
      <sz val="16"/>
      <color theme="5"/>
      <name val="Arial"/>
      <family val="2"/>
      <scheme val="minor"/>
    </font>
    <font>
      <b/>
      <u/>
      <sz val="18"/>
      <color theme="5"/>
      <name val="Arial"/>
      <family val="2"/>
      <scheme val="minor"/>
    </font>
    <font>
      <b/>
      <sz val="10"/>
      <color theme="1" tint="4.9989318521683403E-2"/>
      <name val="Arial"/>
      <family val="2"/>
      <scheme val="minor"/>
    </font>
    <font>
      <sz val="10"/>
      <name val="Calibri"/>
      <family val="2"/>
    </font>
    <font>
      <sz val="10"/>
      <color rgb="FF000000"/>
      <name val="Calibri"/>
      <family val="2"/>
    </font>
    <font>
      <sz val="11"/>
      <color rgb="FF00B050"/>
      <name val="Arial"/>
      <family val="2"/>
      <scheme val="minor"/>
    </font>
    <font>
      <sz val="10"/>
      <color rgb="FF00B050"/>
      <name val="Arial"/>
      <family val="2"/>
      <scheme val="minor"/>
    </font>
    <font>
      <b/>
      <sz val="10"/>
      <color rgb="FF00B050"/>
      <name val="Arial"/>
      <family val="2"/>
      <scheme val="minor"/>
    </font>
    <font>
      <sz val="10"/>
      <color rgb="FFFF0000"/>
      <name val="Arial"/>
      <family val="2"/>
      <scheme val="minor"/>
    </font>
    <font>
      <b/>
      <sz val="10"/>
      <color rgb="FFFF0000"/>
      <name val="Arial"/>
      <family val="2"/>
      <scheme val="minor"/>
    </font>
    <font>
      <b/>
      <sz val="16"/>
      <color theme="1"/>
      <name val="Aptos"/>
      <family val="2"/>
    </font>
    <font>
      <b/>
      <sz val="18"/>
      <color theme="1"/>
      <name val="Aptos"/>
      <family val="2"/>
    </font>
    <font>
      <b/>
      <u/>
      <sz val="14"/>
      <color theme="6"/>
      <name val="Aptos"/>
      <family val="2"/>
    </font>
    <font>
      <sz val="12"/>
      <color rgb="FFFF0000"/>
      <name val="Aptos"/>
      <family val="2"/>
    </font>
    <font>
      <sz val="12"/>
      <color theme="4"/>
      <name val="Aptos"/>
      <family val="2"/>
    </font>
    <font>
      <b/>
      <sz val="16"/>
      <color theme="6"/>
      <name val="Arial"/>
      <family val="2"/>
      <scheme val="minor"/>
    </font>
    <font>
      <i/>
      <sz val="11"/>
      <name val="Arial"/>
      <family val="2"/>
      <scheme val="minor"/>
    </font>
    <font>
      <b/>
      <sz val="14"/>
      <color theme="6"/>
      <name val="Arial"/>
      <family val="2"/>
      <scheme val="minor"/>
    </font>
    <font>
      <sz val="11"/>
      <color theme="0"/>
      <name val="Arial"/>
      <family val="2"/>
      <scheme val="minor"/>
    </font>
    <font>
      <i/>
      <sz val="14"/>
      <name val="Arial"/>
      <family val="2"/>
      <scheme val="minor"/>
    </font>
    <font>
      <b/>
      <sz val="12"/>
      <color rgb="FFFF0000"/>
      <name val="Arial"/>
      <family val="2"/>
      <scheme val="minor"/>
    </font>
    <font>
      <u/>
      <sz val="11"/>
      <color theme="1"/>
      <name val="Arial"/>
      <family val="2"/>
      <scheme val="minor"/>
    </font>
    <font>
      <sz val="11"/>
      <color theme="5"/>
      <name val="Arial"/>
      <family val="2"/>
      <scheme val="minor"/>
    </font>
    <font>
      <b/>
      <sz val="11"/>
      <color theme="4"/>
      <name val="Arial"/>
      <family val="2"/>
      <scheme val="minor"/>
    </font>
    <font>
      <sz val="16"/>
      <color theme="1"/>
      <name val="Arial"/>
      <family val="2"/>
      <scheme val="minor"/>
    </font>
    <font>
      <sz val="22"/>
      <color theme="1"/>
      <name val="Arial"/>
      <family val="2"/>
      <scheme val="minor"/>
    </font>
    <font>
      <sz val="20"/>
      <color theme="1"/>
      <name val="Arial"/>
      <family val="2"/>
      <scheme val="minor"/>
    </font>
    <font>
      <b/>
      <sz val="14"/>
      <color rgb="FFC00000"/>
      <name val="Aptos"/>
      <family val="2"/>
    </font>
    <font>
      <b/>
      <sz val="12"/>
      <color theme="6"/>
      <name val="Aptos"/>
      <family val="2"/>
    </font>
    <font>
      <b/>
      <sz val="11"/>
      <color theme="1"/>
      <name val="Arial"/>
      <family val="2"/>
      <scheme val="major"/>
    </font>
    <font>
      <sz val="11"/>
      <color theme="1"/>
      <name val="Arial"/>
      <family val="2"/>
      <scheme val="major"/>
    </font>
    <font>
      <b/>
      <sz val="11"/>
      <color rgb="FFFFFFFF"/>
      <name val="Arial"/>
      <family val="2"/>
      <scheme val="major"/>
    </font>
    <font>
      <sz val="11"/>
      <color rgb="FF2D3A49"/>
      <name val="Arial"/>
      <family val="2"/>
      <scheme val="major"/>
    </font>
    <font>
      <sz val="11"/>
      <name val="Arial"/>
      <family val="2"/>
      <scheme val="major"/>
    </font>
    <font>
      <i/>
      <sz val="11"/>
      <color theme="2" tint="-0.499984740745262"/>
      <name val="Arial"/>
      <family val="2"/>
      <scheme val="minor"/>
    </font>
    <font>
      <b/>
      <sz val="11"/>
      <color rgb="FF2D3A49"/>
      <name val="Arial"/>
      <family val="2"/>
      <scheme val="major"/>
    </font>
    <font>
      <b/>
      <u/>
      <sz val="11"/>
      <color theme="6"/>
      <name val="Arial"/>
      <family val="2"/>
      <scheme val="minor"/>
    </font>
    <font>
      <sz val="11"/>
      <color theme="6"/>
      <name val="Arial"/>
      <family val="2"/>
      <scheme val="minor"/>
    </font>
    <font>
      <b/>
      <sz val="14"/>
      <color theme="7"/>
      <name val="Arial"/>
      <family val="2"/>
      <scheme val="minor"/>
    </font>
    <font>
      <sz val="11"/>
      <color rgb="FFC00000"/>
      <name val="Arial"/>
      <family val="2"/>
      <scheme val="major"/>
    </font>
    <font>
      <i/>
      <sz val="11"/>
      <color theme="6"/>
      <name val="Arial"/>
      <family val="2"/>
      <scheme val="minor"/>
    </font>
    <font>
      <sz val="9"/>
      <color theme="1"/>
      <name val="Aptos"/>
      <family val="2"/>
    </font>
    <font>
      <sz val="9"/>
      <color theme="8"/>
      <name val="Arial"/>
      <family val="2"/>
      <scheme val="minor"/>
    </font>
    <font>
      <i/>
      <sz val="12"/>
      <color theme="8"/>
      <name val="Arial"/>
      <family val="2"/>
      <scheme val="minor"/>
    </font>
    <font>
      <sz val="12"/>
      <color theme="8"/>
      <name val="Arial"/>
      <family val="2"/>
      <scheme val="minor"/>
    </font>
    <font>
      <sz val="16"/>
      <name val="Aptos"/>
      <family val="2"/>
    </font>
    <font>
      <i/>
      <sz val="9"/>
      <color theme="1"/>
      <name val="Arial"/>
      <family val="2"/>
      <scheme val="minor"/>
    </font>
    <font>
      <i/>
      <sz val="11"/>
      <color rgb="FFFF0000"/>
      <name val="Arial"/>
      <family val="2"/>
      <scheme val="minor"/>
    </font>
    <font>
      <sz val="11"/>
      <color theme="5" tint="0.39997558519241921"/>
      <name val="Arial"/>
      <family val="2"/>
      <scheme val="minor"/>
    </font>
    <font>
      <i/>
      <sz val="10"/>
      <color theme="1"/>
      <name val="Arial"/>
      <family val="2"/>
      <scheme val="minor"/>
    </font>
    <font>
      <b/>
      <sz val="11"/>
      <color theme="0" tint="-4.9989318521683403E-2"/>
      <name val="Arial"/>
      <family val="2"/>
      <scheme val="minor"/>
    </font>
    <font>
      <b/>
      <i/>
      <sz val="11"/>
      <color theme="0" tint="-4.9989318521683403E-2"/>
      <name val="Arial"/>
      <family val="2"/>
      <scheme val="minor"/>
    </font>
    <font>
      <b/>
      <u/>
      <sz val="12"/>
      <color theme="1"/>
      <name val="Arial"/>
      <family val="2"/>
      <scheme val="minor"/>
    </font>
    <font>
      <sz val="11"/>
      <color rgb="FF000000"/>
      <name val="Arial"/>
      <family val="2"/>
      <scheme val="major"/>
    </font>
    <font>
      <b/>
      <sz val="18"/>
      <color theme="4"/>
      <name val="Arial"/>
      <family val="2"/>
      <scheme val="minor"/>
    </font>
    <font>
      <sz val="14"/>
      <name val="Arial"/>
      <family val="2"/>
      <scheme val="minor"/>
    </font>
    <font>
      <b/>
      <sz val="16"/>
      <color rgb="FFFF0000"/>
      <name val="Arial"/>
      <family val="2"/>
      <scheme val="minor"/>
    </font>
    <font>
      <b/>
      <sz val="16"/>
      <color theme="1"/>
      <name val="Arial"/>
      <family val="2"/>
      <scheme val="minor"/>
    </font>
    <font>
      <i/>
      <sz val="14"/>
      <color theme="5"/>
      <name val="Arial"/>
      <family val="2"/>
      <scheme val="minor"/>
    </font>
    <font>
      <i/>
      <u/>
      <sz val="14"/>
      <color theme="5"/>
      <name val="Arial"/>
      <family val="2"/>
      <scheme val="minor"/>
    </font>
    <font>
      <b/>
      <sz val="20"/>
      <color theme="5"/>
      <name val="Aptos"/>
      <family val="2"/>
    </font>
    <font>
      <i/>
      <sz val="16"/>
      <color theme="1"/>
      <name val="Aptos"/>
      <family val="2"/>
    </font>
    <font>
      <b/>
      <u/>
      <sz val="20"/>
      <color theme="2" tint="-0.749992370372631"/>
      <name val="Aptos"/>
      <family val="2"/>
    </font>
    <font>
      <i/>
      <sz val="18"/>
      <color theme="1"/>
      <name val="Aptos"/>
      <family val="2"/>
    </font>
    <font>
      <b/>
      <u/>
      <sz val="18"/>
      <color theme="1"/>
      <name val="Aptos"/>
      <family val="2"/>
    </font>
    <font>
      <b/>
      <sz val="16"/>
      <color rgb="FFFF0000"/>
      <name val="Aptos"/>
      <family val="2"/>
    </font>
    <font>
      <b/>
      <sz val="14"/>
      <color rgb="FFFF0000"/>
      <name val="Aptos"/>
      <family val="2"/>
    </font>
    <font>
      <sz val="11"/>
      <color rgb="FF58595B"/>
      <name val="Tahoma"/>
      <family val="2"/>
    </font>
    <font>
      <sz val="8"/>
      <color rgb="FFFFFFFF"/>
      <name val="Tahoma"/>
      <family val="2"/>
    </font>
    <font>
      <b/>
      <sz val="11"/>
      <color rgb="FF58595B"/>
      <name val="Tahoma"/>
      <family val="2"/>
    </font>
    <font>
      <b/>
      <u/>
      <sz val="11"/>
      <color rgb="FF0070C0"/>
      <name val="Arial"/>
      <family val="2"/>
      <scheme val="minor"/>
    </font>
    <font>
      <sz val="11"/>
      <color theme="0" tint="-0.499984740745262"/>
      <name val="Arial"/>
      <family val="2"/>
      <scheme val="minor"/>
    </font>
    <font>
      <b/>
      <u/>
      <sz val="14"/>
      <color theme="1"/>
      <name val="Arial"/>
      <family val="2"/>
      <scheme val="minor"/>
    </font>
    <font>
      <b/>
      <sz val="14"/>
      <color theme="0"/>
      <name val="Arial"/>
      <family val="2"/>
      <scheme val="minor"/>
    </font>
    <font>
      <b/>
      <sz val="14"/>
      <name val="Aptos"/>
      <family val="2"/>
    </font>
    <font>
      <i/>
      <sz val="12"/>
      <color theme="1"/>
      <name val="Arial"/>
      <family val="2"/>
      <scheme val="minor"/>
    </font>
    <font>
      <b/>
      <i/>
      <sz val="12"/>
      <color theme="1"/>
      <name val="Arial"/>
      <family val="2"/>
      <scheme val="minor"/>
    </font>
    <font>
      <b/>
      <sz val="12"/>
      <color theme="0"/>
      <name val="Arial"/>
      <family val="2"/>
      <scheme val="minor"/>
    </font>
    <font>
      <sz val="12"/>
      <color rgb="FFFF0000"/>
      <name val="Arial"/>
      <family val="2"/>
      <scheme val="minor"/>
    </font>
    <font>
      <sz val="18"/>
      <color rgb="FFFF0000"/>
      <name val="Arial"/>
      <family val="2"/>
      <scheme val="minor"/>
    </font>
    <font>
      <b/>
      <sz val="12"/>
      <color theme="5"/>
      <name val="Arial"/>
      <family val="2"/>
      <scheme val="minor"/>
    </font>
    <font>
      <b/>
      <sz val="20"/>
      <color theme="6"/>
      <name val="Bauhaus 93"/>
      <family val="5"/>
    </font>
    <font>
      <b/>
      <sz val="14"/>
      <color theme="4"/>
      <name val="Arial"/>
      <family val="2"/>
      <scheme val="minor"/>
    </font>
    <font>
      <b/>
      <sz val="16"/>
      <color theme="0"/>
      <name val="Arial"/>
      <family val="2"/>
      <scheme val="minor"/>
    </font>
    <font>
      <b/>
      <u/>
      <sz val="16"/>
      <color theme="1"/>
      <name val="Arial"/>
      <family val="2"/>
      <scheme val="minor"/>
    </font>
    <font>
      <b/>
      <sz val="18"/>
      <color theme="4" tint="-0.499984740745262"/>
      <name val="Arial"/>
      <family val="2"/>
      <scheme val="minor"/>
    </font>
    <font>
      <sz val="12"/>
      <name val="Arial"/>
      <family val="2"/>
      <scheme val="minor"/>
    </font>
    <font>
      <b/>
      <sz val="12"/>
      <color theme="4"/>
      <name val="Arial"/>
      <family val="2"/>
      <scheme val="minor"/>
    </font>
    <font>
      <sz val="12"/>
      <color theme="5"/>
      <name val="Arial"/>
      <family val="2"/>
      <scheme val="minor"/>
    </font>
    <font>
      <b/>
      <sz val="18"/>
      <color theme="1"/>
      <name val="Arial"/>
      <family val="2"/>
      <scheme val="minor"/>
    </font>
    <font>
      <b/>
      <sz val="18"/>
      <name val="Arial"/>
      <family val="2"/>
      <scheme val="minor"/>
    </font>
    <font>
      <i/>
      <sz val="8"/>
      <color theme="1"/>
      <name val="Arial"/>
      <family val="2"/>
      <scheme val="minor"/>
    </font>
    <font>
      <b/>
      <i/>
      <sz val="11"/>
      <color theme="0"/>
      <name val="Arial"/>
      <family val="2"/>
      <scheme val="minor"/>
    </font>
    <font>
      <i/>
      <sz val="14"/>
      <color theme="1"/>
      <name val="Arial"/>
      <family val="2"/>
      <scheme val="minor"/>
    </font>
    <font>
      <i/>
      <u/>
      <sz val="9"/>
      <color theme="1"/>
      <name val="Arial"/>
      <family val="2"/>
      <scheme val="minor"/>
    </font>
    <font>
      <i/>
      <u/>
      <sz val="8"/>
      <color theme="1"/>
      <name val="Arial"/>
      <family val="2"/>
      <scheme val="minor"/>
    </font>
    <font>
      <i/>
      <sz val="10"/>
      <color theme="6"/>
      <name val="Arial"/>
      <family val="2"/>
      <scheme val="minor"/>
    </font>
    <font>
      <sz val="12"/>
      <color theme="1"/>
      <name val="Inter"/>
    </font>
    <font>
      <sz val="10"/>
      <color theme="6"/>
      <name val="Arial"/>
      <family val="2"/>
      <scheme val="minor"/>
    </font>
    <font>
      <b/>
      <i/>
      <sz val="11"/>
      <color rgb="FFFFCCFF"/>
      <name val="Arial"/>
      <family val="2"/>
      <scheme val="minor"/>
    </font>
    <font>
      <b/>
      <sz val="20"/>
      <color theme="1"/>
      <name val="Arial"/>
      <family val="2"/>
      <scheme val="minor"/>
    </font>
    <font>
      <b/>
      <u/>
      <sz val="22"/>
      <color theme="4"/>
      <name val="Aptos"/>
      <family val="2"/>
    </font>
    <font>
      <sz val="14"/>
      <color rgb="FFF9B200"/>
      <name val="Inter"/>
    </font>
    <font>
      <b/>
      <sz val="22"/>
      <name val="Aptos"/>
      <family val="2"/>
    </font>
    <font>
      <b/>
      <sz val="14"/>
      <color rgb="FF000000"/>
      <name val="Calibri"/>
      <family val="2"/>
    </font>
    <font>
      <sz val="14"/>
      <color rgb="FF0BA5D3"/>
      <name val="Calibri"/>
      <family val="2"/>
    </font>
    <font>
      <sz val="14"/>
      <color rgb="FF65AE5D"/>
      <name val="Calibri"/>
      <family val="2"/>
    </font>
    <font>
      <sz val="14"/>
      <color rgb="FFF9B200"/>
      <name val="Calibri"/>
      <family val="2"/>
    </font>
    <font>
      <sz val="14"/>
      <color rgb="FF000000"/>
      <name val="Calibri"/>
      <family val="2"/>
    </font>
    <font>
      <b/>
      <sz val="48"/>
      <color rgb="FFFF0000"/>
      <name val="Arial"/>
      <family val="2"/>
      <scheme val="minor"/>
    </font>
    <font>
      <b/>
      <u/>
      <sz val="14"/>
      <name val="Arial"/>
      <family val="2"/>
      <scheme val="minor"/>
    </font>
    <font>
      <i/>
      <sz val="11"/>
      <color rgb="FF000000"/>
      <name val="Calibri"/>
      <family val="2"/>
    </font>
    <font>
      <i/>
      <u/>
      <sz val="11"/>
      <color rgb="FF000000"/>
      <name val="Calibri"/>
      <family val="2"/>
    </font>
    <font>
      <sz val="11"/>
      <color theme="1"/>
      <name val="Inter"/>
    </font>
    <font>
      <b/>
      <sz val="14"/>
      <name val="Inter"/>
    </font>
    <font>
      <b/>
      <u/>
      <sz val="11"/>
      <color theme="5"/>
      <name val="Inter"/>
    </font>
    <font>
      <sz val="11"/>
      <color theme="5"/>
      <name val="Inter"/>
    </font>
    <font>
      <b/>
      <sz val="11"/>
      <color theme="5"/>
      <name val="Inter"/>
    </font>
    <font>
      <b/>
      <sz val="14"/>
      <color theme="1"/>
      <name val="Inter"/>
    </font>
    <font>
      <b/>
      <sz val="11"/>
      <color theme="1"/>
      <name val="Inter"/>
    </font>
    <font>
      <b/>
      <sz val="18"/>
      <name val="Inter"/>
    </font>
    <font>
      <i/>
      <sz val="11"/>
      <color theme="1"/>
      <name val="Inter"/>
    </font>
    <font>
      <b/>
      <u/>
      <sz val="11"/>
      <color theme="1"/>
      <name val="Inter"/>
    </font>
    <font>
      <sz val="12"/>
      <color theme="5"/>
      <name val="Inter"/>
    </font>
    <font>
      <u/>
      <sz val="12"/>
      <color theme="5"/>
      <name val="Inter"/>
    </font>
    <font>
      <b/>
      <sz val="12"/>
      <color theme="5"/>
      <name val="Inter"/>
    </font>
    <font>
      <sz val="9"/>
      <color indexed="81"/>
      <name val="Tahoma"/>
    </font>
    <font>
      <b/>
      <sz val="9"/>
      <color indexed="81"/>
      <name val="Tahoma"/>
    </font>
    <font>
      <sz val="10"/>
      <color rgb="FF000000"/>
      <name val="Inter"/>
    </font>
    <font>
      <b/>
      <sz val="10"/>
      <color rgb="FF000000"/>
      <name val="Inter"/>
    </font>
  </fonts>
  <fills count="51">
    <fill>
      <patternFill patternType="none"/>
    </fill>
    <fill>
      <patternFill patternType="gray125"/>
    </fill>
    <fill>
      <patternFill patternType="solid">
        <fgColor theme="6" tint="0.79998168889431442"/>
        <bgColor indexed="64"/>
      </patternFill>
    </fill>
    <fill>
      <patternFill patternType="solid">
        <fgColor theme="5"/>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00B050"/>
        <bgColor indexed="64"/>
      </patternFill>
    </fill>
    <fill>
      <patternFill patternType="solid">
        <fgColor theme="2" tint="-9.9978637043366805E-2"/>
        <bgColor indexed="64"/>
      </patternFill>
    </fill>
    <fill>
      <patternFill patternType="solid">
        <fgColor theme="4"/>
        <bgColor indexed="64"/>
      </patternFill>
    </fill>
    <fill>
      <patternFill patternType="solid">
        <fgColor rgb="FFFCCECE"/>
        <bgColor indexed="64"/>
      </patternFill>
    </fill>
    <fill>
      <patternFill patternType="solid">
        <fgColor theme="6"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theme="3" tint="0.89999084444715716"/>
        <bgColor indexed="64"/>
      </patternFill>
    </fill>
    <fill>
      <patternFill patternType="solid">
        <fgColor theme="0" tint="-4.9989318521683403E-2"/>
        <bgColor rgb="FF000000"/>
      </patternFill>
    </fill>
    <fill>
      <patternFill patternType="solid">
        <fgColor rgb="FFF2EBFF"/>
        <bgColor indexed="64"/>
      </patternFill>
    </fill>
    <fill>
      <patternFill patternType="solid">
        <fgColor rgb="FFD5F4FF"/>
        <bgColor indexed="64"/>
      </patternFill>
    </fill>
    <fill>
      <patternFill patternType="solid">
        <fgColor rgb="FFFFFFFF"/>
        <bgColor indexed="64"/>
      </patternFill>
    </fill>
    <fill>
      <patternFill patternType="solid">
        <fgColor rgb="FFFFFF00"/>
        <bgColor indexed="64"/>
      </patternFill>
    </fill>
    <fill>
      <patternFill patternType="solid">
        <fgColor rgb="FF002060"/>
        <bgColor rgb="FF000000"/>
      </patternFill>
    </fill>
    <fill>
      <patternFill patternType="solid">
        <fgColor theme="9" tint="0.79998168889431442"/>
        <bgColor indexed="64"/>
      </patternFill>
    </fill>
    <fill>
      <patternFill patternType="solid">
        <fgColor theme="6" tint="0.39997558519241921"/>
        <bgColor indexed="64"/>
      </patternFill>
    </fill>
    <fill>
      <patternFill patternType="solid">
        <fgColor theme="3"/>
        <bgColor indexed="64"/>
      </patternFill>
    </fill>
    <fill>
      <patternFill patternType="solid">
        <fgColor theme="3" tint="0.59999389629810485"/>
        <bgColor indexed="64"/>
      </patternFill>
    </fill>
    <fill>
      <patternFill patternType="solid">
        <fgColor theme="6"/>
        <bgColor indexed="64"/>
      </patternFill>
    </fill>
    <fill>
      <patternFill patternType="solid">
        <fgColor theme="5" tint="0.39997558519241921"/>
        <bgColor indexed="64"/>
      </patternFill>
    </fill>
    <fill>
      <patternFill patternType="solid">
        <fgColor theme="7"/>
        <bgColor indexed="64"/>
      </patternFill>
    </fill>
    <fill>
      <patternFill patternType="solid">
        <fgColor theme="7" tint="0.79998168889431442"/>
        <bgColor indexed="64"/>
      </patternFill>
    </fill>
    <fill>
      <patternFill patternType="solid">
        <fgColor theme="7" tint="-0.249977111117893"/>
        <bgColor indexed="64"/>
      </patternFill>
    </fill>
    <fill>
      <patternFill patternType="solid">
        <fgColor theme="2"/>
        <bgColor indexed="64"/>
      </patternFill>
    </fill>
    <fill>
      <patternFill patternType="solid">
        <fgColor theme="5" tint="-0.249977111117893"/>
        <bgColor indexed="64"/>
      </patternFill>
    </fill>
    <fill>
      <patternFill patternType="solid">
        <fgColor theme="9" tint="0.39997558519241921"/>
        <bgColor indexed="64"/>
      </patternFill>
    </fill>
    <fill>
      <patternFill patternType="solid">
        <fgColor rgb="FF00B0F0"/>
        <bgColor indexed="64"/>
      </patternFill>
    </fill>
    <fill>
      <patternFill patternType="solid">
        <fgColor theme="7" tint="0.59999389629810485"/>
        <bgColor indexed="64"/>
      </patternFill>
    </fill>
    <fill>
      <patternFill patternType="solid">
        <fgColor rgb="FF7030A0"/>
        <bgColor indexed="64"/>
      </patternFill>
    </fill>
    <fill>
      <patternFill patternType="solid">
        <fgColor theme="5" tint="0.59999389629810485"/>
        <bgColor indexed="64"/>
      </patternFill>
    </fill>
    <fill>
      <patternFill patternType="solid">
        <fgColor rgb="FF002060"/>
        <bgColor indexed="64"/>
      </patternFill>
    </fill>
    <fill>
      <patternFill patternType="solid">
        <fgColor theme="4" tint="-0.249977111117893"/>
        <bgColor indexed="64"/>
      </patternFill>
    </fill>
    <fill>
      <patternFill patternType="solid">
        <fgColor theme="8"/>
        <bgColor indexed="64"/>
      </patternFill>
    </fill>
    <fill>
      <patternFill patternType="solid">
        <fgColor theme="4" tint="0.39997558519241921"/>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92D050"/>
        <bgColor indexed="64"/>
      </patternFill>
    </fill>
    <fill>
      <patternFill patternType="solid">
        <fgColor theme="8" tint="0.39997558519241921"/>
        <bgColor indexed="64"/>
      </patternFill>
    </fill>
    <fill>
      <patternFill patternType="solid">
        <fgColor theme="5" tint="0.79998168889431442"/>
        <bgColor rgb="FF000000"/>
      </patternFill>
    </fill>
    <fill>
      <patternFill patternType="solid">
        <fgColor theme="3" tint="0.39997558519241921"/>
        <bgColor indexed="64"/>
      </patternFill>
    </fill>
    <fill>
      <patternFill patternType="solid">
        <fgColor rgb="FFFFCCCC"/>
        <bgColor indexed="64"/>
      </patternFill>
    </fill>
  </fills>
  <borders count="71">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theme="0"/>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diagonal/>
    </border>
    <border>
      <left style="medium">
        <color rgb="FFC00000"/>
      </left>
      <right style="medium">
        <color rgb="FFC00000"/>
      </right>
      <top style="medium">
        <color rgb="FFC00000"/>
      </top>
      <bottom style="medium">
        <color rgb="FFC00000"/>
      </bottom>
      <diagonal/>
    </border>
    <border>
      <left/>
      <right/>
      <top/>
      <bottom style="medium">
        <color rgb="FFFFFFFF"/>
      </bottom>
      <diagonal/>
    </border>
    <border>
      <left/>
      <right style="thin">
        <color indexed="64"/>
      </right>
      <top/>
      <bottom style="medium">
        <color rgb="FFFFFFFF"/>
      </bottom>
      <diagonal/>
    </border>
    <border>
      <left style="medium">
        <color auto="1"/>
      </left>
      <right/>
      <top/>
      <bottom style="dashed">
        <color auto="1"/>
      </bottom>
      <diagonal/>
    </border>
    <border>
      <left/>
      <right/>
      <top/>
      <bottom style="dashed">
        <color auto="1"/>
      </bottom>
      <diagonal/>
    </border>
    <border>
      <left/>
      <right style="medium">
        <color auto="1"/>
      </right>
      <top/>
      <bottom style="dashed">
        <color auto="1"/>
      </bottom>
      <diagonal/>
    </border>
    <border>
      <left style="medium">
        <color auto="1"/>
      </left>
      <right/>
      <top style="dashed">
        <color auto="1"/>
      </top>
      <bottom style="dashed">
        <color auto="1"/>
      </bottom>
      <diagonal/>
    </border>
    <border>
      <left/>
      <right style="medium">
        <color auto="1"/>
      </right>
      <top style="dashed">
        <color auto="1"/>
      </top>
      <bottom style="dashed">
        <color auto="1"/>
      </bottom>
      <diagonal/>
    </border>
    <border>
      <left style="medium">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theme="0" tint="-0.499984740745262"/>
      </left>
      <right style="thin">
        <color theme="0" tint="-0.499984740745262"/>
      </right>
      <top style="thin">
        <color theme="0" tint="-0.499984740745262"/>
      </top>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46" fillId="0" borderId="0" applyNumberFormat="0" applyFill="0" applyBorder="0" applyAlignment="0" applyProtection="0"/>
  </cellStyleXfs>
  <cellXfs count="1278">
    <xf numFmtId="0" fontId="0" fillId="0" borderId="0" xfId="0"/>
    <xf numFmtId="0" fontId="2" fillId="0" borderId="0" xfId="0" applyFont="1"/>
    <xf numFmtId="0" fontId="0" fillId="0" borderId="1" xfId="0" applyBorder="1"/>
    <xf numFmtId="0" fontId="0" fillId="2" borderId="0" xfId="0" applyFill="1"/>
    <xf numFmtId="0" fontId="6" fillId="0" borderId="0" xfId="0" applyFont="1"/>
    <xf numFmtId="0" fontId="7" fillId="0" borderId="0" xfId="0" applyFont="1" applyAlignment="1">
      <alignment horizontal="center"/>
    </xf>
    <xf numFmtId="0" fontId="7" fillId="0" borderId="1" xfId="0" applyFont="1" applyBorder="1" applyAlignment="1">
      <alignment horizontal="center"/>
    </xf>
    <xf numFmtId="0" fontId="0" fillId="2" borderId="1" xfId="0" applyFill="1" applyBorder="1"/>
    <xf numFmtId="9" fontId="8" fillId="2" borderId="0" xfId="0" applyNumberFormat="1" applyFont="1" applyFill="1"/>
    <xf numFmtId="9" fontId="8" fillId="2" borderId="1" xfId="0" applyNumberFormat="1" applyFont="1" applyFill="1" applyBorder="1"/>
    <xf numFmtId="0" fontId="6" fillId="0" borderId="0" xfId="0" applyFont="1" applyAlignment="1">
      <alignment horizontal="center" vertical="center"/>
    </xf>
    <xf numFmtId="0" fontId="0" fillId="0" borderId="0" xfId="0" applyAlignment="1">
      <alignment horizontal="center" vertical="center"/>
    </xf>
    <xf numFmtId="0" fontId="6" fillId="0" borderId="0" xfId="0" applyFont="1" applyAlignment="1">
      <alignment horizontal="left" vertical="center"/>
    </xf>
    <xf numFmtId="0" fontId="10" fillId="0" borderId="0" xfId="0" applyFont="1" applyAlignment="1">
      <alignment horizontal="center" vertical="center" wrapText="1"/>
    </xf>
    <xf numFmtId="0" fontId="11" fillId="0" borderId="0" xfId="0" applyFont="1" applyAlignment="1">
      <alignment horizontal="center" vertical="center" wrapText="1"/>
    </xf>
    <xf numFmtId="0" fontId="0" fillId="0" borderId="2" xfId="0" applyBorder="1"/>
    <xf numFmtId="0" fontId="5" fillId="0" borderId="0" xfId="0" applyFont="1"/>
    <xf numFmtId="164" fontId="2" fillId="0" borderId="0" xfId="1" applyNumberFormat="1" applyFont="1"/>
    <xf numFmtId="0" fontId="13" fillId="0" borderId="0" xfId="0" applyFont="1"/>
    <xf numFmtId="0" fontId="9" fillId="0" borderId="0" xfId="0" applyFont="1" applyAlignment="1">
      <alignment horizontal="center" vertical="center" wrapText="1"/>
    </xf>
    <xf numFmtId="0" fontId="2" fillId="0" borderId="0" xfId="0" applyFont="1" applyAlignment="1">
      <alignment horizontal="center" vertical="center"/>
    </xf>
    <xf numFmtId="164" fontId="0" fillId="0" borderId="2" xfId="1" applyNumberFormat="1" applyFont="1" applyBorder="1"/>
    <xf numFmtId="0" fontId="10" fillId="4" borderId="0" xfId="0" applyFont="1" applyFill="1" applyAlignment="1">
      <alignment horizontal="center" vertical="center" wrapText="1"/>
    </xf>
    <xf numFmtId="0" fontId="14" fillId="5" borderId="0" xfId="0" applyFont="1" applyFill="1" applyAlignment="1">
      <alignment horizontal="center" vertical="center" wrapText="1"/>
    </xf>
    <xf numFmtId="0" fontId="0" fillId="0" borderId="2" xfId="0" applyBorder="1" applyAlignment="1">
      <alignment wrapText="1"/>
    </xf>
    <xf numFmtId="0" fontId="0" fillId="7" borderId="0" xfId="0" applyFill="1"/>
    <xf numFmtId="0" fontId="0" fillId="7" borderId="1" xfId="0" applyFill="1" applyBorder="1"/>
    <xf numFmtId="0" fontId="2" fillId="0" borderId="0" xfId="0" applyFont="1" applyAlignment="1">
      <alignment horizontal="center"/>
    </xf>
    <xf numFmtId="9" fontId="0" fillId="7" borderId="0" xfId="0" applyNumberFormat="1" applyFill="1"/>
    <xf numFmtId="0" fontId="0" fillId="9" borderId="2" xfId="0" applyFill="1" applyBorder="1"/>
    <xf numFmtId="0" fontId="4" fillId="0" borderId="0" xfId="0" applyFont="1" applyAlignment="1">
      <alignment horizontal="center" textRotation="45"/>
    </xf>
    <xf numFmtId="0" fontId="0" fillId="0" borderId="3" xfId="0" applyBorder="1"/>
    <xf numFmtId="0" fontId="2" fillId="0" borderId="0" xfId="0" applyFont="1" applyAlignment="1">
      <alignment horizontal="right"/>
    </xf>
    <xf numFmtId="0" fontId="0" fillId="0" borderId="4" xfId="0" applyBorder="1"/>
    <xf numFmtId="164" fontId="2" fillId="0" borderId="0" xfId="1" applyNumberFormat="1" applyFont="1" applyBorder="1"/>
    <xf numFmtId="164" fontId="2" fillId="0" borderId="1" xfId="1" applyNumberFormat="1" applyFont="1" applyBorder="1"/>
    <xf numFmtId="0" fontId="0" fillId="0" borderId="9" xfId="0" applyBorder="1"/>
    <xf numFmtId="0" fontId="0" fillId="0" borderId="8" xfId="0" applyBorder="1"/>
    <xf numFmtId="0" fontId="3" fillId="0" borderId="10" xfId="0" applyFont="1" applyBorder="1"/>
    <xf numFmtId="0" fontId="2" fillId="0" borderId="11" xfId="0" applyFont="1" applyBorder="1" applyAlignment="1">
      <alignment horizontal="center"/>
    </xf>
    <xf numFmtId="0" fontId="2" fillId="0" borderId="12" xfId="0" applyFont="1" applyBorder="1" applyAlignment="1">
      <alignment horizontal="center"/>
    </xf>
    <xf numFmtId="0" fontId="0" fillId="6" borderId="2" xfId="0" applyFill="1" applyBorder="1"/>
    <xf numFmtId="164" fontId="0" fillId="6" borderId="2" xfId="1" applyNumberFormat="1" applyFont="1" applyFill="1" applyBorder="1"/>
    <xf numFmtId="0" fontId="17" fillId="0" borderId="0" xfId="0" applyFont="1"/>
    <xf numFmtId="0" fontId="2" fillId="0" borderId="4" xfId="0" applyFont="1" applyBorder="1" applyAlignment="1">
      <alignment horizontal="right"/>
    </xf>
    <xf numFmtId="0" fontId="2" fillId="0" borderId="4" xfId="0" applyFont="1" applyBorder="1"/>
    <xf numFmtId="0" fontId="13" fillId="10" borderId="0" xfId="0" applyFont="1" applyFill="1"/>
    <xf numFmtId="0" fontId="13" fillId="0" borderId="2" xfId="0" applyFont="1" applyBorder="1" applyAlignment="1">
      <alignment horizontal="center"/>
    </xf>
    <xf numFmtId="0" fontId="16" fillId="0" borderId="0" xfId="0" applyFont="1"/>
    <xf numFmtId="0" fontId="18" fillId="0" borderId="0" xfId="0" applyFont="1"/>
    <xf numFmtId="0" fontId="13" fillId="0" borderId="0" xfId="0" applyFont="1" applyAlignment="1">
      <alignment horizontal="center"/>
    </xf>
    <xf numFmtId="0" fontId="2" fillId="0" borderId="2" xfId="0" applyFont="1" applyBorder="1" applyAlignment="1">
      <alignment horizontal="center" vertical="center" wrapText="1"/>
    </xf>
    <xf numFmtId="0" fontId="22" fillId="0" borderId="0" xfId="0" applyFont="1"/>
    <xf numFmtId="0" fontId="0" fillId="0" borderId="1" xfId="0" applyBorder="1" applyAlignment="1">
      <alignment horizontal="right"/>
    </xf>
    <xf numFmtId="0" fontId="0" fillId="0" borderId="12" xfId="0" applyBorder="1" applyAlignment="1">
      <alignment horizontal="right"/>
    </xf>
    <xf numFmtId="0" fontId="0" fillId="0" borderId="9" xfId="0" applyBorder="1" applyAlignment="1">
      <alignment horizontal="right"/>
    </xf>
    <xf numFmtId="164" fontId="0" fillId="0" borderId="9" xfId="1" applyNumberFormat="1" applyFont="1" applyBorder="1" applyAlignment="1">
      <alignment horizontal="right"/>
    </xf>
    <xf numFmtId="164" fontId="0" fillId="0" borderId="1" xfId="1" applyNumberFormat="1" applyFont="1" applyBorder="1" applyAlignment="1">
      <alignment horizontal="right"/>
    </xf>
    <xf numFmtId="0" fontId="23" fillId="0" borderId="0" xfId="0" applyFont="1"/>
    <xf numFmtId="0" fontId="24" fillId="0" borderId="0" xfId="0" applyFont="1"/>
    <xf numFmtId="0" fontId="26" fillId="0" borderId="0" xfId="0" applyFont="1" applyAlignment="1">
      <alignment horizontal="center"/>
    </xf>
    <xf numFmtId="9" fontId="0" fillId="0" borderId="0" xfId="2" applyFont="1"/>
    <xf numFmtId="0" fontId="2" fillId="0" borderId="1" xfId="0" applyFont="1" applyBorder="1"/>
    <xf numFmtId="0" fontId="2" fillId="6" borderId="5" xfId="0" applyFont="1" applyFill="1" applyBorder="1"/>
    <xf numFmtId="0" fontId="2" fillId="6" borderId="3" xfId="0" applyFont="1" applyFill="1" applyBorder="1"/>
    <xf numFmtId="0" fontId="2" fillId="6" borderId="8" xfId="0" applyFont="1" applyFill="1" applyBorder="1"/>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11" borderId="11" xfId="0" applyFill="1" applyBorder="1" applyAlignment="1">
      <alignment horizontal="center" vertical="center"/>
    </xf>
    <xf numFmtId="164" fontId="0" fillId="6" borderId="6" xfId="1" applyNumberFormat="1" applyFont="1" applyFill="1" applyBorder="1" applyAlignment="1">
      <alignment vertical="center"/>
    </xf>
    <xf numFmtId="164" fontId="0" fillId="6" borderId="7" xfId="1" applyNumberFormat="1" applyFont="1" applyFill="1" applyBorder="1" applyAlignment="1">
      <alignment vertical="center"/>
    </xf>
    <xf numFmtId="164" fontId="25" fillId="11" borderId="6" xfId="1" applyNumberFormat="1" applyFont="1" applyFill="1" applyBorder="1" applyAlignment="1">
      <alignment vertical="center"/>
    </xf>
    <xf numFmtId="9" fontId="0" fillId="6" borderId="0" xfId="2" applyFont="1" applyFill="1" applyBorder="1" applyAlignment="1">
      <alignment vertical="center"/>
    </xf>
    <xf numFmtId="9" fontId="0" fillId="6" borderId="4" xfId="2" applyFont="1" applyFill="1" applyBorder="1" applyAlignment="1">
      <alignment vertical="center"/>
    </xf>
    <xf numFmtId="0" fontId="0" fillId="11" borderId="0" xfId="0" applyFill="1" applyAlignment="1">
      <alignment vertical="center"/>
    </xf>
    <xf numFmtId="166" fontId="2" fillId="6" borderId="1" xfId="0" applyNumberFormat="1" applyFont="1" applyFill="1" applyBorder="1" applyAlignment="1">
      <alignment vertical="center"/>
    </xf>
    <xf numFmtId="166" fontId="2" fillId="6" borderId="9" xfId="0" applyNumberFormat="1" applyFont="1" applyFill="1" applyBorder="1" applyAlignment="1">
      <alignment vertical="center"/>
    </xf>
    <xf numFmtId="166" fontId="0" fillId="11" borderId="1" xfId="0" applyNumberFormat="1" applyFill="1" applyBorder="1" applyAlignment="1">
      <alignment vertical="center"/>
    </xf>
    <xf numFmtId="0" fontId="2" fillId="6" borderId="1" xfId="0" applyFont="1" applyFill="1" applyBorder="1" applyAlignment="1">
      <alignment vertical="center"/>
    </xf>
    <xf numFmtId="0" fontId="2" fillId="6" borderId="9" xfId="0" applyFont="1" applyFill="1" applyBorder="1" applyAlignment="1">
      <alignment vertical="center"/>
    </xf>
    <xf numFmtId="0" fontId="0" fillId="0" borderId="0" xfId="0" applyAlignment="1">
      <alignment horizontal="right"/>
    </xf>
    <xf numFmtId="0" fontId="0" fillId="0" borderId="16" xfId="0" applyBorder="1"/>
    <xf numFmtId="0" fontId="0" fillId="0" borderId="18" xfId="0" applyBorder="1"/>
    <xf numFmtId="0" fontId="0" fillId="0" borderId="19" xfId="0" applyBorder="1"/>
    <xf numFmtId="0" fontId="15" fillId="3" borderId="2" xfId="0" applyFont="1" applyFill="1" applyBorder="1"/>
    <xf numFmtId="0" fontId="10" fillId="0" borderId="0" xfId="0" applyFont="1"/>
    <xf numFmtId="0" fontId="11" fillId="0" borderId="0" xfId="0" applyFont="1"/>
    <xf numFmtId="0" fontId="11" fillId="0" borderId="2" xfId="0" applyFont="1" applyBorder="1"/>
    <xf numFmtId="0" fontId="28" fillId="0" borderId="0" xfId="0" applyFont="1"/>
    <xf numFmtId="0" fontId="29" fillId="0" borderId="0" xfId="0" applyFont="1"/>
    <xf numFmtId="0" fontId="30" fillId="0" borderId="0" xfId="0" applyFont="1"/>
    <xf numFmtId="0" fontId="0" fillId="0" borderId="0" xfId="0" applyAlignment="1">
      <alignment horizontal="center" vertical="center" wrapText="1"/>
    </xf>
    <xf numFmtId="9" fontId="0" fillId="0" borderId="0" xfId="0" applyNumberFormat="1"/>
    <xf numFmtId="0" fontId="0" fillId="0" borderId="0" xfId="0" applyAlignment="1">
      <alignment horizontal="left" indent="1"/>
    </xf>
    <xf numFmtId="167" fontId="11" fillId="0" borderId="0" xfId="3" applyNumberFormat="1" applyFont="1"/>
    <xf numFmtId="0" fontId="33" fillId="0" borderId="0" xfId="0" applyFont="1"/>
    <xf numFmtId="0" fontId="17" fillId="0" borderId="0" xfId="0" applyFont="1" applyAlignment="1">
      <alignment wrapText="1"/>
    </xf>
    <xf numFmtId="0" fontId="27" fillId="0" borderId="0" xfId="0" applyFont="1"/>
    <xf numFmtId="0" fontId="0" fillId="0" borderId="13" xfId="0" applyBorder="1"/>
    <xf numFmtId="0" fontId="13" fillId="0" borderId="14" xfId="0" applyFont="1" applyBorder="1" applyAlignment="1">
      <alignment horizontal="center" vertical="center" wrapText="1"/>
    </xf>
    <xf numFmtId="0" fontId="13" fillId="0" borderId="15" xfId="0" applyFont="1" applyBorder="1" applyAlignment="1">
      <alignment horizontal="center" vertical="center" wrapText="1"/>
    </xf>
    <xf numFmtId="0" fontId="39" fillId="0" borderId="18" xfId="0" applyFont="1" applyBorder="1" applyAlignment="1">
      <alignment horizontal="right" vertical="center"/>
    </xf>
    <xf numFmtId="0" fontId="37" fillId="0" borderId="0" xfId="0" applyFont="1" applyAlignment="1">
      <alignment horizontal="center" vertical="center"/>
    </xf>
    <xf numFmtId="0" fontId="40" fillId="0" borderId="0" xfId="0" applyFont="1"/>
    <xf numFmtId="0" fontId="40" fillId="0" borderId="0" xfId="0" applyFont="1" applyAlignment="1">
      <alignment wrapText="1"/>
    </xf>
    <xf numFmtId="0" fontId="33" fillId="0" borderId="0" xfId="0" applyFont="1" applyAlignment="1">
      <alignment wrapText="1"/>
    </xf>
    <xf numFmtId="9" fontId="43" fillId="7" borderId="2" xfId="2" applyFont="1" applyFill="1" applyBorder="1" applyAlignment="1">
      <alignment horizontal="center" vertical="center"/>
    </xf>
    <xf numFmtId="9" fontId="43" fillId="7" borderId="2" xfId="0" applyNumberFormat="1" applyFont="1" applyFill="1" applyBorder="1" applyAlignment="1">
      <alignment horizontal="center" vertical="center"/>
    </xf>
    <xf numFmtId="0" fontId="42" fillId="0" borderId="2" xfId="0" applyFont="1" applyBorder="1" applyAlignment="1">
      <alignment horizontal="center" vertical="center"/>
    </xf>
    <xf numFmtId="9" fontId="42" fillId="13" borderId="2" xfId="2" applyFont="1" applyFill="1" applyBorder="1" applyAlignment="1">
      <alignment horizontal="center" vertical="center"/>
    </xf>
    <xf numFmtId="0" fontId="36" fillId="0" borderId="2" xfId="0" applyFont="1" applyBorder="1" applyAlignment="1">
      <alignment horizontal="center" vertical="center" wrapText="1"/>
    </xf>
    <xf numFmtId="0" fontId="36" fillId="11" borderId="2" xfId="0" applyFont="1" applyFill="1" applyBorder="1" applyAlignment="1">
      <alignment horizontal="center" vertical="center" wrapText="1"/>
    </xf>
    <xf numFmtId="0" fontId="35" fillId="0" borderId="3" xfId="0" applyFont="1" applyBorder="1"/>
    <xf numFmtId="0" fontId="33" fillId="0" borderId="3" xfId="0" applyFont="1" applyBorder="1"/>
    <xf numFmtId="0" fontId="33" fillId="0" borderId="3" xfId="0" applyFont="1" applyBorder="1" applyAlignment="1">
      <alignment vertical="center" wrapText="1"/>
    </xf>
    <xf numFmtId="0" fontId="36" fillId="0" borderId="3" xfId="0" applyFont="1" applyBorder="1" applyAlignment="1">
      <alignment vertical="center" wrapText="1"/>
    </xf>
    <xf numFmtId="0" fontId="40" fillId="0" borderId="3" xfId="0" applyFont="1" applyBorder="1"/>
    <xf numFmtId="0" fontId="44" fillId="0" borderId="0" xfId="0" applyFont="1"/>
    <xf numFmtId="0" fontId="41" fillId="0" borderId="3" xfId="0" applyFont="1" applyBorder="1"/>
    <xf numFmtId="0" fontId="40" fillId="11" borderId="2" xfId="0" applyFont="1" applyFill="1" applyBorder="1"/>
    <xf numFmtId="0" fontId="40" fillId="0" borderId="0" xfId="0" quotePrefix="1" applyFont="1"/>
    <xf numFmtId="0" fontId="15" fillId="3" borderId="2" xfId="0" applyFont="1" applyFill="1" applyBorder="1" applyAlignment="1">
      <alignment horizontal="center"/>
    </xf>
    <xf numFmtId="0" fontId="2" fillId="0" borderId="2" xfId="0" applyFont="1" applyBorder="1" applyAlignment="1">
      <alignment horizontal="center" vertical="center"/>
    </xf>
    <xf numFmtId="0" fontId="15" fillId="0" borderId="0" xfId="0" applyFont="1" applyAlignment="1">
      <alignment horizontal="center"/>
    </xf>
    <xf numFmtId="0" fontId="7" fillId="0" borderId="19" xfId="0" applyFont="1" applyBorder="1" applyAlignment="1">
      <alignment vertical="center"/>
    </xf>
    <xf numFmtId="0" fontId="7" fillId="0" borderId="20" xfId="0" applyFont="1" applyBorder="1" applyAlignment="1">
      <alignment vertical="center"/>
    </xf>
    <xf numFmtId="17" fontId="0" fillId="0" borderId="2" xfId="0" applyNumberFormat="1" applyBorder="1" applyAlignment="1">
      <alignment horizontal="center" vertical="center"/>
    </xf>
    <xf numFmtId="168" fontId="0" fillId="0" borderId="2" xfId="3" applyNumberFormat="1" applyFont="1" applyBorder="1"/>
    <xf numFmtId="0" fontId="0" fillId="0" borderId="2" xfId="0" applyBorder="1" applyAlignment="1">
      <alignment horizontal="left" vertical="center" indent="1"/>
    </xf>
    <xf numFmtId="0" fontId="2" fillId="0" borderId="2" xfId="0" applyFont="1" applyBorder="1" applyAlignment="1">
      <alignment vertical="center"/>
    </xf>
    <xf numFmtId="0" fontId="0" fillId="0" borderId="0" xfId="0" applyAlignment="1">
      <alignment vertical="center"/>
    </xf>
    <xf numFmtId="0" fontId="15" fillId="3" borderId="2" xfId="0" applyFont="1" applyFill="1" applyBorder="1" applyAlignment="1">
      <alignment horizontal="center" vertical="center"/>
    </xf>
    <xf numFmtId="0" fontId="46" fillId="0" borderId="2" xfId="4" applyBorder="1"/>
    <xf numFmtId="164" fontId="0" fillId="0" borderId="17" xfId="1" applyNumberFormat="1" applyFont="1" applyBorder="1"/>
    <xf numFmtId="9" fontId="40" fillId="0" borderId="0" xfId="2" applyFont="1"/>
    <xf numFmtId="0" fontId="46" fillId="0" borderId="0" xfId="4"/>
    <xf numFmtId="0" fontId="0" fillId="0" borderId="2" xfId="0" applyBorder="1" applyAlignment="1">
      <alignment horizontal="right"/>
    </xf>
    <xf numFmtId="0" fontId="0" fillId="0" borderId="0" xfId="0" quotePrefix="1"/>
    <xf numFmtId="0" fontId="38" fillId="0" borderId="0" xfId="0" applyFont="1"/>
    <xf numFmtId="0" fontId="49" fillId="0" borderId="0" xfId="0" applyFont="1"/>
    <xf numFmtId="0" fontId="50" fillId="0" borderId="0" xfId="0" applyFont="1" applyAlignment="1">
      <alignment horizontal="right"/>
    </xf>
    <xf numFmtId="0" fontId="0" fillId="0" borderId="2" xfId="0" applyBorder="1" applyAlignment="1">
      <alignment vertical="center"/>
    </xf>
    <xf numFmtId="0" fontId="7" fillId="5" borderId="2" xfId="0" applyFont="1" applyFill="1" applyBorder="1" applyAlignment="1">
      <alignment vertical="center"/>
    </xf>
    <xf numFmtId="0" fontId="52" fillId="0" borderId="0" xfId="0" applyFont="1" applyAlignment="1">
      <alignment horizontal="center"/>
    </xf>
    <xf numFmtId="0" fontId="0" fillId="0" borderId="2" xfId="0" applyBorder="1" applyAlignment="1">
      <alignment horizontal="center" vertical="center"/>
    </xf>
    <xf numFmtId="9" fontId="0" fillId="0" borderId="2" xfId="0" applyNumberFormat="1" applyBorder="1" applyAlignment="1">
      <alignment vertical="center"/>
    </xf>
    <xf numFmtId="0" fontId="0" fillId="0" borderId="31" xfId="0" applyBorder="1" applyAlignment="1">
      <alignment vertical="center"/>
    </xf>
    <xf numFmtId="0" fontId="0" fillId="0" borderId="19" xfId="0" applyBorder="1" applyAlignment="1">
      <alignment horizontal="center" vertical="center"/>
    </xf>
    <xf numFmtId="9" fontId="0" fillId="0" borderId="31" xfId="0" applyNumberFormat="1" applyBorder="1" applyAlignment="1">
      <alignment vertical="center"/>
    </xf>
    <xf numFmtId="0" fontId="46" fillId="0" borderId="2" xfId="4" applyBorder="1" applyAlignment="1">
      <alignment vertical="center"/>
    </xf>
    <xf numFmtId="0" fontId="41" fillId="0" borderId="0" xfId="0" applyFont="1"/>
    <xf numFmtId="0" fontId="47" fillId="0" borderId="0" xfId="0" applyFont="1" applyAlignment="1">
      <alignment horizontal="center"/>
    </xf>
    <xf numFmtId="0" fontId="7" fillId="0" borderId="0" xfId="0" applyFont="1" applyAlignment="1">
      <alignment vertical="center"/>
    </xf>
    <xf numFmtId="0" fontId="32" fillId="0" borderId="0" xfId="0" applyFont="1" applyAlignment="1">
      <alignment horizontal="center" vertical="center"/>
    </xf>
    <xf numFmtId="2" fontId="7" fillId="0" borderId="2" xfId="0" applyNumberFormat="1" applyFont="1" applyBorder="1" applyAlignment="1">
      <alignment vertical="center"/>
    </xf>
    <xf numFmtId="0" fontId="15" fillId="12" borderId="29" xfId="0" applyFont="1" applyFill="1" applyBorder="1"/>
    <xf numFmtId="0" fontId="53" fillId="12" borderId="29" xfId="0" applyFont="1" applyFill="1" applyBorder="1"/>
    <xf numFmtId="0" fontId="55" fillId="17" borderId="14" xfId="0" applyFont="1" applyFill="1" applyBorder="1"/>
    <xf numFmtId="0" fontId="55" fillId="8" borderId="14" xfId="0" applyFont="1" applyFill="1" applyBorder="1"/>
    <xf numFmtId="0" fontId="55" fillId="8" borderId="15" xfId="0" applyFont="1" applyFill="1" applyBorder="1"/>
    <xf numFmtId="0" fontId="55" fillId="17" borderId="2" xfId="0" applyFont="1" applyFill="1" applyBorder="1"/>
    <xf numFmtId="0" fontId="55" fillId="8" borderId="2" xfId="0" applyFont="1" applyFill="1" applyBorder="1"/>
    <xf numFmtId="0" fontId="55" fillId="8" borderId="17" xfId="0" applyFont="1" applyFill="1" applyBorder="1"/>
    <xf numFmtId="0" fontId="56" fillId="17" borderId="19" xfId="0" applyFont="1" applyFill="1" applyBorder="1"/>
    <xf numFmtId="0" fontId="0" fillId="8" borderId="19" xfId="0" applyFill="1" applyBorder="1"/>
    <xf numFmtId="0" fontId="0" fillId="8" borderId="20" xfId="0" applyFill="1" applyBorder="1"/>
    <xf numFmtId="3" fontId="0" fillId="8" borderId="19" xfId="0" applyNumberFormat="1" applyFill="1" applyBorder="1"/>
    <xf numFmtId="3" fontId="0" fillId="8" borderId="20" xfId="0" applyNumberFormat="1" applyFill="1" applyBorder="1"/>
    <xf numFmtId="3" fontId="57" fillId="18" borderId="14" xfId="0" applyNumberFormat="1" applyFont="1" applyFill="1" applyBorder="1"/>
    <xf numFmtId="3" fontId="57" fillId="18" borderId="15" xfId="0" applyNumberFormat="1" applyFont="1" applyFill="1" applyBorder="1"/>
    <xf numFmtId="3" fontId="0" fillId="8" borderId="2" xfId="0" applyNumberFormat="1" applyFill="1" applyBorder="1"/>
    <xf numFmtId="3" fontId="0" fillId="8" borderId="17" xfId="0" applyNumberFormat="1" applyFill="1" applyBorder="1"/>
    <xf numFmtId="1" fontId="0" fillId="8" borderId="14" xfId="2" applyNumberFormat="1" applyFont="1" applyFill="1" applyBorder="1"/>
    <xf numFmtId="1" fontId="0" fillId="8" borderId="15" xfId="2" applyNumberFormat="1" applyFont="1" applyFill="1" applyBorder="1"/>
    <xf numFmtId="1" fontId="0" fillId="8" borderId="2" xfId="2" applyNumberFormat="1" applyFont="1" applyFill="1" applyBorder="1"/>
    <xf numFmtId="1" fontId="0" fillId="8" borderId="17" xfId="2" applyNumberFormat="1" applyFont="1" applyFill="1" applyBorder="1"/>
    <xf numFmtId="1" fontId="0" fillId="8" borderId="19" xfId="2" applyNumberFormat="1" applyFont="1" applyFill="1" applyBorder="1"/>
    <xf numFmtId="1" fontId="0" fillId="8" borderId="20" xfId="2" applyNumberFormat="1" applyFont="1" applyFill="1" applyBorder="1"/>
    <xf numFmtId="1" fontId="55" fillId="8" borderId="14" xfId="2" applyNumberFormat="1" applyFont="1" applyFill="1" applyBorder="1"/>
    <xf numFmtId="1" fontId="55" fillId="8" borderId="15" xfId="2" applyNumberFormat="1" applyFont="1" applyFill="1" applyBorder="1"/>
    <xf numFmtId="1" fontId="0" fillId="8" borderId="14" xfId="0" applyNumberFormat="1" applyFill="1" applyBorder="1"/>
    <xf numFmtId="1" fontId="0" fillId="8" borderId="15" xfId="0" applyNumberFormat="1" applyFill="1" applyBorder="1"/>
    <xf numFmtId="1" fontId="0" fillId="8" borderId="2" xfId="0" applyNumberFormat="1" applyFill="1" applyBorder="1"/>
    <xf numFmtId="1" fontId="0" fillId="8" borderId="17" xfId="0" applyNumberFormat="1" applyFill="1" applyBorder="1"/>
    <xf numFmtId="1" fontId="0" fillId="8" borderId="19" xfId="0" applyNumberFormat="1" applyFill="1" applyBorder="1"/>
    <xf numFmtId="1" fontId="0" fillId="8" borderId="20" xfId="0" applyNumberFormat="1" applyFill="1" applyBorder="1"/>
    <xf numFmtId="0" fontId="0" fillId="17" borderId="14" xfId="0" applyFill="1" applyBorder="1"/>
    <xf numFmtId="0" fontId="0" fillId="17" borderId="2" xfId="0" applyFill="1" applyBorder="1"/>
    <xf numFmtId="0" fontId="0" fillId="17" borderId="19" xfId="0" applyFill="1" applyBorder="1"/>
    <xf numFmtId="0" fontId="42" fillId="0" borderId="0" xfId="0" applyFont="1" applyAlignment="1">
      <alignment horizontal="center" vertical="center"/>
    </xf>
    <xf numFmtId="9" fontId="43" fillId="0" borderId="0" xfId="2" applyFont="1" applyFill="1" applyBorder="1" applyAlignment="1">
      <alignment horizontal="center" vertical="center"/>
    </xf>
    <xf numFmtId="9" fontId="42" fillId="0" borderId="0" xfId="2" applyFont="1" applyFill="1" applyBorder="1" applyAlignment="1">
      <alignment horizontal="center" vertical="center"/>
    </xf>
    <xf numFmtId="0" fontId="35" fillId="0" borderId="0" xfId="0" applyFont="1" applyAlignment="1">
      <alignment horizontal="center"/>
    </xf>
    <xf numFmtId="0" fontId="33" fillId="0" borderId="0" xfId="0" applyFont="1" applyAlignment="1">
      <alignment horizontal="center" vertical="center" wrapText="1"/>
    </xf>
    <xf numFmtId="0" fontId="41" fillId="0" borderId="0" xfId="0" applyFont="1" applyAlignment="1">
      <alignment horizontal="center"/>
    </xf>
    <xf numFmtId="0" fontId="36" fillId="0" borderId="0" xfId="0" applyFont="1" applyAlignment="1">
      <alignment horizontal="center" vertical="center" wrapText="1"/>
    </xf>
    <xf numFmtId="164" fontId="0" fillId="0" borderId="0" xfId="1" applyNumberFormat="1" applyFont="1"/>
    <xf numFmtId="164" fontId="0" fillId="0" borderId="0" xfId="0" applyNumberFormat="1"/>
    <xf numFmtId="0" fontId="58" fillId="0" borderId="0" xfId="0" applyFont="1"/>
    <xf numFmtId="0" fontId="2" fillId="0" borderId="1" xfId="0" applyFont="1" applyBorder="1" applyAlignment="1">
      <alignment horizontal="center"/>
    </xf>
    <xf numFmtId="164" fontId="0" fillId="7" borderId="0" xfId="0" applyNumberFormat="1" applyFill="1"/>
    <xf numFmtId="0" fontId="36" fillId="0" borderId="10" xfId="0" applyFont="1" applyBorder="1" applyAlignment="1">
      <alignment vertical="center"/>
    </xf>
    <xf numFmtId="0" fontId="37" fillId="0" borderId="0" xfId="0" applyFont="1" applyAlignment="1">
      <alignment horizontal="center" vertical="center" wrapText="1"/>
    </xf>
    <xf numFmtId="0" fontId="7" fillId="0" borderId="0" xfId="0" applyFont="1" applyAlignment="1">
      <alignment horizontal="center" vertical="center"/>
    </xf>
    <xf numFmtId="0" fontId="59" fillId="0" borderId="0" xfId="0" applyFont="1"/>
    <xf numFmtId="0" fontId="60" fillId="0" borderId="0" xfId="0" applyFont="1"/>
    <xf numFmtId="0" fontId="0" fillId="0" borderId="0" xfId="0" applyAlignment="1">
      <alignment wrapText="1"/>
    </xf>
    <xf numFmtId="0" fontId="0" fillId="0" borderId="2" xfId="0" applyBorder="1" applyAlignment="1">
      <alignment textRotation="90"/>
    </xf>
    <xf numFmtId="0" fontId="56" fillId="0" borderId="2" xfId="0" applyFont="1" applyBorder="1" applyAlignment="1">
      <alignment horizontal="center" textRotation="90"/>
    </xf>
    <xf numFmtId="0" fontId="54" fillId="0" borderId="2" xfId="0" applyFont="1" applyBorder="1" applyAlignment="1">
      <alignment horizontal="center" textRotation="90"/>
    </xf>
    <xf numFmtId="0" fontId="56" fillId="19" borderId="2" xfId="0" applyFont="1" applyFill="1" applyBorder="1" applyAlignment="1">
      <alignment horizontal="center" textRotation="90"/>
    </xf>
    <xf numFmtId="0" fontId="56" fillId="15" borderId="2" xfId="0" applyFont="1" applyFill="1" applyBorder="1" applyAlignment="1">
      <alignment horizontal="center" textRotation="90"/>
    </xf>
    <xf numFmtId="0" fontId="56" fillId="20" borderId="2" xfId="0" applyFont="1" applyFill="1" applyBorder="1" applyAlignment="1">
      <alignment horizontal="center" textRotation="90"/>
    </xf>
    <xf numFmtId="0" fontId="56" fillId="21" borderId="2" xfId="0" applyFont="1" applyFill="1" applyBorder="1" applyAlignment="1">
      <alignment textRotation="90"/>
    </xf>
    <xf numFmtId="0" fontId="61" fillId="22" borderId="2" xfId="0" applyFont="1" applyFill="1" applyBorder="1" applyAlignment="1">
      <alignment horizontal="center" textRotation="90"/>
    </xf>
    <xf numFmtId="0" fontId="54" fillId="8" borderId="2" xfId="0" applyFont="1" applyFill="1" applyBorder="1" applyAlignment="1">
      <alignment horizontal="center" textRotation="90"/>
    </xf>
    <xf numFmtId="0" fontId="2" fillId="0" borderId="2" xfId="0" applyFont="1" applyBorder="1" applyAlignment="1">
      <alignment textRotation="90"/>
    </xf>
    <xf numFmtId="0" fontId="0" fillId="0" borderId="0" xfId="0" applyAlignment="1">
      <alignment textRotation="90"/>
    </xf>
    <xf numFmtId="0" fontId="30" fillId="0" borderId="2" xfId="0" applyFont="1" applyBorder="1"/>
    <xf numFmtId="0" fontId="31" fillId="0" borderId="2" xfId="0" applyFont="1" applyBorder="1" applyAlignment="1">
      <alignment horizontal="center"/>
    </xf>
    <xf numFmtId="0" fontId="62" fillId="0" borderId="35" xfId="0" applyFont="1" applyBorder="1"/>
    <xf numFmtId="0" fontId="31" fillId="0" borderId="2" xfId="0" applyFont="1" applyBorder="1"/>
    <xf numFmtId="1" fontId="11" fillId="0" borderId="2" xfId="0" applyNumberFormat="1" applyFont="1" applyBorder="1"/>
    <xf numFmtId="9" fontId="31" fillId="15" borderId="2" xfId="2" applyFont="1" applyFill="1" applyBorder="1"/>
    <xf numFmtId="2" fontId="11" fillId="0" borderId="2" xfId="0" applyNumberFormat="1" applyFont="1" applyBorder="1"/>
    <xf numFmtId="9" fontId="11" fillId="0" borderId="2" xfId="2" applyFont="1" applyFill="1" applyBorder="1"/>
    <xf numFmtId="0" fontId="62" fillId="0" borderId="2" xfId="0" applyFont="1" applyBorder="1"/>
    <xf numFmtId="0" fontId="56" fillId="0" borderId="2" xfId="0" applyFont="1" applyBorder="1"/>
    <xf numFmtId="0" fontId="54" fillId="0" borderId="2" xfId="0" applyFont="1" applyBorder="1" applyAlignment="1">
      <alignment horizontal="center"/>
    </xf>
    <xf numFmtId="1" fontId="0" fillId="0" borderId="2" xfId="0" applyNumberFormat="1" applyBorder="1"/>
    <xf numFmtId="2" fontId="0" fillId="0" borderId="2" xfId="0" applyNumberFormat="1" applyBorder="1"/>
    <xf numFmtId="0" fontId="56" fillId="15" borderId="2" xfId="0" applyFont="1" applyFill="1" applyBorder="1"/>
    <xf numFmtId="0" fontId="63" fillId="0" borderId="35" xfId="0" applyFont="1" applyBorder="1"/>
    <xf numFmtId="0" fontId="54" fillId="0" borderId="2" xfId="0" applyFont="1" applyBorder="1"/>
    <xf numFmtId="0" fontId="63" fillId="0" borderId="2" xfId="0" applyFont="1" applyBorder="1"/>
    <xf numFmtId="0" fontId="64" fillId="0" borderId="2" xfId="0" applyFont="1" applyBorder="1"/>
    <xf numFmtId="0" fontId="65" fillId="0" borderId="2" xfId="0" applyFont="1" applyBorder="1"/>
    <xf numFmtId="0" fontId="66" fillId="0" borderId="2" xfId="0" applyFont="1" applyBorder="1" applyAlignment="1">
      <alignment horizontal="center"/>
    </xf>
    <xf numFmtId="1" fontId="64" fillId="0" borderId="2" xfId="0" applyNumberFormat="1" applyFont="1" applyBorder="1"/>
    <xf numFmtId="9" fontId="66" fillId="15" borderId="2" xfId="2" applyFont="1" applyFill="1" applyBorder="1"/>
    <xf numFmtId="0" fontId="64" fillId="0" borderId="0" xfId="0" applyFont="1"/>
    <xf numFmtId="2" fontId="64" fillId="0" borderId="2" xfId="0" applyNumberFormat="1" applyFont="1" applyBorder="1"/>
    <xf numFmtId="0" fontId="16" fillId="0" borderId="2" xfId="0" applyFont="1" applyBorder="1"/>
    <xf numFmtId="0" fontId="67" fillId="0" borderId="2" xfId="0" applyFont="1" applyBorder="1"/>
    <xf numFmtId="0" fontId="68" fillId="0" borderId="2" xfId="0" applyFont="1" applyBorder="1" applyAlignment="1">
      <alignment horizontal="center"/>
    </xf>
    <xf numFmtId="1" fontId="16" fillId="0" borderId="2" xfId="0" applyNumberFormat="1" applyFont="1" applyBorder="1"/>
    <xf numFmtId="2" fontId="16" fillId="0" borderId="2" xfId="0" applyNumberFormat="1" applyFont="1" applyBorder="1"/>
    <xf numFmtId="166" fontId="0" fillId="0" borderId="2" xfId="0" applyNumberFormat="1" applyBorder="1"/>
    <xf numFmtId="0" fontId="0" fillId="0" borderId="0" xfId="0" pivotButton="1"/>
    <xf numFmtId="0" fontId="0" fillId="0" borderId="0" xfId="0" applyAlignment="1">
      <alignment horizontal="left"/>
    </xf>
    <xf numFmtId="9" fontId="0" fillId="2" borderId="0" xfId="0" applyNumberFormat="1" applyFill="1" applyAlignment="1">
      <alignment horizontal="left" indent="2"/>
    </xf>
    <xf numFmtId="0" fontId="69" fillId="6" borderId="2" xfId="0" applyFont="1" applyFill="1" applyBorder="1"/>
    <xf numFmtId="0" fontId="43" fillId="0" borderId="2" xfId="0" applyFont="1" applyBorder="1"/>
    <xf numFmtId="0" fontId="43" fillId="5" borderId="2" xfId="0" applyFont="1" applyFill="1" applyBorder="1" applyAlignment="1">
      <alignment horizontal="center" vertical="center"/>
    </xf>
    <xf numFmtId="0" fontId="43" fillId="5" borderId="2" xfId="0" applyFont="1" applyFill="1" applyBorder="1"/>
    <xf numFmtId="0" fontId="43" fillId="0" borderId="2" xfId="0" applyFont="1" applyBorder="1" applyAlignment="1">
      <alignment horizontal="center" vertical="center"/>
    </xf>
    <xf numFmtId="0" fontId="69" fillId="0" borderId="2" xfId="0" applyFont="1" applyBorder="1"/>
    <xf numFmtId="0" fontId="43" fillId="0" borderId="10" xfId="0" applyFont="1" applyBorder="1"/>
    <xf numFmtId="0" fontId="43" fillId="5" borderId="10" xfId="0" applyFont="1" applyFill="1" applyBorder="1"/>
    <xf numFmtId="0" fontId="70" fillId="6" borderId="10" xfId="0" applyFont="1" applyFill="1" applyBorder="1"/>
    <xf numFmtId="0" fontId="46" fillId="0" borderId="2" xfId="4" applyBorder="1" applyAlignment="1">
      <alignment wrapText="1"/>
    </xf>
    <xf numFmtId="0" fontId="55" fillId="0" borderId="12" xfId="0" applyFont="1" applyBorder="1" applyAlignment="1">
      <alignment horizontal="left" vertical="center"/>
    </xf>
    <xf numFmtId="0" fontId="55" fillId="0" borderId="7" xfId="0" applyFont="1" applyBorder="1" applyAlignment="1">
      <alignment horizontal="left" vertical="center" wrapText="1"/>
    </xf>
    <xf numFmtId="0" fontId="55" fillId="0" borderId="9" xfId="0" applyFont="1" applyBorder="1" applyAlignment="1">
      <alignment horizontal="left" vertical="center" wrapText="1"/>
    </xf>
    <xf numFmtId="0" fontId="55" fillId="0" borderId="12" xfId="0" applyFont="1" applyBorder="1" applyAlignment="1">
      <alignment horizontal="left" vertical="center" wrapText="1"/>
    </xf>
    <xf numFmtId="0" fontId="55" fillId="0" borderId="12" xfId="0" applyFont="1" applyBorder="1" applyAlignment="1">
      <alignment vertical="center" wrapText="1"/>
    </xf>
    <xf numFmtId="0" fontId="55" fillId="0" borderId="0" xfId="0" applyFont="1"/>
    <xf numFmtId="0" fontId="55" fillId="0" borderId="7" xfId="0" applyFont="1" applyBorder="1" applyAlignment="1">
      <alignment horizontal="center" vertical="center"/>
    </xf>
    <xf numFmtId="0" fontId="55" fillId="0" borderId="12" xfId="0" applyFont="1" applyBorder="1" applyAlignment="1">
      <alignment horizontal="center" vertical="center"/>
    </xf>
    <xf numFmtId="0" fontId="55" fillId="23" borderId="12" xfId="0" applyFont="1" applyFill="1" applyBorder="1" applyAlignment="1">
      <alignment horizontal="center" vertical="center"/>
    </xf>
    <xf numFmtId="0" fontId="36" fillId="0" borderId="0" xfId="0" applyFont="1"/>
    <xf numFmtId="0" fontId="37" fillId="0" borderId="0" xfId="0" applyFont="1"/>
    <xf numFmtId="0" fontId="7" fillId="0" borderId="0" xfId="0" applyFont="1"/>
    <xf numFmtId="0" fontId="74" fillId="0" borderId="0" xfId="0" applyFont="1"/>
    <xf numFmtId="0" fontId="0" fillId="25" borderId="0" xfId="0" applyFill="1"/>
    <xf numFmtId="0" fontId="15" fillId="3" borderId="39" xfId="0" applyFont="1" applyFill="1" applyBorder="1"/>
    <xf numFmtId="0" fontId="15" fillId="3" borderId="40" xfId="0" applyFont="1" applyFill="1" applyBorder="1" applyAlignment="1">
      <alignment horizontal="center" vertical="center"/>
    </xf>
    <xf numFmtId="0" fontId="15" fillId="3" borderId="41" xfId="0" applyFont="1" applyFill="1" applyBorder="1" applyAlignment="1">
      <alignment horizontal="center" vertical="center"/>
    </xf>
    <xf numFmtId="0" fontId="0" fillId="0" borderId="17" xfId="0" applyBorder="1" applyAlignment="1">
      <alignment horizontal="center" vertical="center"/>
    </xf>
    <xf numFmtId="0" fontId="0" fillId="0" borderId="20" xfId="0" applyBorder="1" applyAlignment="1">
      <alignment horizontal="center" vertical="center"/>
    </xf>
    <xf numFmtId="0" fontId="76" fillId="0" borderId="0" xfId="0" applyFont="1"/>
    <xf numFmtId="0" fontId="13" fillId="0" borderId="16" xfId="0" applyFont="1" applyBorder="1"/>
    <xf numFmtId="164" fontId="15" fillId="3" borderId="2" xfId="0" applyNumberFormat="1" applyFont="1" applyFill="1" applyBorder="1" applyAlignment="1">
      <alignment horizontal="center" vertical="center"/>
    </xf>
    <xf numFmtId="164" fontId="0" fillId="0" borderId="2" xfId="1" applyNumberFormat="1" applyFont="1" applyBorder="1" applyAlignment="1">
      <alignment horizontal="right" vertical="center"/>
    </xf>
    <xf numFmtId="0" fontId="15" fillId="3" borderId="13" xfId="0" applyFont="1" applyFill="1" applyBorder="1"/>
    <xf numFmtId="0" fontId="15" fillId="3" borderId="14" xfId="0" applyFont="1" applyFill="1" applyBorder="1" applyAlignment="1">
      <alignment horizontal="center" vertical="center"/>
    </xf>
    <xf numFmtId="0" fontId="15" fillId="3" borderId="15" xfId="0" applyFont="1" applyFill="1" applyBorder="1" applyAlignment="1">
      <alignment horizontal="center" vertical="center"/>
    </xf>
    <xf numFmtId="0" fontId="15" fillId="3" borderId="16" xfId="0" applyFont="1" applyFill="1" applyBorder="1"/>
    <xf numFmtId="164" fontId="15" fillId="3" borderId="17" xfId="0" applyNumberFormat="1" applyFont="1" applyFill="1" applyBorder="1" applyAlignment="1">
      <alignment horizontal="center" vertical="center"/>
    </xf>
    <xf numFmtId="164" fontId="15" fillId="3" borderId="14" xfId="1" applyNumberFormat="1" applyFont="1" applyFill="1" applyBorder="1" applyAlignment="1">
      <alignment horizontal="center" vertical="center"/>
    </xf>
    <xf numFmtId="164" fontId="15" fillId="3" borderId="15" xfId="1" applyNumberFormat="1" applyFont="1" applyFill="1" applyBorder="1" applyAlignment="1">
      <alignment horizontal="center" vertical="center"/>
    </xf>
    <xf numFmtId="164" fontId="0" fillId="0" borderId="17" xfId="1" applyNumberFormat="1" applyFont="1" applyBorder="1" applyAlignment="1">
      <alignment horizontal="right" vertical="center"/>
    </xf>
    <xf numFmtId="164" fontId="2" fillId="0" borderId="2" xfId="0" applyNumberFormat="1" applyFont="1" applyBorder="1" applyAlignment="1">
      <alignment horizontal="center" vertical="center"/>
    </xf>
    <xf numFmtId="164" fontId="2" fillId="0" borderId="17" xfId="0" applyNumberFormat="1" applyFont="1" applyBorder="1" applyAlignment="1">
      <alignment horizontal="center" vertical="center"/>
    </xf>
    <xf numFmtId="0" fontId="0" fillId="0" borderId="42" xfId="0" applyBorder="1"/>
    <xf numFmtId="0" fontId="0" fillId="0" borderId="31" xfId="0" applyBorder="1" applyAlignment="1">
      <alignment horizontal="center" vertical="center"/>
    </xf>
    <xf numFmtId="0" fontId="0" fillId="0" borderId="43" xfId="0" applyBorder="1" applyAlignment="1">
      <alignment horizontal="center" vertical="center"/>
    </xf>
    <xf numFmtId="164" fontId="0" fillId="0" borderId="20" xfId="1" applyNumberFormat="1" applyFont="1" applyBorder="1"/>
    <xf numFmtId="164" fontId="0" fillId="0" borderId="19" xfId="1" applyNumberFormat="1" applyFont="1" applyBorder="1" applyAlignment="1">
      <alignment horizontal="right" vertical="center"/>
    </xf>
    <xf numFmtId="164" fontId="0" fillId="0" borderId="2" xfId="1" applyNumberFormat="1" applyFont="1" applyBorder="1" applyAlignment="1">
      <alignment horizontal="center" vertical="center"/>
    </xf>
    <xf numFmtId="164" fontId="0" fillId="0" borderId="19" xfId="1" applyNumberFormat="1" applyFont="1" applyBorder="1"/>
    <xf numFmtId="164" fontId="15" fillId="3" borderId="14" xfId="0" applyNumberFormat="1" applyFont="1" applyFill="1" applyBorder="1" applyAlignment="1">
      <alignment horizontal="center" vertical="center"/>
    </xf>
    <xf numFmtId="164" fontId="15" fillId="3" borderId="15" xfId="0" applyNumberFormat="1" applyFont="1" applyFill="1" applyBorder="1" applyAlignment="1">
      <alignment horizontal="center" vertical="center"/>
    </xf>
    <xf numFmtId="164" fontId="0" fillId="0" borderId="20" xfId="1" applyNumberFormat="1" applyFont="1" applyBorder="1" applyAlignment="1">
      <alignment horizontal="right" vertical="center"/>
    </xf>
    <xf numFmtId="0" fontId="0" fillId="0" borderId="16" xfId="0" applyBorder="1" applyAlignment="1">
      <alignment horizontal="left" indent="1"/>
    </xf>
    <xf numFmtId="0" fontId="0" fillId="0" borderId="18" xfId="0" applyBorder="1" applyAlignment="1">
      <alignment horizontal="left" indent="1"/>
    </xf>
    <xf numFmtId="0" fontId="36" fillId="15" borderId="10" xfId="0" applyFont="1" applyFill="1" applyBorder="1" applyAlignment="1">
      <alignment vertical="center"/>
    </xf>
    <xf numFmtId="0" fontId="16"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right" vertical="center"/>
    </xf>
    <xf numFmtId="0" fontId="36" fillId="0" borderId="0" xfId="0" applyFont="1" applyAlignment="1">
      <alignment horizontal="center" vertical="center"/>
    </xf>
    <xf numFmtId="0" fontId="0" fillId="0" borderId="0" xfId="0" applyAlignment="1">
      <alignment horizontal="center"/>
    </xf>
    <xf numFmtId="164" fontId="0" fillId="0" borderId="0" xfId="1" applyNumberFormat="1" applyFont="1" applyFill="1" applyBorder="1" applyAlignment="1">
      <alignment horizontal="center"/>
    </xf>
    <xf numFmtId="164" fontId="2" fillId="0" borderId="0" xfId="1" applyNumberFormat="1" applyFont="1" applyFill="1" applyBorder="1" applyAlignment="1">
      <alignment horizontal="center" vertical="center"/>
    </xf>
    <xf numFmtId="0" fontId="36" fillId="0" borderId="0" xfId="0" applyFont="1" applyAlignment="1">
      <alignment horizontal="center"/>
    </xf>
    <xf numFmtId="0" fontId="37" fillId="0" borderId="0" xfId="0" applyFont="1" applyAlignment="1">
      <alignment horizontal="center"/>
    </xf>
    <xf numFmtId="164" fontId="0" fillId="0" borderId="4" xfId="1" applyNumberFormat="1" applyFont="1" applyBorder="1" applyAlignment="1">
      <alignment horizontal="center"/>
    </xf>
    <xf numFmtId="164" fontId="0" fillId="0" borderId="4" xfId="1" applyNumberFormat="1" applyFont="1" applyFill="1" applyBorder="1" applyAlignment="1">
      <alignment horizontal="center" vertical="center"/>
    </xf>
    <xf numFmtId="164" fontId="0" fillId="0" borderId="4" xfId="1" applyNumberFormat="1" applyFont="1" applyFill="1" applyBorder="1" applyAlignment="1">
      <alignment horizontal="center"/>
    </xf>
    <xf numFmtId="164" fontId="0" fillId="0" borderId="30" xfId="1" applyNumberFormat="1" applyFont="1" applyFill="1" applyBorder="1" applyAlignment="1">
      <alignment horizontal="center" vertical="center"/>
    </xf>
    <xf numFmtId="164" fontId="39" fillId="0" borderId="30" xfId="1" applyNumberFormat="1" applyFont="1" applyFill="1" applyBorder="1" applyAlignment="1">
      <alignment horizontal="center"/>
    </xf>
    <xf numFmtId="164" fontId="33" fillId="0" borderId="30" xfId="1" applyNumberFormat="1" applyFont="1" applyFill="1" applyBorder="1" applyAlignment="1">
      <alignment horizontal="center"/>
    </xf>
    <xf numFmtId="164" fontId="33" fillId="0" borderId="30" xfId="1" applyNumberFormat="1" applyFont="1" applyFill="1" applyBorder="1" applyAlignment="1">
      <alignment horizontal="center" vertical="center" wrapText="1"/>
    </xf>
    <xf numFmtId="0" fontId="2" fillId="0" borderId="9" xfId="0" applyFont="1" applyBorder="1" applyAlignment="1">
      <alignment horizontal="center" wrapText="1"/>
    </xf>
    <xf numFmtId="0" fontId="2" fillId="0" borderId="31" xfId="0" applyFont="1" applyBorder="1" applyAlignment="1">
      <alignment horizontal="center"/>
    </xf>
    <xf numFmtId="164" fontId="8" fillId="8" borderId="2" xfId="1" applyNumberFormat="1" applyFont="1" applyFill="1" applyBorder="1" applyAlignment="1">
      <alignment horizontal="right" vertical="center"/>
    </xf>
    <xf numFmtId="164" fontId="0" fillId="8" borderId="2" xfId="1" applyNumberFormat="1" applyFont="1" applyFill="1" applyBorder="1" applyAlignment="1">
      <alignment horizontal="right" vertical="center"/>
    </xf>
    <xf numFmtId="164" fontId="75" fillId="11" borderId="2" xfId="0" applyNumberFormat="1" applyFont="1" applyFill="1" applyBorder="1" applyAlignment="1">
      <alignment horizontal="center" vertical="center"/>
    </xf>
    <xf numFmtId="9" fontId="8" fillId="8" borderId="2" xfId="2" applyFont="1" applyFill="1" applyBorder="1" applyAlignment="1">
      <alignment horizontal="right" vertical="center"/>
    </xf>
    <xf numFmtId="172" fontId="8" fillId="8" borderId="2" xfId="1" applyNumberFormat="1" applyFont="1" applyFill="1" applyBorder="1" applyAlignment="1">
      <alignment horizontal="right" vertical="center"/>
    </xf>
    <xf numFmtId="0" fontId="0" fillId="15" borderId="0" xfId="0" applyFill="1" applyAlignment="1">
      <alignment horizontal="left" indent="1"/>
    </xf>
    <xf numFmtId="164" fontId="0" fillId="15" borderId="0" xfId="1" applyNumberFormat="1" applyFont="1" applyFill="1" applyBorder="1"/>
    <xf numFmtId="164" fontId="8" fillId="15" borderId="0" xfId="1" applyNumberFormat="1" applyFont="1" applyFill="1" applyBorder="1" applyAlignment="1">
      <alignment horizontal="right" vertical="center"/>
    </xf>
    <xf numFmtId="9" fontId="8" fillId="15" borderId="0" xfId="2" applyFont="1" applyFill="1" applyBorder="1" applyAlignment="1">
      <alignment horizontal="right" vertical="center"/>
    </xf>
    <xf numFmtId="164" fontId="0" fillId="15" borderId="0" xfId="1" applyNumberFormat="1" applyFont="1" applyFill="1" applyBorder="1" applyAlignment="1">
      <alignment horizontal="right" vertical="center"/>
    </xf>
    <xf numFmtId="0" fontId="0" fillId="15" borderId="0" xfId="0" applyFill="1"/>
    <xf numFmtId="164" fontId="8" fillId="8" borderId="19" xfId="1" applyNumberFormat="1" applyFont="1" applyFill="1" applyBorder="1" applyAlignment="1">
      <alignment horizontal="right" vertical="center"/>
    </xf>
    <xf numFmtId="9" fontId="8" fillId="8" borderId="19" xfId="2" applyFont="1" applyFill="1" applyBorder="1" applyAlignment="1">
      <alignment horizontal="right" vertical="center"/>
    </xf>
    <xf numFmtId="164" fontId="0" fillId="8" borderId="19" xfId="1" applyNumberFormat="1" applyFont="1" applyFill="1" applyBorder="1" applyAlignment="1">
      <alignment horizontal="right" vertical="center"/>
    </xf>
    <xf numFmtId="172" fontId="8" fillId="15" borderId="0" xfId="1" applyNumberFormat="1" applyFont="1" applyFill="1" applyBorder="1" applyAlignment="1">
      <alignment horizontal="right" vertical="center"/>
    </xf>
    <xf numFmtId="174" fontId="8" fillId="15" borderId="0" xfId="2" applyNumberFormat="1" applyFont="1" applyFill="1" applyBorder="1" applyAlignment="1">
      <alignment horizontal="right" vertical="center"/>
    </xf>
    <xf numFmtId="172" fontId="75" fillId="11" borderId="14" xfId="0" applyNumberFormat="1" applyFont="1" applyFill="1" applyBorder="1" applyAlignment="1">
      <alignment horizontal="center" vertical="center"/>
    </xf>
    <xf numFmtId="172" fontId="8" fillId="8" borderId="19" xfId="1" applyNumberFormat="1" applyFont="1" applyFill="1" applyBorder="1" applyAlignment="1">
      <alignment horizontal="right" vertical="center"/>
    </xf>
    <xf numFmtId="174" fontId="8" fillId="8" borderId="2" xfId="2" applyNumberFormat="1" applyFont="1" applyFill="1" applyBorder="1" applyAlignment="1">
      <alignment horizontal="right" vertical="center"/>
    </xf>
    <xf numFmtId="174" fontId="8" fillId="8" borderId="19" xfId="2" applyNumberFormat="1" applyFont="1" applyFill="1" applyBorder="1" applyAlignment="1">
      <alignment horizontal="right" vertical="center"/>
    </xf>
    <xf numFmtId="164" fontId="75" fillId="11" borderId="31" xfId="0" applyNumberFormat="1" applyFont="1" applyFill="1" applyBorder="1" applyAlignment="1">
      <alignment horizontal="center" vertical="center"/>
    </xf>
    <xf numFmtId="164" fontId="11" fillId="11" borderId="31" xfId="0" applyNumberFormat="1" applyFont="1" applyFill="1" applyBorder="1" applyAlignment="1">
      <alignment horizontal="center" vertical="center"/>
    </xf>
    <xf numFmtId="164" fontId="11" fillId="11" borderId="2" xfId="0" applyNumberFormat="1" applyFont="1" applyFill="1" applyBorder="1" applyAlignment="1">
      <alignment horizontal="center" vertical="center"/>
    </xf>
    <xf numFmtId="0" fontId="17" fillId="0" borderId="0" xfId="0" applyFont="1" applyAlignment="1">
      <alignment horizontal="center" vertical="center"/>
    </xf>
    <xf numFmtId="9" fontId="78" fillId="14" borderId="2" xfId="2" applyFont="1" applyFill="1" applyBorder="1" applyAlignment="1">
      <alignment horizontal="center" vertical="center"/>
    </xf>
    <xf numFmtId="174" fontId="78" fillId="14" borderId="14" xfId="2" applyNumberFormat="1" applyFont="1" applyFill="1" applyBorder="1" applyAlignment="1">
      <alignment horizontal="center" vertical="center"/>
    </xf>
    <xf numFmtId="0" fontId="79" fillId="0" borderId="0" xfId="0" applyFont="1"/>
    <xf numFmtId="0" fontId="0" fillId="2" borderId="39" xfId="0" applyFill="1" applyBorder="1"/>
    <xf numFmtId="0" fontId="0" fillId="2" borderId="41" xfId="0" applyFill="1" applyBorder="1"/>
    <xf numFmtId="0" fontId="0" fillId="2" borderId="26" xfId="0" applyFill="1" applyBorder="1"/>
    <xf numFmtId="0" fontId="0" fillId="2" borderId="28" xfId="0" applyFill="1" applyBorder="1"/>
    <xf numFmtId="0" fontId="58" fillId="0" borderId="39" xfId="0" applyFont="1" applyBorder="1"/>
    <xf numFmtId="0" fontId="0" fillId="0" borderId="41" xfId="0" applyBorder="1"/>
    <xf numFmtId="0" fontId="0" fillId="0" borderId="24" xfId="0" applyBorder="1"/>
    <xf numFmtId="0" fontId="0" fillId="0" borderId="25" xfId="0" applyBorder="1"/>
    <xf numFmtId="0" fontId="0" fillId="0" borderId="26" xfId="0" applyBorder="1"/>
    <xf numFmtId="0" fontId="0" fillId="0" borderId="40" xfId="0" applyBorder="1"/>
    <xf numFmtId="0" fontId="0" fillId="0" borderId="27" xfId="0" applyBorder="1"/>
    <xf numFmtId="0" fontId="0" fillId="0" borderId="28" xfId="0" applyBorder="1"/>
    <xf numFmtId="164" fontId="2" fillId="0" borderId="25" xfId="1" applyNumberFormat="1" applyFont="1" applyBorder="1"/>
    <xf numFmtId="164" fontId="2" fillId="0" borderId="28" xfId="0" applyNumberFormat="1" applyFont="1" applyBorder="1"/>
    <xf numFmtId="43" fontId="2" fillId="0" borderId="25" xfId="1" applyFont="1" applyBorder="1"/>
    <xf numFmtId="9" fontId="2" fillId="0" borderId="25" xfId="2" applyFont="1" applyBorder="1"/>
    <xf numFmtId="175" fontId="2" fillId="0" borderId="0" xfId="0" applyNumberFormat="1" applyFont="1"/>
    <xf numFmtId="0" fontId="80" fillId="0" borderId="0" xfId="0" applyFont="1"/>
    <xf numFmtId="0" fontId="82" fillId="0" borderId="25" xfId="0" applyFont="1" applyBorder="1" applyAlignment="1">
      <alignment wrapText="1"/>
    </xf>
    <xf numFmtId="0" fontId="82" fillId="0" borderId="25" xfId="0" applyFont="1" applyBorder="1"/>
    <xf numFmtId="164" fontId="2" fillId="0" borderId="0" xfId="0" applyNumberFormat="1" applyFont="1"/>
    <xf numFmtId="0" fontId="8" fillId="0" borderId="0" xfId="0" applyFont="1"/>
    <xf numFmtId="1" fontId="2" fillId="0" borderId="0" xfId="0" applyNumberFormat="1" applyFont="1"/>
    <xf numFmtId="164" fontId="2" fillId="0" borderId="0" xfId="1" applyNumberFormat="1" applyFont="1" applyFill="1" applyBorder="1" applyAlignment="1">
      <alignment horizontal="center"/>
    </xf>
    <xf numFmtId="164" fontId="1" fillId="0" borderId="29" xfId="1" applyNumberFormat="1" applyFont="1" applyFill="1" applyBorder="1" applyAlignment="1">
      <alignment horizontal="center"/>
    </xf>
    <xf numFmtId="164" fontId="1" fillId="0" borderId="29" xfId="1" applyNumberFormat="1" applyFont="1" applyBorder="1" applyAlignment="1">
      <alignment horizontal="center"/>
    </xf>
    <xf numFmtId="164" fontId="0" fillId="0" borderId="29" xfId="1" applyNumberFormat="1" applyFont="1" applyBorder="1" applyAlignment="1">
      <alignment horizontal="center"/>
    </xf>
    <xf numFmtId="164" fontId="39" fillId="0" borderId="29" xfId="1" applyNumberFormat="1" applyFont="1" applyFill="1" applyBorder="1" applyAlignment="1">
      <alignment horizontal="center"/>
    </xf>
    <xf numFmtId="164" fontId="0" fillId="0" borderId="7" xfId="1" applyNumberFormat="1" applyFont="1" applyFill="1" applyBorder="1" applyAlignment="1">
      <alignment horizontal="center"/>
    </xf>
    <xf numFmtId="9" fontId="0" fillId="0" borderId="0" xfId="2" applyFont="1" applyFill="1" applyBorder="1" applyAlignment="1">
      <alignment horizontal="center"/>
    </xf>
    <xf numFmtId="174" fontId="8" fillId="0" borderId="4" xfId="2" applyNumberFormat="1" applyFont="1" applyFill="1" applyBorder="1" applyAlignment="1">
      <alignment horizontal="right"/>
    </xf>
    <xf numFmtId="9" fontId="8" fillId="0" borderId="30" xfId="2" applyFont="1" applyFill="1" applyBorder="1" applyAlignment="1">
      <alignment horizontal="right"/>
    </xf>
    <xf numFmtId="0" fontId="0" fillId="6" borderId="2" xfId="0" applyFill="1" applyBorder="1" applyAlignment="1">
      <alignment horizontal="center" vertical="center"/>
    </xf>
    <xf numFmtId="0" fontId="0" fillId="25" borderId="2" xfId="0" applyFill="1" applyBorder="1" applyAlignment="1">
      <alignment horizontal="center" vertical="center"/>
    </xf>
    <xf numFmtId="0" fontId="0" fillId="2" borderId="2" xfId="0" applyFill="1" applyBorder="1" applyAlignment="1">
      <alignment horizontal="center" vertical="center"/>
    </xf>
    <xf numFmtId="0" fontId="0" fillId="4" borderId="2" xfId="0" applyFill="1" applyBorder="1" applyAlignment="1">
      <alignment horizontal="center" vertical="center"/>
    </xf>
    <xf numFmtId="0" fontId="0" fillId="0" borderId="7" xfId="0" applyBorder="1" applyAlignment="1">
      <alignment horizontal="center" vertical="center"/>
    </xf>
    <xf numFmtId="0" fontId="0" fillId="31" borderId="2" xfId="0" applyFill="1" applyBorder="1" applyAlignment="1">
      <alignment horizontal="center" vertical="center"/>
    </xf>
    <xf numFmtId="0" fontId="2" fillId="33" borderId="0" xfId="0" applyFont="1" applyFill="1" applyAlignment="1">
      <alignment horizontal="center" vertical="center"/>
    </xf>
    <xf numFmtId="0" fontId="83" fillId="0" borderId="0" xfId="0" applyFont="1"/>
    <xf numFmtId="0" fontId="83" fillId="0" borderId="2" xfId="0" applyFont="1" applyBorder="1" applyAlignment="1">
      <alignment horizontal="center" vertical="center" wrapText="1"/>
    </xf>
    <xf numFmtId="0" fontId="83" fillId="0" borderId="41" xfId="0" applyFont="1" applyBorder="1" applyAlignment="1">
      <alignment horizontal="center" vertical="center"/>
    </xf>
    <xf numFmtId="0" fontId="83" fillId="0" borderId="12" xfId="0" applyFont="1" applyBorder="1" applyAlignment="1">
      <alignment horizontal="center" vertical="center"/>
    </xf>
    <xf numFmtId="0" fontId="83" fillId="0" borderId="2" xfId="0" applyFont="1" applyBorder="1" applyAlignment="1">
      <alignment horizontal="center" vertical="center"/>
    </xf>
    <xf numFmtId="0" fontId="83" fillId="0" borderId="0" xfId="0" applyFont="1" applyAlignment="1">
      <alignment horizontal="center" vertical="center"/>
    </xf>
    <xf numFmtId="0" fontId="39" fillId="0" borderId="2" xfId="0" applyFont="1" applyBorder="1" applyAlignment="1">
      <alignment horizontal="center" vertical="center" wrapText="1"/>
    </xf>
    <xf numFmtId="0" fontId="0" fillId="0" borderId="12" xfId="0" applyBorder="1" applyAlignment="1">
      <alignment horizontal="left" vertical="center"/>
    </xf>
    <xf numFmtId="0" fontId="0" fillId="0" borderId="12" xfId="0" applyBorder="1" applyAlignment="1">
      <alignment horizontal="left" vertical="center" wrapText="1"/>
    </xf>
    <xf numFmtId="0" fontId="0" fillId="0" borderId="2" xfId="0" applyBorder="1" applyAlignment="1">
      <alignment horizontal="center" vertical="center" wrapText="1"/>
    </xf>
    <xf numFmtId="0" fontId="0" fillId="0" borderId="12" xfId="0" applyBorder="1" applyAlignment="1">
      <alignment vertical="center" wrapText="1"/>
    </xf>
    <xf numFmtId="10" fontId="0" fillId="0" borderId="2" xfId="0" applyNumberFormat="1" applyBorder="1" applyAlignment="1">
      <alignment horizontal="center" vertical="center"/>
    </xf>
    <xf numFmtId="9" fontId="0" fillId="0" borderId="2" xfId="0" applyNumberFormat="1" applyBorder="1" applyAlignment="1">
      <alignment horizontal="center" vertical="center"/>
    </xf>
    <xf numFmtId="0" fontId="0" fillId="0" borderId="30" xfId="0" applyBorder="1" applyAlignment="1">
      <alignment vertical="center"/>
    </xf>
    <xf numFmtId="0" fontId="0" fillId="0" borderId="29" xfId="0" applyBorder="1" applyAlignment="1">
      <alignment horizontal="center" vertical="center"/>
    </xf>
    <xf numFmtId="0" fontId="84" fillId="40" borderId="37" xfId="0" applyFont="1" applyFill="1" applyBorder="1" applyAlignment="1">
      <alignment vertical="center" textRotation="255"/>
    </xf>
    <xf numFmtId="0" fontId="84" fillId="40" borderId="37" xfId="0" applyFont="1" applyFill="1" applyBorder="1" applyAlignment="1">
      <alignment horizontal="center" vertical="center" textRotation="255"/>
    </xf>
    <xf numFmtId="0" fontId="84" fillId="40" borderId="0" xfId="0" applyFont="1" applyFill="1" applyAlignment="1">
      <alignment horizontal="center" vertical="center" textRotation="255"/>
    </xf>
    <xf numFmtId="0" fontId="84" fillId="0" borderId="2" xfId="0" applyFont="1" applyBorder="1" applyAlignment="1">
      <alignment horizontal="center" vertical="center" textRotation="255"/>
    </xf>
    <xf numFmtId="0" fontId="0" fillId="40" borderId="2" xfId="0" applyFill="1" applyBorder="1" applyAlignment="1">
      <alignment horizontal="center" vertical="center"/>
    </xf>
    <xf numFmtId="0" fontId="0" fillId="40" borderId="29" xfId="0" applyFill="1" applyBorder="1" applyAlignment="1">
      <alignment horizontal="center" vertical="center"/>
    </xf>
    <xf numFmtId="0" fontId="0" fillId="40" borderId="0" xfId="0" applyFill="1" applyAlignment="1">
      <alignment horizontal="center" vertical="center"/>
    </xf>
    <xf numFmtId="0" fontId="84" fillId="34" borderId="37" xfId="0" applyFont="1" applyFill="1" applyBorder="1" applyAlignment="1">
      <alignment vertical="center" textRotation="255"/>
    </xf>
    <xf numFmtId="0" fontId="84" fillId="34" borderId="0" xfId="0" applyFont="1" applyFill="1" applyAlignment="1">
      <alignment horizontal="center" vertical="center" textRotation="255"/>
    </xf>
    <xf numFmtId="0" fontId="84" fillId="41" borderId="0" xfId="0" applyFont="1" applyFill="1" applyAlignment="1">
      <alignment horizontal="center" vertical="center" textRotation="255"/>
    </xf>
    <xf numFmtId="0" fontId="0" fillId="0" borderId="2" xfId="0" quotePrefix="1" applyBorder="1" applyAlignment="1">
      <alignment horizontal="center" vertical="center"/>
    </xf>
    <xf numFmtId="176" fontId="0" fillId="0" borderId="2" xfId="0" applyNumberFormat="1" applyBorder="1" applyAlignment="1">
      <alignment horizontal="center" vertical="center"/>
    </xf>
    <xf numFmtId="9" fontId="0" fillId="0" borderId="12" xfId="0" applyNumberFormat="1" applyBorder="1" applyAlignment="1">
      <alignment horizontal="center" vertical="center"/>
    </xf>
    <xf numFmtId="0" fontId="0" fillId="2" borderId="12" xfId="0" applyFill="1" applyBorder="1" applyAlignment="1">
      <alignment horizontal="left" vertical="center"/>
    </xf>
    <xf numFmtId="164" fontId="39" fillId="0" borderId="0" xfId="1" applyNumberFormat="1" applyFont="1" applyFill="1" applyBorder="1" applyAlignment="1">
      <alignment horizontal="center"/>
    </xf>
    <xf numFmtId="164" fontId="33" fillId="0" borderId="0" xfId="1" applyNumberFormat="1" applyFont="1" applyFill="1" applyBorder="1" applyAlignment="1">
      <alignment horizontal="center" vertical="center" wrapText="1"/>
    </xf>
    <xf numFmtId="0" fontId="16" fillId="0" borderId="0" xfId="0" quotePrefix="1" applyFont="1" applyAlignment="1">
      <alignment horizontal="left" vertical="center"/>
    </xf>
    <xf numFmtId="0" fontId="24" fillId="0" borderId="0" xfId="0" applyFont="1" applyAlignment="1">
      <alignment horizontal="center"/>
    </xf>
    <xf numFmtId="0" fontId="0" fillId="0" borderId="0" xfId="0" applyAlignment="1">
      <alignment vertical="center" wrapText="1"/>
    </xf>
    <xf numFmtId="164" fontId="0" fillId="11" borderId="0" xfId="0" applyNumberFormat="1" applyFill="1"/>
    <xf numFmtId="0" fontId="0" fillId="0" borderId="1" xfId="0" applyBorder="1" applyAlignment="1">
      <alignment horizontal="center" vertical="center"/>
    </xf>
    <xf numFmtId="0" fontId="0" fillId="0" borderId="1" xfId="0" applyBorder="1" applyAlignment="1">
      <alignment horizontal="center" vertical="center" wrapText="1"/>
    </xf>
    <xf numFmtId="9" fontId="8" fillId="0" borderId="0" xfId="2" applyFont="1"/>
    <xf numFmtId="164" fontId="15" fillId="26" borderId="0" xfId="0" applyNumberFormat="1" applyFont="1" applyFill="1"/>
    <xf numFmtId="0" fontId="16" fillId="0" borderId="0" xfId="0" applyFont="1" applyAlignment="1">
      <alignment horizontal="left" indent="1"/>
    </xf>
    <xf numFmtId="0" fontId="17" fillId="0" borderId="0" xfId="0" applyFont="1" applyAlignment="1">
      <alignment horizontal="right" vertical="center"/>
    </xf>
    <xf numFmtId="171" fontId="75" fillId="0" borderId="0" xfId="2" applyNumberFormat="1" applyFont="1" applyFill="1" applyBorder="1" applyAlignment="1">
      <alignment horizontal="center" vertical="center"/>
    </xf>
    <xf numFmtId="0" fontId="8" fillId="0" borderId="0" xfId="0" applyFont="1" applyAlignment="1">
      <alignment horizontal="center"/>
    </xf>
    <xf numFmtId="0" fontId="2" fillId="0" borderId="0" xfId="0" applyFont="1" applyAlignment="1">
      <alignment horizontal="center" wrapText="1"/>
    </xf>
    <xf numFmtId="0" fontId="2" fillId="0" borderId="0" xfId="0" applyFont="1" applyAlignment="1">
      <alignment wrapText="1"/>
    </xf>
    <xf numFmtId="171" fontId="75" fillId="0" borderId="24" xfId="2" applyNumberFormat="1" applyFont="1" applyFill="1" applyBorder="1" applyAlignment="1">
      <alignment horizontal="center" vertical="center"/>
    </xf>
    <xf numFmtId="171" fontId="75" fillId="0" borderId="0" xfId="2" applyNumberFormat="1" applyFont="1" applyFill="1" applyBorder="1" applyAlignment="1">
      <alignment vertical="center"/>
    </xf>
    <xf numFmtId="173" fontId="8" fillId="0" borderId="0" xfId="2" applyNumberFormat="1" applyFont="1" applyAlignment="1">
      <alignment horizontal="center"/>
    </xf>
    <xf numFmtId="0" fontId="8" fillId="15" borderId="0" xfId="0" applyFont="1" applyFill="1"/>
    <xf numFmtId="164" fontId="8" fillId="15" borderId="0" xfId="0" applyNumberFormat="1" applyFont="1" applyFill="1"/>
    <xf numFmtId="173" fontId="4" fillId="0" borderId="0" xfId="2" applyNumberFormat="1" applyFont="1" applyFill="1"/>
    <xf numFmtId="171" fontId="4" fillId="0" borderId="0" xfId="2" applyNumberFormat="1" applyFont="1" applyFill="1"/>
    <xf numFmtId="0" fontId="0" fillId="0" borderId="10" xfId="0" applyBorder="1"/>
    <xf numFmtId="164" fontId="0" fillId="33" borderId="2" xfId="1" applyNumberFormat="1" applyFont="1" applyFill="1" applyBorder="1"/>
    <xf numFmtId="164" fontId="2" fillId="0" borderId="2" xfId="1" applyNumberFormat="1" applyFont="1" applyBorder="1"/>
    <xf numFmtId="9" fontId="8" fillId="0" borderId="2" xfId="0" applyNumberFormat="1" applyFont="1" applyBorder="1" applyAlignment="1">
      <alignment horizontal="center" vertical="center" wrapText="1"/>
    </xf>
    <xf numFmtId="10" fontId="8" fillId="0" borderId="2" xfId="0" applyNumberFormat="1" applyFont="1" applyBorder="1" applyAlignment="1">
      <alignment horizontal="center" vertical="center" wrapText="1"/>
    </xf>
    <xf numFmtId="0" fontId="2" fillId="0" borderId="10" xfId="0" applyFont="1" applyBorder="1" applyAlignment="1">
      <alignment horizontal="center" vertical="center" wrapText="1"/>
    </xf>
    <xf numFmtId="0" fontId="0" fillId="40" borderId="7" xfId="0" applyFill="1" applyBorder="1" applyAlignment="1">
      <alignment horizontal="center" vertical="center"/>
    </xf>
    <xf numFmtId="0" fontId="0" fillId="0" borderId="7" xfId="0" applyBorder="1" applyAlignment="1">
      <alignment vertical="center" wrapText="1"/>
    </xf>
    <xf numFmtId="0" fontId="0" fillId="0" borderId="9" xfId="0" applyBorder="1" applyAlignment="1">
      <alignment vertical="center" wrapText="1"/>
    </xf>
    <xf numFmtId="0" fontId="0" fillId="33" borderId="46" xfId="0" applyFill="1" applyBorder="1" applyAlignment="1">
      <alignment vertical="center" wrapText="1"/>
    </xf>
    <xf numFmtId="164" fontId="2" fillId="33" borderId="2" xfId="1" applyNumberFormat="1" applyFont="1" applyFill="1" applyBorder="1"/>
    <xf numFmtId="0" fontId="8" fillId="0" borderId="0" xfId="0" applyFont="1" applyAlignment="1">
      <alignment horizontal="right"/>
    </xf>
    <xf numFmtId="0" fontId="4" fillId="0" borderId="0" xfId="0" applyFont="1" applyAlignment="1">
      <alignment horizontal="right"/>
    </xf>
    <xf numFmtId="14" fontId="0" fillId="0" borderId="0" xfId="0" applyNumberFormat="1" applyAlignment="1">
      <alignment horizontal="center"/>
    </xf>
    <xf numFmtId="0" fontId="88" fillId="0" borderId="40" xfId="0" applyFont="1" applyBorder="1"/>
    <xf numFmtId="0" fontId="89" fillId="0" borderId="40" xfId="0" applyFont="1" applyBorder="1"/>
    <xf numFmtId="0" fontId="89" fillId="0" borderId="0" xfId="0" applyFont="1" applyAlignment="1">
      <alignment horizontal="left" vertical="center"/>
    </xf>
    <xf numFmtId="0" fontId="89" fillId="0" borderId="0" xfId="0" applyFont="1"/>
    <xf numFmtId="0" fontId="91" fillId="0" borderId="0" xfId="0" applyFont="1"/>
    <xf numFmtId="0" fontId="93" fillId="0" borderId="0" xfId="0" applyFont="1"/>
    <xf numFmtId="0" fontId="90" fillId="3" borderId="4" xfId="0" applyFont="1" applyFill="1" applyBorder="1" applyAlignment="1">
      <alignment horizontal="center" vertical="center" wrapText="1"/>
    </xf>
    <xf numFmtId="0" fontId="90" fillId="3" borderId="0" xfId="0" applyFont="1" applyFill="1" applyAlignment="1">
      <alignment horizontal="center" vertical="center" wrapText="1"/>
    </xf>
    <xf numFmtId="3" fontId="92" fillId="4" borderId="47" xfId="0" applyNumberFormat="1" applyFont="1" applyFill="1" applyBorder="1" applyAlignment="1">
      <alignment horizontal="center" vertical="center" wrapText="1"/>
    </xf>
    <xf numFmtId="3" fontId="92" fillId="4" borderId="48" xfId="0" applyNumberFormat="1" applyFont="1" applyFill="1" applyBorder="1" applyAlignment="1">
      <alignment horizontal="center" vertical="center" wrapText="1"/>
    </xf>
    <xf numFmtId="0" fontId="91" fillId="4" borderId="48" xfId="0" applyFont="1" applyFill="1" applyBorder="1" applyAlignment="1">
      <alignment horizontal="center" vertical="center" wrapText="1"/>
    </xf>
    <xf numFmtId="3" fontId="91" fillId="4" borderId="47" xfId="0" applyNumberFormat="1" applyFont="1" applyFill="1" applyBorder="1" applyAlignment="1">
      <alignment horizontal="center" vertical="center" wrapText="1"/>
    </xf>
    <xf numFmtId="3" fontId="91" fillId="4" borderId="48" xfId="0" applyNumberFormat="1" applyFont="1" applyFill="1" applyBorder="1" applyAlignment="1">
      <alignment horizontal="center" vertical="center" wrapText="1"/>
    </xf>
    <xf numFmtId="0" fontId="94" fillId="4" borderId="48" xfId="0" applyFont="1" applyFill="1" applyBorder="1" applyAlignment="1">
      <alignment horizontal="center" vertical="center" wrapText="1"/>
    </xf>
    <xf numFmtId="9" fontId="91" fillId="4" borderId="48" xfId="2" applyFont="1" applyFill="1" applyBorder="1" applyAlignment="1">
      <alignment horizontal="center" vertical="center" wrapText="1"/>
    </xf>
    <xf numFmtId="9" fontId="91" fillId="4" borderId="47" xfId="2" applyFont="1" applyFill="1" applyBorder="1" applyAlignment="1">
      <alignment horizontal="center" vertical="center" wrapText="1"/>
    </xf>
    <xf numFmtId="0" fontId="31" fillId="0" borderId="0" xfId="0" applyFont="1"/>
    <xf numFmtId="9" fontId="11" fillId="0" borderId="0" xfId="0" applyNumberFormat="1" applyFont="1"/>
    <xf numFmtId="167" fontId="11" fillId="0" borderId="0" xfId="3" applyNumberFormat="1" applyFont="1" applyBorder="1"/>
    <xf numFmtId="174" fontId="91" fillId="4" borderId="48" xfId="2" applyNumberFormat="1" applyFont="1" applyFill="1" applyBorder="1" applyAlignment="1">
      <alignment horizontal="center" vertical="center" wrapText="1"/>
    </xf>
    <xf numFmtId="174" fontId="91" fillId="4" borderId="47" xfId="2" applyNumberFormat="1" applyFont="1" applyFill="1" applyBorder="1" applyAlignment="1">
      <alignment horizontal="center" vertical="center" wrapText="1"/>
    </xf>
    <xf numFmtId="9" fontId="8" fillId="0" borderId="0" xfId="2" applyFont="1" applyBorder="1"/>
    <xf numFmtId="0" fontId="0" fillId="0" borderId="0" xfId="0" applyAlignment="1">
      <alignment vertical="top"/>
    </xf>
    <xf numFmtId="0" fontId="32" fillId="0" borderId="39" xfId="0" applyFont="1" applyBorder="1" applyAlignment="1">
      <alignment vertical="top"/>
    </xf>
    <xf numFmtId="0" fontId="0" fillId="0" borderId="24" xfId="0" applyBorder="1" applyAlignment="1">
      <alignment vertical="top"/>
    </xf>
    <xf numFmtId="0" fontId="0" fillId="0" borderId="26" xfId="0" applyBorder="1" applyAlignment="1">
      <alignment vertical="top"/>
    </xf>
    <xf numFmtId="0" fontId="0" fillId="7" borderId="21" xfId="0" applyFill="1" applyBorder="1"/>
    <xf numFmtId="0" fontId="0" fillId="7" borderId="22" xfId="0" applyFill="1" applyBorder="1"/>
    <xf numFmtId="0" fontId="0" fillId="7" borderId="23" xfId="0" applyFill="1" applyBorder="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applyAlignment="1">
      <alignment horizontal="right"/>
    </xf>
    <xf numFmtId="1" fontId="0" fillId="0" borderId="50" xfId="0" applyNumberFormat="1" applyBorder="1"/>
    <xf numFmtId="0" fontId="0" fillId="0" borderId="55" xfId="0" applyBorder="1" applyAlignment="1">
      <alignment horizontal="right"/>
    </xf>
    <xf numFmtId="9" fontId="91" fillId="4" borderId="4" xfId="2" applyFont="1" applyFill="1" applyBorder="1" applyAlignment="1">
      <alignment horizontal="center" vertical="center" wrapText="1"/>
    </xf>
    <xf numFmtId="3" fontId="91" fillId="4" borderId="4" xfId="0" applyNumberFormat="1" applyFont="1" applyFill="1" applyBorder="1" applyAlignment="1">
      <alignment horizontal="center" vertical="center" wrapText="1"/>
    </xf>
    <xf numFmtId="0" fontId="97" fillId="0" borderId="0" xfId="0" applyFont="1"/>
    <xf numFmtId="167" fontId="11" fillId="0" borderId="0" xfId="3" applyNumberFormat="1" applyFont="1" applyFill="1" applyBorder="1"/>
    <xf numFmtId="9" fontId="0" fillId="0" borderId="0" xfId="2" applyFont="1" applyFill="1" applyBorder="1"/>
    <xf numFmtId="167" fontId="0" fillId="0" borderId="0" xfId="3" applyNumberFormat="1" applyFont="1" applyFill="1" applyBorder="1"/>
    <xf numFmtId="175" fontId="1" fillId="0" borderId="0" xfId="1" applyNumberFormat="1" applyFont="1" applyBorder="1"/>
    <xf numFmtId="0" fontId="0" fillId="7" borderId="39" xfId="0" applyFill="1" applyBorder="1"/>
    <xf numFmtId="171" fontId="0" fillId="0" borderId="25" xfId="0" applyNumberFormat="1" applyBorder="1"/>
    <xf numFmtId="175" fontId="1" fillId="0" borderId="27" xfId="1" applyNumberFormat="1" applyFont="1" applyBorder="1"/>
    <xf numFmtId="171" fontId="0" fillId="0" borderId="28" xfId="0" applyNumberFormat="1" applyBorder="1"/>
    <xf numFmtId="0" fontId="70" fillId="6" borderId="11" xfId="0" applyFont="1" applyFill="1" applyBorder="1"/>
    <xf numFmtId="0" fontId="43" fillId="5" borderId="5" xfId="0" applyFont="1" applyFill="1" applyBorder="1"/>
    <xf numFmtId="166" fontId="43" fillId="0" borderId="10" xfId="0" applyNumberFormat="1" applyFont="1" applyBorder="1"/>
    <xf numFmtId="166" fontId="43" fillId="0" borderId="5" xfId="0" applyNumberFormat="1" applyFont="1" applyBorder="1"/>
    <xf numFmtId="0" fontId="36" fillId="0" borderId="0" xfId="0" applyFont="1" applyAlignment="1">
      <alignment vertical="center"/>
    </xf>
    <xf numFmtId="0" fontId="75" fillId="0" borderId="0" xfId="0" applyFont="1"/>
    <xf numFmtId="170" fontId="11" fillId="0" borderId="0" xfId="0" applyNumberFormat="1" applyFont="1"/>
    <xf numFmtId="3" fontId="2" fillId="33" borderId="0" xfId="0" quotePrefix="1" applyNumberFormat="1" applyFont="1" applyFill="1" applyAlignment="1">
      <alignment horizontal="center" vertical="center"/>
    </xf>
    <xf numFmtId="0" fontId="0" fillId="33" borderId="0" xfId="0" quotePrefix="1" applyFill="1"/>
    <xf numFmtId="0" fontId="0" fillId="33" borderId="0" xfId="0" applyFill="1"/>
    <xf numFmtId="0" fontId="95" fillId="0" borderId="0" xfId="0" applyFont="1"/>
    <xf numFmtId="0" fontId="0" fillId="0" borderId="58" xfId="0" applyBorder="1"/>
    <xf numFmtId="0" fontId="0" fillId="0" borderId="59" xfId="0" applyBorder="1"/>
    <xf numFmtId="0" fontId="0" fillId="0" borderId="60" xfId="0" applyBorder="1"/>
    <xf numFmtId="0" fontId="0" fillId="0" borderId="61" xfId="0" applyBorder="1"/>
    <xf numFmtId="0" fontId="0" fillId="0" borderId="62" xfId="0" applyBorder="1"/>
    <xf numFmtId="0" fontId="0" fillId="0" borderId="63" xfId="0" applyBorder="1"/>
    <xf numFmtId="0" fontId="0" fillId="0" borderId="64" xfId="0" applyBorder="1"/>
    <xf numFmtId="0" fontId="16" fillId="0" borderId="57" xfId="0" applyFont="1" applyBorder="1"/>
    <xf numFmtId="164" fontId="8" fillId="0" borderId="0" xfId="1" applyNumberFormat="1" applyFont="1" applyFill="1"/>
    <xf numFmtId="164" fontId="8" fillId="8" borderId="0" xfId="1" applyNumberFormat="1" applyFont="1" applyFill="1"/>
    <xf numFmtId="0" fontId="0" fillId="2" borderId="44" xfId="0" applyFill="1" applyBorder="1"/>
    <xf numFmtId="164" fontId="0" fillId="2" borderId="29" xfId="1" applyNumberFormat="1" applyFont="1" applyFill="1" applyBorder="1"/>
    <xf numFmtId="164" fontId="0" fillId="2" borderId="31" xfId="1" applyNumberFormat="1" applyFont="1" applyFill="1" applyBorder="1"/>
    <xf numFmtId="9" fontId="81" fillId="0" borderId="0" xfId="2" applyFont="1" applyBorder="1" applyAlignment="1">
      <alignment horizontal="center"/>
    </xf>
    <xf numFmtId="43" fontId="0" fillId="0" borderId="0" xfId="1" applyFont="1"/>
    <xf numFmtId="164" fontId="0" fillId="0" borderId="0" xfId="1" applyNumberFormat="1" applyFont="1" applyFill="1"/>
    <xf numFmtId="9" fontId="75" fillId="0" borderId="0" xfId="2" applyFont="1" applyAlignment="1">
      <alignment horizontal="center"/>
    </xf>
    <xf numFmtId="0" fontId="99" fillId="0" borderId="0" xfId="0" applyFont="1"/>
    <xf numFmtId="0" fontId="99" fillId="0" borderId="31" xfId="0" applyFont="1" applyBorder="1" applyAlignment="1">
      <alignment horizontal="center"/>
    </xf>
    <xf numFmtId="0" fontId="8" fillId="0" borderId="0" xfId="0" applyFont="1" applyAlignment="1">
      <alignment horizontal="left" vertical="center"/>
    </xf>
    <xf numFmtId="9" fontId="75" fillId="2" borderId="30" xfId="2" applyFont="1" applyFill="1" applyBorder="1" applyAlignment="1">
      <alignment horizontal="center"/>
    </xf>
    <xf numFmtId="0" fontId="0" fillId="11" borderId="0" xfId="0" applyFill="1"/>
    <xf numFmtId="0" fontId="75" fillId="0" borderId="0" xfId="0" applyFont="1" applyAlignment="1">
      <alignment horizontal="left" vertical="center"/>
    </xf>
    <xf numFmtId="9" fontId="75" fillId="8" borderId="29" xfId="2" applyFont="1" applyFill="1" applyBorder="1" applyAlignment="1">
      <alignment horizontal="center"/>
    </xf>
    <xf numFmtId="171" fontId="75" fillId="0" borderId="0" xfId="2" applyNumberFormat="1" applyFont="1" applyAlignment="1">
      <alignment horizontal="center"/>
    </xf>
    <xf numFmtId="0" fontId="0" fillId="0" borderId="0" xfId="0" applyAlignment="1">
      <alignment horizontal="left" vertical="center" wrapText="1"/>
    </xf>
    <xf numFmtId="164" fontId="0" fillId="2" borderId="2" xfId="1" applyNumberFormat="1" applyFont="1" applyFill="1" applyBorder="1"/>
    <xf numFmtId="164" fontId="0" fillId="0" borderId="0" xfId="1" applyNumberFormat="1" applyFont="1" applyFill="1" applyBorder="1"/>
    <xf numFmtId="0" fontId="80" fillId="5" borderId="0" xfId="0" applyFont="1" applyFill="1"/>
    <xf numFmtId="0" fontId="0" fillId="5" borderId="3" xfId="0" applyFill="1" applyBorder="1"/>
    <xf numFmtId="0" fontId="0" fillId="5" borderId="0" xfId="0" applyFill="1"/>
    <xf numFmtId="164" fontId="0" fillId="5" borderId="2" xfId="1" applyNumberFormat="1" applyFont="1" applyFill="1" applyBorder="1"/>
    <xf numFmtId="0" fontId="99" fillId="5" borderId="0" xfId="0" applyFont="1" applyFill="1"/>
    <xf numFmtId="0" fontId="0" fillId="5" borderId="0" xfId="0" applyFill="1" applyAlignment="1">
      <alignment horizontal="left" vertical="center" wrapText="1"/>
    </xf>
    <xf numFmtId="9" fontId="43" fillId="2" borderId="2" xfId="2" applyFont="1" applyFill="1" applyBorder="1" applyAlignment="1">
      <alignment horizontal="center" vertical="center"/>
    </xf>
    <xf numFmtId="0" fontId="45" fillId="0" borderId="0" xfId="0" applyFont="1"/>
    <xf numFmtId="0" fontId="101" fillId="0" borderId="0" xfId="0" applyFont="1" applyAlignment="1">
      <alignment horizontal="center"/>
    </xf>
    <xf numFmtId="9" fontId="75" fillId="2" borderId="29" xfId="2" applyFont="1" applyFill="1" applyBorder="1" applyAlignment="1">
      <alignment horizontal="center"/>
    </xf>
    <xf numFmtId="9" fontId="75" fillId="33" borderId="0" xfId="2" applyFont="1" applyFill="1" applyAlignment="1">
      <alignment horizontal="center"/>
    </xf>
    <xf numFmtId="175" fontId="0" fillId="0" borderId="0" xfId="0" applyNumberFormat="1"/>
    <xf numFmtId="177" fontId="0" fillId="0" borderId="0" xfId="0" applyNumberFormat="1"/>
    <xf numFmtId="0" fontId="75" fillId="0" borderId="0" xfId="0" applyFont="1" applyAlignment="1">
      <alignment vertical="center"/>
    </xf>
    <xf numFmtId="9" fontId="2" fillId="0" borderId="2" xfId="2" applyFont="1" applyBorder="1"/>
    <xf numFmtId="164" fontId="0" fillId="0" borderId="0" xfId="0" applyNumberFormat="1" applyAlignment="1">
      <alignment horizontal="left" vertical="center" wrapText="1"/>
    </xf>
    <xf numFmtId="0" fontId="37" fillId="0" borderId="3" xfId="0" applyFont="1" applyBorder="1" applyAlignment="1">
      <alignment horizontal="center" vertical="center" wrapText="1"/>
    </xf>
    <xf numFmtId="0" fontId="37" fillId="0" borderId="4" xfId="0" applyFont="1" applyBorder="1" applyAlignment="1">
      <alignment horizontal="center" vertical="center" wrapText="1"/>
    </xf>
    <xf numFmtId="9" fontId="39" fillId="0" borderId="8" xfId="2" applyFont="1" applyBorder="1" applyAlignment="1">
      <alignment horizontal="center" vertical="center"/>
    </xf>
    <xf numFmtId="9" fontId="39" fillId="0" borderId="9" xfId="2" applyFont="1" applyBorder="1" applyAlignment="1">
      <alignment horizontal="center" vertical="center"/>
    </xf>
    <xf numFmtId="0" fontId="39" fillId="5" borderId="8" xfId="0" applyFont="1" applyFill="1" applyBorder="1" applyAlignment="1">
      <alignment horizontal="center" vertical="center"/>
    </xf>
    <xf numFmtId="0" fontId="39" fillId="5" borderId="9" xfId="0" applyFont="1" applyFill="1" applyBorder="1" applyAlignment="1">
      <alignment horizontal="center" vertical="center"/>
    </xf>
    <xf numFmtId="164" fontId="16" fillId="0" borderId="0" xfId="1" applyNumberFormat="1" applyFont="1" applyFill="1"/>
    <xf numFmtId="2" fontId="2" fillId="33" borderId="0" xfId="0" quotePrefix="1" applyNumberFormat="1" applyFont="1" applyFill="1" applyAlignment="1">
      <alignment horizontal="center" vertical="center"/>
    </xf>
    <xf numFmtId="164" fontId="0" fillId="0" borderId="0" xfId="1" applyNumberFormat="1" applyFont="1" applyBorder="1"/>
    <xf numFmtId="0" fontId="105" fillId="0" borderId="0" xfId="0" applyFont="1" applyAlignment="1">
      <alignment horizontal="right"/>
    </xf>
    <xf numFmtId="0" fontId="21" fillId="0" borderId="0" xfId="0" applyFont="1"/>
    <xf numFmtId="0" fontId="0" fillId="2" borderId="44" xfId="0" applyFill="1" applyBorder="1" applyAlignment="1">
      <alignment horizontal="center"/>
    </xf>
    <xf numFmtId="0" fontId="14" fillId="0" borderId="0" xfId="0" applyFont="1"/>
    <xf numFmtId="164" fontId="0" fillId="2" borderId="29" xfId="1" applyNumberFormat="1" applyFont="1" applyFill="1" applyBorder="1" applyAlignment="1">
      <alignment vertical="center"/>
    </xf>
    <xf numFmtId="9" fontId="75" fillId="8" borderId="0" xfId="2" applyFont="1" applyFill="1" applyAlignment="1">
      <alignment horizontal="center"/>
    </xf>
    <xf numFmtId="9" fontId="106" fillId="0" borderId="0" xfId="2" applyFont="1" applyFill="1" applyAlignment="1">
      <alignment horizontal="center"/>
    </xf>
    <xf numFmtId="0" fontId="108" fillId="0" borderId="0" xfId="0" applyFont="1" applyAlignment="1">
      <alignment horizontal="right"/>
    </xf>
    <xf numFmtId="0" fontId="14" fillId="0" borderId="0" xfId="0" applyFont="1" applyAlignment="1">
      <alignment vertical="center"/>
    </xf>
    <xf numFmtId="0" fontId="0" fillId="2" borderId="44" xfId="0" applyFill="1" applyBorder="1" applyAlignment="1">
      <alignment horizontal="center" vertical="center"/>
    </xf>
    <xf numFmtId="2" fontId="109" fillId="0" borderId="0" xfId="0" quotePrefix="1" applyNumberFormat="1" applyFont="1" applyAlignment="1">
      <alignment horizontal="center" vertical="center"/>
    </xf>
    <xf numFmtId="0" fontId="80" fillId="0" borderId="4" xfId="0" applyFont="1" applyBorder="1"/>
    <xf numFmtId="0" fontId="111" fillId="0" borderId="0" xfId="0" applyFont="1"/>
    <xf numFmtId="0" fontId="89" fillId="0" borderId="0" xfId="0" applyFont="1" applyAlignment="1">
      <alignment horizontal="center" wrapText="1"/>
    </xf>
    <xf numFmtId="0" fontId="89" fillId="0" borderId="0" xfId="0" applyFont="1" applyAlignment="1">
      <alignment horizontal="center" vertical="center"/>
    </xf>
    <xf numFmtId="0" fontId="112" fillId="0" borderId="2" xfId="0" applyFont="1" applyBorder="1" applyAlignment="1">
      <alignment vertical="center" wrapText="1"/>
    </xf>
    <xf numFmtId="0" fontId="89" fillId="0" borderId="2" xfId="0" applyFont="1" applyBorder="1"/>
    <xf numFmtId="9" fontId="112" fillId="0" borderId="2" xfId="0" applyNumberFormat="1" applyFont="1" applyBorder="1" applyAlignment="1">
      <alignment horizontal="center" vertical="center"/>
    </xf>
    <xf numFmtId="0" fontId="89" fillId="0" borderId="2" xfId="0" applyFont="1" applyBorder="1" applyAlignment="1">
      <alignment wrapText="1"/>
    </xf>
    <xf numFmtId="0" fontId="112" fillId="0" borderId="0" xfId="0" applyFont="1" applyAlignment="1">
      <alignment vertical="center" wrapText="1"/>
    </xf>
    <xf numFmtId="9" fontId="0" fillId="0" borderId="2" xfId="0" applyNumberFormat="1" applyBorder="1" applyAlignment="1">
      <alignment horizontal="center"/>
    </xf>
    <xf numFmtId="166" fontId="0" fillId="0" borderId="0" xfId="0" applyNumberFormat="1"/>
    <xf numFmtId="2" fontId="0" fillId="0" borderId="0" xfId="0" applyNumberFormat="1"/>
    <xf numFmtId="0" fontId="108" fillId="0" borderId="0" xfId="0" applyFont="1"/>
    <xf numFmtId="9" fontId="58" fillId="7" borderId="0" xfId="2" applyFont="1" applyFill="1"/>
    <xf numFmtId="9" fontId="0" fillId="7" borderId="0" xfId="2" applyFont="1" applyFill="1"/>
    <xf numFmtId="0" fontId="75" fillId="7" borderId="0" xfId="0" applyFont="1" applyFill="1"/>
    <xf numFmtId="0" fontId="108" fillId="7" borderId="0" xfId="0" applyFont="1" applyFill="1" applyAlignment="1">
      <alignment horizontal="right"/>
    </xf>
    <xf numFmtId="0" fontId="8" fillId="7" borderId="0" xfId="0" applyFont="1" applyFill="1" applyAlignment="1">
      <alignment horizontal="right"/>
    </xf>
    <xf numFmtId="164" fontId="0" fillId="7" borderId="0" xfId="1" applyNumberFormat="1" applyFont="1" applyFill="1"/>
    <xf numFmtId="9" fontId="110" fillId="7" borderId="0" xfId="2" applyFont="1" applyFill="1" applyAlignment="1">
      <alignment horizontal="center"/>
    </xf>
    <xf numFmtId="9" fontId="75" fillId="7" borderId="0" xfId="2" applyFont="1" applyFill="1" applyAlignment="1">
      <alignment horizontal="center"/>
    </xf>
    <xf numFmtId="0" fontId="75" fillId="7" borderId="0" xfId="0" applyFont="1" applyFill="1" applyAlignment="1">
      <alignment horizontal="left" vertical="center"/>
    </xf>
    <xf numFmtId="0" fontId="107" fillId="7" borderId="0" xfId="0" applyFont="1" applyFill="1" applyAlignment="1">
      <alignment horizontal="center"/>
    </xf>
    <xf numFmtId="0" fontId="2" fillId="7" borderId="0" xfId="0" applyFont="1" applyFill="1"/>
    <xf numFmtId="0" fontId="8" fillId="7" borderId="0" xfId="0" applyFont="1" applyFill="1" applyAlignment="1">
      <alignment horizontal="center"/>
    </xf>
    <xf numFmtId="0" fontId="0" fillId="7" borderId="0" xfId="0" applyFill="1" applyAlignment="1">
      <alignment horizontal="center"/>
    </xf>
    <xf numFmtId="0" fontId="0" fillId="7" borderId="0" xfId="0" quotePrefix="1" applyFill="1"/>
    <xf numFmtId="0" fontId="28" fillId="7" borderId="0" xfId="0" applyFont="1" applyFill="1"/>
    <xf numFmtId="0" fontId="58" fillId="7" borderId="0" xfId="0" applyFont="1" applyFill="1"/>
    <xf numFmtId="0" fontId="113" fillId="0" borderId="0" xfId="0" applyFont="1"/>
    <xf numFmtId="0" fontId="113" fillId="0" borderId="3" xfId="0" applyFont="1" applyBorder="1"/>
    <xf numFmtId="0" fontId="0" fillId="0" borderId="65" xfId="0" applyBorder="1" applyAlignment="1">
      <alignment vertical="center"/>
    </xf>
    <xf numFmtId="0" fontId="2" fillId="0" borderId="65" xfId="0" applyFont="1" applyBorder="1" applyAlignment="1">
      <alignment horizontal="center" vertical="center" wrapText="1"/>
    </xf>
    <xf numFmtId="0" fontId="2" fillId="0" borderId="65" xfId="0" applyFont="1" applyBorder="1" applyAlignment="1">
      <alignment horizontal="center" vertical="center"/>
    </xf>
    <xf numFmtId="3" fontId="11" fillId="0" borderId="65" xfId="0" applyNumberFormat="1" applyFont="1" applyBorder="1" applyAlignment="1">
      <alignment horizontal="center" vertical="center"/>
    </xf>
    <xf numFmtId="3" fontId="15" fillId="30" borderId="0" xfId="0" quotePrefix="1" applyNumberFormat="1" applyFont="1" applyFill="1" applyAlignment="1">
      <alignment horizontal="center" vertical="center"/>
    </xf>
    <xf numFmtId="2" fontId="15" fillId="30" borderId="0" xfId="0" quotePrefix="1" applyNumberFormat="1" applyFont="1" applyFill="1" applyAlignment="1">
      <alignment horizontal="center" vertical="center"/>
    </xf>
    <xf numFmtId="167" fontId="75" fillId="2" borderId="65" xfId="3" applyNumberFormat="1" applyFont="1" applyFill="1" applyBorder="1" applyAlignment="1">
      <alignment horizontal="center"/>
    </xf>
    <xf numFmtId="178" fontId="77" fillId="30" borderId="0" xfId="1" applyNumberFormat="1" applyFont="1" applyFill="1"/>
    <xf numFmtId="164" fontId="77" fillId="30" borderId="0" xfId="1" applyNumberFormat="1" applyFont="1" applyFill="1"/>
    <xf numFmtId="164" fontId="2" fillId="0" borderId="0" xfId="1" applyNumberFormat="1" applyFont="1" applyFill="1" applyBorder="1"/>
    <xf numFmtId="164" fontId="0" fillId="0" borderId="65" xfId="1" applyNumberFormat="1" applyFont="1" applyBorder="1" applyAlignment="1">
      <alignment vertical="center"/>
    </xf>
    <xf numFmtId="179" fontId="15" fillId="30" borderId="0" xfId="0" quotePrefix="1" applyNumberFormat="1" applyFont="1" applyFill="1" applyAlignment="1">
      <alignment horizontal="center" vertical="center"/>
    </xf>
    <xf numFmtId="3" fontId="2" fillId="8" borderId="0" xfId="0" quotePrefix="1" applyNumberFormat="1" applyFont="1" applyFill="1" applyAlignment="1">
      <alignment horizontal="center" vertical="center"/>
    </xf>
    <xf numFmtId="179" fontId="2" fillId="8" borderId="0" xfId="0" quotePrefix="1" applyNumberFormat="1" applyFont="1" applyFill="1" applyAlignment="1">
      <alignment horizontal="center" vertical="center"/>
    </xf>
    <xf numFmtId="178" fontId="0" fillId="8" borderId="0" xfId="1" applyNumberFormat="1" applyFont="1" applyFill="1"/>
    <xf numFmtId="0" fontId="15" fillId="3" borderId="16" xfId="0" applyFont="1" applyFill="1" applyBorder="1" applyAlignment="1">
      <alignment wrapText="1"/>
    </xf>
    <xf numFmtId="0" fontId="115" fillId="0" borderId="0" xfId="0" applyFont="1"/>
    <xf numFmtId="0" fontId="70" fillId="5" borderId="10" xfId="0" applyFont="1" applyFill="1" applyBorder="1"/>
    <xf numFmtId="0" fontId="70" fillId="5" borderId="11" xfId="0" applyFont="1" applyFill="1" applyBorder="1"/>
    <xf numFmtId="0" fontId="70" fillId="6" borderId="2" xfId="0" applyFont="1" applyFill="1" applyBorder="1"/>
    <xf numFmtId="0" fontId="39" fillId="0" borderId="2" xfId="0" applyFont="1" applyBorder="1" applyAlignment="1">
      <alignment vertical="center"/>
    </xf>
    <xf numFmtId="170" fontId="29" fillId="0" borderId="2" xfId="0" applyNumberFormat="1" applyFont="1" applyBorder="1" applyAlignment="1">
      <alignment horizontal="center" vertical="center"/>
    </xf>
    <xf numFmtId="181" fontId="8" fillId="0" borderId="0" xfId="2" applyNumberFormat="1" applyFont="1" applyAlignment="1">
      <alignment horizontal="center"/>
    </xf>
    <xf numFmtId="169" fontId="0" fillId="0" borderId="0" xfId="0" applyNumberFormat="1"/>
    <xf numFmtId="166" fontId="43" fillId="5" borderId="5" xfId="0" applyNumberFormat="1" applyFont="1" applyFill="1" applyBorder="1"/>
    <xf numFmtId="0" fontId="70" fillId="5" borderId="2" xfId="0" applyFont="1" applyFill="1" applyBorder="1"/>
    <xf numFmtId="0" fontId="43" fillId="15" borderId="2" xfId="0" applyFont="1" applyFill="1" applyBorder="1"/>
    <xf numFmtId="0" fontId="69" fillId="5" borderId="2" xfId="0" applyFont="1" applyFill="1" applyBorder="1"/>
    <xf numFmtId="0" fontId="104" fillId="5" borderId="2" xfId="0" applyFont="1" applyFill="1" applyBorder="1"/>
    <xf numFmtId="166" fontId="43" fillId="5" borderId="10" xfId="0" applyNumberFormat="1" applyFont="1" applyFill="1" applyBorder="1"/>
    <xf numFmtId="0" fontId="7" fillId="0" borderId="0" xfId="0" applyFont="1" applyAlignment="1">
      <alignment wrapText="1"/>
    </xf>
    <xf numFmtId="170" fontId="29" fillId="0" borderId="2" xfId="0" applyNumberFormat="1" applyFont="1" applyBorder="1" applyAlignment="1">
      <alignment horizontal="center" vertical="center" wrapText="1"/>
    </xf>
    <xf numFmtId="0" fontId="38" fillId="0" borderId="0" xfId="0" applyFont="1" applyAlignment="1">
      <alignment vertical="center"/>
    </xf>
    <xf numFmtId="167" fontId="114" fillId="0" borderId="2" xfId="3" applyNumberFormat="1" applyFont="1" applyFill="1" applyBorder="1" applyAlignment="1">
      <alignment vertical="center"/>
    </xf>
    <xf numFmtId="180" fontId="114" fillId="0" borderId="2" xfId="0" applyNumberFormat="1" applyFont="1" applyBorder="1" applyAlignment="1">
      <alignment vertical="center"/>
    </xf>
    <xf numFmtId="170" fontId="114" fillId="5" borderId="2" xfId="0" applyNumberFormat="1" applyFont="1" applyFill="1" applyBorder="1" applyAlignment="1">
      <alignment vertical="center"/>
    </xf>
    <xf numFmtId="167" fontId="114" fillId="5" borderId="2" xfId="3" applyNumberFormat="1" applyFont="1" applyFill="1" applyBorder="1" applyAlignment="1">
      <alignment vertical="center"/>
    </xf>
    <xf numFmtId="167" fontId="7" fillId="0" borderId="2" xfId="3" applyNumberFormat="1" applyFont="1" applyFill="1" applyBorder="1" applyAlignment="1">
      <alignment vertical="center"/>
    </xf>
    <xf numFmtId="9" fontId="43" fillId="0" borderId="2" xfId="2" applyFont="1" applyFill="1" applyBorder="1" applyAlignment="1">
      <alignment horizontal="center" vertical="center"/>
    </xf>
    <xf numFmtId="0" fontId="119" fillId="0" borderId="0" xfId="0" applyFont="1"/>
    <xf numFmtId="0" fontId="43" fillId="11" borderId="10" xfId="0" applyFont="1" applyFill="1" applyBorder="1"/>
    <xf numFmtId="0" fontId="43" fillId="0" borderId="0" xfId="0" applyFont="1"/>
    <xf numFmtId="0" fontId="43" fillId="11" borderId="2" xfId="0" applyFont="1" applyFill="1" applyBorder="1"/>
    <xf numFmtId="0" fontId="36" fillId="11" borderId="2" xfId="0" applyFont="1" applyFill="1" applyBorder="1" applyAlignment="1">
      <alignment horizontal="center" vertical="center"/>
    </xf>
    <xf numFmtId="0" fontId="120" fillId="0" borderId="2" xfId="0" applyFont="1" applyBorder="1" applyAlignment="1">
      <alignment horizontal="center" vertical="center"/>
    </xf>
    <xf numFmtId="9" fontId="120" fillId="13" borderId="2" xfId="2" applyFont="1" applyFill="1" applyBorder="1" applyAlignment="1">
      <alignment horizontal="center" vertical="center"/>
    </xf>
    <xf numFmtId="9" fontId="43" fillId="2" borderId="2" xfId="0" applyNumberFormat="1" applyFont="1" applyFill="1" applyBorder="1" applyAlignment="1">
      <alignment horizontal="center" vertical="center"/>
    </xf>
    <xf numFmtId="0" fontId="13" fillId="7" borderId="0" xfId="0" applyFont="1" applyFill="1"/>
    <xf numFmtId="167" fontId="75" fillId="2" borderId="0" xfId="3" applyNumberFormat="1" applyFont="1" applyFill="1" applyBorder="1" applyAlignment="1">
      <alignment horizontal="center"/>
    </xf>
    <xf numFmtId="167" fontId="75" fillId="0" borderId="0" xfId="3" applyNumberFormat="1" applyFont="1" applyFill="1" applyBorder="1" applyAlignment="1">
      <alignment horizontal="center"/>
    </xf>
    <xf numFmtId="167" fontId="75" fillId="8" borderId="65" xfId="3" applyNumberFormat="1" applyFont="1" applyFill="1" applyBorder="1" applyAlignment="1">
      <alignment horizontal="center"/>
    </xf>
    <xf numFmtId="0" fontId="99" fillId="0" borderId="0" xfId="0" applyFont="1" applyAlignment="1">
      <alignment horizontal="center"/>
    </xf>
    <xf numFmtId="5" fontId="14" fillId="8" borderId="65" xfId="3" applyNumberFormat="1" applyFont="1" applyFill="1" applyBorder="1" applyAlignment="1">
      <alignment horizontal="center" vertical="center"/>
    </xf>
    <xf numFmtId="5" fontId="75" fillId="8" borderId="65" xfId="3" applyNumberFormat="1" applyFont="1" applyFill="1" applyBorder="1" applyAlignment="1">
      <alignment horizontal="center"/>
    </xf>
    <xf numFmtId="0" fontId="121" fillId="0" borderId="0" xfId="0" applyFont="1"/>
    <xf numFmtId="0" fontId="122" fillId="0" borderId="0" xfId="0" applyFont="1" applyAlignment="1">
      <alignment horizontal="center"/>
    </xf>
    <xf numFmtId="0" fontId="70" fillId="0" borderId="0" xfId="0" applyFont="1"/>
    <xf numFmtId="9" fontId="120" fillId="0" borderId="2" xfId="2" applyFont="1" applyFill="1" applyBorder="1" applyAlignment="1">
      <alignment horizontal="center" vertical="center"/>
    </xf>
    <xf numFmtId="0" fontId="124" fillId="0" borderId="10" xfId="0" applyFont="1" applyBorder="1"/>
    <xf numFmtId="0" fontId="125" fillId="0" borderId="2" xfId="0" applyFont="1" applyBorder="1" applyAlignment="1">
      <alignment horizontal="center" vertical="center" wrapText="1"/>
    </xf>
    <xf numFmtId="0" fontId="129" fillId="0" borderId="0" xfId="0" applyFont="1"/>
    <xf numFmtId="0" fontId="130" fillId="0" borderId="2" xfId="0" applyFont="1" applyBorder="1"/>
    <xf numFmtId="1" fontId="130" fillId="0" borderId="2" xfId="0" applyNumberFormat="1" applyFont="1" applyBorder="1"/>
    <xf numFmtId="9" fontId="0" fillId="0" borderId="0" xfId="0" applyNumberFormat="1" applyAlignment="1">
      <alignment horizontal="left" indent="2"/>
    </xf>
    <xf numFmtId="0" fontId="0" fillId="0" borderId="0" xfId="0" applyAlignment="1">
      <alignment horizontal="left" indent="2"/>
    </xf>
    <xf numFmtId="0" fontId="0" fillId="0" borderId="11" xfId="0" applyBorder="1"/>
    <xf numFmtId="0" fontId="131" fillId="0" borderId="0" xfId="0" applyFont="1"/>
    <xf numFmtId="0" fontId="0" fillId="0" borderId="1" xfId="0" applyBorder="1" applyAlignment="1">
      <alignment wrapText="1"/>
    </xf>
    <xf numFmtId="0" fontId="0" fillId="0" borderId="11" xfId="0" applyBorder="1" applyAlignment="1">
      <alignment wrapText="1"/>
    </xf>
    <xf numFmtId="0" fontId="0" fillId="15" borderId="0" xfId="0" applyFill="1" applyAlignment="1">
      <alignment wrapText="1"/>
    </xf>
    <xf numFmtId="0" fontId="0" fillId="0" borderId="9" xfId="0" applyBorder="1" applyAlignment="1">
      <alignment wrapText="1"/>
    </xf>
    <xf numFmtId="0" fontId="0" fillId="0" borderId="12" xfId="0" applyBorder="1" applyAlignment="1">
      <alignment wrapText="1"/>
    </xf>
    <xf numFmtId="0" fontId="2" fillId="6" borderId="11" xfId="0" applyFont="1" applyFill="1" applyBorder="1"/>
    <xf numFmtId="0" fontId="0" fillId="6" borderId="11" xfId="0" applyFill="1" applyBorder="1"/>
    <xf numFmtId="0" fontId="0" fillId="6" borderId="11" xfId="0" applyFill="1" applyBorder="1" applyAlignment="1">
      <alignment wrapText="1"/>
    </xf>
    <xf numFmtId="0" fontId="0" fillId="6" borderId="12" xfId="0" applyFill="1" applyBorder="1" applyAlignment="1">
      <alignment wrapText="1"/>
    </xf>
    <xf numFmtId="0" fontId="43" fillId="0" borderId="7" xfId="0" applyFont="1" applyBorder="1"/>
    <xf numFmtId="0" fontId="43" fillId="5" borderId="7" xfId="0" applyFont="1" applyFill="1" applyBorder="1"/>
    <xf numFmtId="0" fontId="43" fillId="5" borderId="12" xfId="0" applyFont="1" applyFill="1" applyBorder="1"/>
    <xf numFmtId="0" fontId="127" fillId="0" borderId="0" xfId="0" applyFont="1" applyAlignment="1">
      <alignment horizontal="center" vertical="center" wrapText="1"/>
    </xf>
    <xf numFmtId="0" fontId="126" fillId="0" borderId="0" xfId="0" applyFont="1" applyAlignment="1">
      <alignment horizontal="left" vertical="center" wrapText="1"/>
    </xf>
    <xf numFmtId="0" fontId="126" fillId="0" borderId="0" xfId="0" applyFont="1" applyAlignment="1">
      <alignment horizontal="center" vertical="center" wrapText="1"/>
    </xf>
    <xf numFmtId="0" fontId="128" fillId="0" borderId="0" xfId="0" applyFont="1" applyAlignment="1">
      <alignment horizontal="left" vertical="center" wrapText="1"/>
    </xf>
    <xf numFmtId="0" fontId="128" fillId="0" borderId="0" xfId="0" applyFont="1" applyAlignment="1">
      <alignment horizontal="center" vertical="center" wrapText="1"/>
    </xf>
    <xf numFmtId="9" fontId="75" fillId="0" borderId="0" xfId="2" applyFont="1" applyFill="1" applyAlignment="1">
      <alignment horizontal="center"/>
    </xf>
    <xf numFmtId="0" fontId="40" fillId="0" borderId="2" xfId="0" applyFont="1" applyBorder="1"/>
    <xf numFmtId="0" fontId="120" fillId="22" borderId="2" xfId="0" applyFont="1" applyFill="1" applyBorder="1" applyAlignment="1">
      <alignment horizontal="center" vertical="center"/>
    </xf>
    <xf numFmtId="9" fontId="43" fillId="22" borderId="2" xfId="2" applyFont="1" applyFill="1" applyBorder="1" applyAlignment="1">
      <alignment horizontal="center" vertical="center"/>
    </xf>
    <xf numFmtId="0" fontId="43" fillId="22" borderId="2" xfId="0" applyFont="1" applyFill="1" applyBorder="1"/>
    <xf numFmtId="166" fontId="11" fillId="0" borderId="0" xfId="0" applyNumberFormat="1" applyFont="1"/>
    <xf numFmtId="43" fontId="0" fillId="0" borderId="0" xfId="0" applyNumberFormat="1"/>
    <xf numFmtId="182" fontId="0" fillId="0" borderId="0" xfId="0" applyNumberFormat="1"/>
    <xf numFmtId="43" fontId="43" fillId="0" borderId="0" xfId="1" applyFont="1" applyFill="1" applyBorder="1" applyAlignment="1">
      <alignment horizontal="center" vertical="center"/>
    </xf>
    <xf numFmtId="0" fontId="16" fillId="0" borderId="0" xfId="0" applyFont="1" applyAlignment="1">
      <alignment horizontal="center"/>
    </xf>
    <xf numFmtId="0" fontId="39" fillId="2" borderId="44" xfId="0" applyFont="1" applyFill="1" applyBorder="1" applyAlignment="1">
      <alignment horizontal="center" vertical="center"/>
    </xf>
    <xf numFmtId="0" fontId="136" fillId="30" borderId="0" xfId="0" applyFont="1" applyFill="1" applyAlignment="1">
      <alignment horizontal="center" vertical="center"/>
    </xf>
    <xf numFmtId="3" fontId="2" fillId="0" borderId="0" xfId="0" quotePrefix="1" applyNumberFormat="1" applyFont="1" applyAlignment="1">
      <alignment horizontal="center" vertical="center"/>
    </xf>
    <xf numFmtId="2" fontId="2" fillId="0" borderId="0" xfId="0" quotePrefix="1" applyNumberFormat="1" applyFont="1" applyAlignment="1">
      <alignment horizontal="center" vertical="center"/>
    </xf>
    <xf numFmtId="9" fontId="75" fillId="0" borderId="0" xfId="2" applyFont="1" applyFill="1" applyBorder="1" applyAlignment="1">
      <alignment horizontal="center"/>
    </xf>
    <xf numFmtId="9" fontId="75" fillId="0" borderId="0" xfId="2" applyFont="1" applyFill="1" applyBorder="1" applyAlignment="1">
      <alignment horizontal="left"/>
    </xf>
    <xf numFmtId="9" fontId="134" fillId="8" borderId="0" xfId="2" applyFont="1" applyFill="1" applyBorder="1" applyAlignment="1">
      <alignment horizontal="center" vertical="center"/>
    </xf>
    <xf numFmtId="164" fontId="135" fillId="5" borderId="0" xfId="1" applyNumberFormat="1" applyFont="1" applyFill="1"/>
    <xf numFmtId="0" fontId="2" fillId="0" borderId="5" xfId="0" applyFont="1" applyBorder="1" applyAlignment="1">
      <alignment horizontal="right" vertical="center"/>
    </xf>
    <xf numFmtId="164" fontId="135" fillId="5" borderId="7" xfId="1" applyNumberFormat="1" applyFont="1" applyFill="1" applyBorder="1" applyAlignment="1">
      <alignment vertical="center"/>
    </xf>
    <xf numFmtId="0" fontId="2" fillId="0" borderId="3" xfId="0" applyFont="1" applyBorder="1" applyAlignment="1">
      <alignment horizontal="right" vertical="center"/>
    </xf>
    <xf numFmtId="164" fontId="135" fillId="5" borderId="4" xfId="1" applyNumberFormat="1" applyFont="1" applyFill="1" applyBorder="1" applyAlignment="1">
      <alignment vertical="center"/>
    </xf>
    <xf numFmtId="0" fontId="0" fillId="0" borderId="3" xfId="0" applyBorder="1" applyAlignment="1">
      <alignment horizontal="right"/>
    </xf>
    <xf numFmtId="164" fontId="13" fillId="0" borderId="4" xfId="0" applyNumberFormat="1" applyFont="1" applyBorder="1"/>
    <xf numFmtId="0" fontId="8" fillId="0" borderId="3" xfId="0" applyFont="1" applyBorder="1" applyAlignment="1">
      <alignment horizontal="right"/>
    </xf>
    <xf numFmtId="9" fontId="75" fillId="8" borderId="4" xfId="2" applyFont="1" applyFill="1" applyBorder="1" applyAlignment="1">
      <alignment horizontal="center"/>
    </xf>
    <xf numFmtId="0" fontId="8" fillId="0" borderId="8" xfId="0" applyFont="1" applyBorder="1" applyAlignment="1">
      <alignment horizontal="right"/>
    </xf>
    <xf numFmtId="9" fontId="75" fillId="8" borderId="9" xfId="2" applyFont="1" applyFill="1" applyBorder="1" applyAlignment="1">
      <alignment horizontal="center"/>
    </xf>
    <xf numFmtId="0" fontId="136" fillId="0" borderId="0" xfId="0" applyFont="1" applyAlignment="1">
      <alignment vertical="center"/>
    </xf>
    <xf numFmtId="0" fontId="8" fillId="0" borderId="25" xfId="0" applyFont="1" applyBorder="1" applyAlignment="1">
      <alignment horizontal="center"/>
    </xf>
    <xf numFmtId="0" fontId="0" fillId="0" borderId="25" xfId="0" quotePrefix="1" applyBorder="1"/>
    <xf numFmtId="9" fontId="75" fillId="0" borderId="24" xfId="2" applyFont="1" applyFill="1" applyBorder="1" applyAlignment="1">
      <alignment horizontal="center"/>
    </xf>
    <xf numFmtId="0" fontId="108" fillId="0" borderId="25" xfId="0" applyFont="1" applyBorder="1" applyAlignment="1">
      <alignment horizontal="right"/>
    </xf>
    <xf numFmtId="0" fontId="8" fillId="0" borderId="25" xfId="0" applyFont="1" applyBorder="1"/>
    <xf numFmtId="182" fontId="135" fillId="0" borderId="0" xfId="0" applyNumberFormat="1" applyFont="1"/>
    <xf numFmtId="0" fontId="75" fillId="0" borderId="0" xfId="0" applyFont="1" applyAlignment="1">
      <alignment horizontal="right"/>
    </xf>
    <xf numFmtId="43" fontId="135" fillId="27" borderId="0" xfId="1" applyFont="1" applyFill="1" applyBorder="1" applyAlignment="1">
      <alignment horizontal="center"/>
    </xf>
    <xf numFmtId="0" fontId="14" fillId="0" borderId="0" xfId="0" applyFont="1" applyAlignment="1">
      <alignment horizontal="center"/>
    </xf>
    <xf numFmtId="167" fontId="106" fillId="0" borderId="0" xfId="3" applyNumberFormat="1" applyFont="1" applyFill="1" applyBorder="1" applyAlignment="1">
      <alignment horizontal="center"/>
    </xf>
    <xf numFmtId="0" fontId="138" fillId="0" borderId="0" xfId="0" applyFont="1" applyAlignment="1">
      <alignment horizontal="center"/>
    </xf>
    <xf numFmtId="0" fontId="13" fillId="0" borderId="0" xfId="0" applyFont="1" applyAlignment="1">
      <alignment horizontal="center" vertical="center" wrapText="1"/>
    </xf>
    <xf numFmtId="0" fontId="39" fillId="0" borderId="0" xfId="0" applyFont="1" applyAlignment="1">
      <alignment horizontal="right" vertical="center"/>
    </xf>
    <xf numFmtId="0" fontId="39" fillId="0" borderId="0" xfId="0" applyFont="1"/>
    <xf numFmtId="0" fontId="39" fillId="0" borderId="0" xfId="0" applyFont="1" applyAlignment="1">
      <alignment horizontal="right"/>
    </xf>
    <xf numFmtId="0" fontId="134" fillId="0" borderId="0" xfId="0" applyFont="1"/>
    <xf numFmtId="0" fontId="134" fillId="0" borderId="25" xfId="0" applyFont="1" applyBorder="1"/>
    <xf numFmtId="0" fontId="39" fillId="0" borderId="33" xfId="0" applyFont="1" applyBorder="1" applyAlignment="1">
      <alignment horizontal="center" vertical="center"/>
    </xf>
    <xf numFmtId="164" fontId="135" fillId="25" borderId="0" xfId="1" applyNumberFormat="1" applyFont="1" applyFill="1" applyBorder="1" applyAlignment="1"/>
    <xf numFmtId="9" fontId="75" fillId="2" borderId="0" xfId="2" applyFont="1" applyFill="1" applyBorder="1" applyAlignment="1">
      <alignment horizontal="center"/>
    </xf>
    <xf numFmtId="164" fontId="135" fillId="25" borderId="0" xfId="1" applyNumberFormat="1" applyFont="1" applyFill="1" applyBorder="1" applyAlignment="1">
      <alignment horizontal="center"/>
    </xf>
    <xf numFmtId="9" fontId="134" fillId="2" borderId="0" xfId="2" applyFont="1" applyFill="1" applyBorder="1" applyAlignment="1">
      <alignment horizontal="center" vertical="center"/>
    </xf>
    <xf numFmtId="43" fontId="135" fillId="25" borderId="0" xfId="1" applyFont="1" applyFill="1" applyBorder="1" applyAlignment="1">
      <alignment horizontal="center"/>
    </xf>
    <xf numFmtId="178" fontId="18" fillId="0" borderId="0" xfId="0" applyNumberFormat="1" applyFont="1" applyAlignment="1">
      <alignment horizontal="left"/>
    </xf>
    <xf numFmtId="164" fontId="2" fillId="0" borderId="0" xfId="0" applyNumberFormat="1" applyFont="1" applyAlignment="1">
      <alignment horizontal="left"/>
    </xf>
    <xf numFmtId="0" fontId="13" fillId="0" borderId="0" xfId="0" applyFont="1" applyAlignment="1">
      <alignment horizontal="left"/>
    </xf>
    <xf numFmtId="0" fontId="137" fillId="0" borderId="0" xfId="0" applyFont="1"/>
    <xf numFmtId="0" fontId="75" fillId="0" borderId="0" xfId="0" applyFont="1" applyAlignment="1">
      <alignment vertical="center" wrapText="1"/>
    </xf>
    <xf numFmtId="9" fontId="134" fillId="22" borderId="0" xfId="2" applyFont="1" applyFill="1" applyBorder="1" applyAlignment="1">
      <alignment horizontal="center" vertical="center"/>
    </xf>
    <xf numFmtId="9" fontId="2" fillId="22" borderId="2" xfId="2" applyFont="1" applyFill="1" applyBorder="1"/>
    <xf numFmtId="7" fontId="0" fillId="8" borderId="0" xfId="1" applyNumberFormat="1" applyFont="1" applyFill="1"/>
    <xf numFmtId="180" fontId="135" fillId="25" borderId="0" xfId="1" applyNumberFormat="1" applyFont="1" applyFill="1" applyBorder="1" applyAlignment="1"/>
    <xf numFmtId="0" fontId="2" fillId="7" borderId="0" xfId="0" applyFont="1" applyFill="1" applyAlignment="1">
      <alignment horizontal="center"/>
    </xf>
    <xf numFmtId="178" fontId="18" fillId="22" borderId="0" xfId="0" applyNumberFormat="1" applyFont="1" applyFill="1" applyAlignment="1">
      <alignment horizontal="left"/>
    </xf>
    <xf numFmtId="0" fontId="140" fillId="0" borderId="0" xfId="0" applyFont="1" applyAlignment="1">
      <alignment horizontal="center"/>
    </xf>
    <xf numFmtId="168" fontId="17" fillId="2" borderId="2" xfId="3" applyNumberFormat="1" applyFont="1" applyFill="1" applyBorder="1"/>
    <xf numFmtId="168" fontId="17" fillId="2" borderId="2" xfId="3" applyNumberFormat="1" applyFont="1" applyFill="1" applyBorder="1" applyAlignment="1">
      <alignment horizontal="right" wrapText="1"/>
    </xf>
    <xf numFmtId="168" fontId="17" fillId="24" borderId="2" xfId="3" applyNumberFormat="1" applyFont="1" applyFill="1" applyBorder="1" applyAlignment="1">
      <alignment horizontal="right" wrapText="1"/>
    </xf>
    <xf numFmtId="168" fontId="0" fillId="8" borderId="2" xfId="3" applyNumberFormat="1" applyFont="1" applyFill="1" applyBorder="1" applyAlignment="1">
      <alignment horizontal="right" wrapText="1"/>
    </xf>
    <xf numFmtId="168" fontId="0" fillId="8" borderId="2" xfId="3" applyNumberFormat="1" applyFont="1" applyFill="1" applyBorder="1" applyAlignment="1">
      <alignment vertical="center"/>
    </xf>
    <xf numFmtId="7" fontId="14" fillId="0" borderId="65" xfId="3" applyNumberFormat="1" applyFont="1" applyFill="1" applyBorder="1" applyAlignment="1">
      <alignment horizontal="center" vertical="center"/>
    </xf>
    <xf numFmtId="0" fontId="0" fillId="0" borderId="39" xfId="0" applyBorder="1"/>
    <xf numFmtId="164" fontId="13" fillId="4" borderId="41" xfId="0" applyNumberFormat="1" applyFont="1" applyFill="1" applyBorder="1" applyAlignment="1">
      <alignment horizontal="left" vertical="center" indent="1"/>
    </xf>
    <xf numFmtId="164" fontId="13" fillId="4" borderId="28" xfId="0" applyNumberFormat="1" applyFont="1" applyFill="1" applyBorder="1" applyAlignment="1">
      <alignment horizontal="left" vertical="center" indent="1"/>
    </xf>
    <xf numFmtId="0" fontId="0" fillId="0" borderId="66" xfId="0" applyBorder="1"/>
    <xf numFmtId="164" fontId="13" fillId="4" borderId="67" xfId="0" applyNumberFormat="1" applyFont="1" applyFill="1" applyBorder="1" applyAlignment="1">
      <alignment horizontal="left" vertical="center" indent="1"/>
    </xf>
    <xf numFmtId="0" fontId="0" fillId="0" borderId="24" xfId="0" applyBorder="1" applyAlignment="1">
      <alignment horizontal="right"/>
    </xf>
    <xf numFmtId="0" fontId="0" fillId="5" borderId="24" xfId="0" applyFill="1" applyBorder="1" applyAlignment="1">
      <alignment horizontal="right"/>
    </xf>
    <xf numFmtId="9" fontId="134" fillId="5" borderId="0" xfId="2" applyFont="1" applyFill="1" applyBorder="1" applyAlignment="1">
      <alignment horizontal="center" vertical="center"/>
    </xf>
    <xf numFmtId="0" fontId="37" fillId="4" borderId="10" xfId="0" applyFont="1" applyFill="1" applyBorder="1" applyAlignment="1">
      <alignment vertical="center"/>
    </xf>
    <xf numFmtId="5" fontId="14" fillId="0" borderId="0" xfId="3" applyNumberFormat="1" applyFont="1" applyFill="1" applyBorder="1" applyAlignment="1">
      <alignment horizontal="center" vertical="center"/>
    </xf>
    <xf numFmtId="5" fontId="75" fillId="0" borderId="0" xfId="3" applyNumberFormat="1" applyFont="1" applyFill="1" applyBorder="1" applyAlignment="1">
      <alignment horizontal="center"/>
    </xf>
    <xf numFmtId="178" fontId="0" fillId="0" borderId="0" xfId="1" applyNumberFormat="1" applyFont="1" applyFill="1"/>
    <xf numFmtId="9" fontId="0" fillId="2" borderId="2" xfId="2" applyFont="1" applyFill="1" applyBorder="1" applyAlignment="1">
      <alignment horizontal="center"/>
    </xf>
    <xf numFmtId="9" fontId="14" fillId="2" borderId="44" xfId="2" applyFont="1" applyFill="1" applyBorder="1" applyAlignment="1">
      <alignment horizontal="center"/>
    </xf>
    <xf numFmtId="179" fontId="2" fillId="0" borderId="0" xfId="0" quotePrefix="1" applyNumberFormat="1" applyFont="1" applyAlignment="1">
      <alignment horizontal="center" vertical="center"/>
    </xf>
    <xf numFmtId="0" fontId="0" fillId="6" borderId="0" xfId="0" applyFill="1"/>
    <xf numFmtId="164" fontId="0" fillId="2" borderId="2" xfId="1" applyNumberFormat="1" applyFont="1" applyFill="1" applyBorder="1" applyAlignment="1">
      <alignment vertical="center"/>
    </xf>
    <xf numFmtId="0" fontId="14" fillId="0" borderId="25" xfId="0" applyFont="1" applyBorder="1" applyAlignment="1">
      <alignment vertical="center"/>
    </xf>
    <xf numFmtId="0" fontId="75" fillId="0" borderId="25" xfId="0" applyFont="1" applyBorder="1" applyAlignment="1">
      <alignment vertical="center"/>
    </xf>
    <xf numFmtId="0" fontId="75" fillId="0" borderId="25" xfId="0" applyFont="1" applyBorder="1"/>
    <xf numFmtId="164" fontId="8" fillId="8" borderId="0" xfId="1" applyNumberFormat="1" applyFont="1" applyFill="1" applyBorder="1"/>
    <xf numFmtId="0" fontId="131" fillId="0" borderId="40" xfId="0" applyFont="1" applyBorder="1"/>
    <xf numFmtId="0" fontId="113" fillId="0" borderId="40" xfId="0" applyFont="1" applyBorder="1"/>
    <xf numFmtId="0" fontId="13" fillId="0" borderId="25" xfId="0" applyFont="1" applyBorder="1"/>
    <xf numFmtId="0" fontId="2" fillId="0" borderId="28" xfId="0" applyFont="1" applyBorder="1"/>
    <xf numFmtId="0" fontId="2" fillId="0" borderId="25" xfId="0" applyFont="1" applyBorder="1"/>
    <xf numFmtId="5" fontId="14" fillId="0" borderId="25" xfId="3" applyNumberFormat="1" applyFont="1" applyFill="1" applyBorder="1" applyAlignment="1">
      <alignment horizontal="center" vertical="center"/>
    </xf>
    <xf numFmtId="167" fontId="75" fillId="0" borderId="25" xfId="3" applyNumberFormat="1" applyFont="1" applyFill="1" applyBorder="1" applyAlignment="1">
      <alignment horizontal="center"/>
    </xf>
    <xf numFmtId="167" fontId="75" fillId="0" borderId="28" xfId="3" applyNumberFormat="1" applyFont="1" applyFill="1" applyBorder="1" applyAlignment="1">
      <alignment horizontal="center"/>
    </xf>
    <xf numFmtId="9" fontId="143" fillId="0" borderId="40" xfId="2" applyFont="1" applyFill="1" applyBorder="1"/>
    <xf numFmtId="164" fontId="0" fillId="0" borderId="40" xfId="0" applyNumberFormat="1" applyBorder="1"/>
    <xf numFmtId="0" fontId="0" fillId="0" borderId="24" xfId="0" quotePrefix="1" applyBorder="1"/>
    <xf numFmtId="0" fontId="8" fillId="0" borderId="24" xfId="0" applyFont="1" applyBorder="1" applyAlignment="1">
      <alignment horizontal="right"/>
    </xf>
    <xf numFmtId="9" fontId="75" fillId="8" borderId="0" xfId="2" applyFont="1" applyFill="1" applyBorder="1" applyAlignment="1">
      <alignment horizontal="center"/>
    </xf>
    <xf numFmtId="0" fontId="2" fillId="0" borderId="24" xfId="0" applyFont="1" applyBorder="1" applyAlignment="1">
      <alignment horizontal="right"/>
    </xf>
    <xf numFmtId="0" fontId="107" fillId="0" borderId="0" xfId="0" applyFont="1" applyAlignment="1">
      <alignment horizontal="center"/>
    </xf>
    <xf numFmtId="0" fontId="8" fillId="0" borderId="25" xfId="0" applyFont="1" applyBorder="1" applyAlignment="1">
      <alignment horizontal="right"/>
    </xf>
    <xf numFmtId="164" fontId="0" fillId="0" borderId="27" xfId="0" applyNumberFormat="1" applyBorder="1"/>
    <xf numFmtId="0" fontId="8" fillId="0" borderId="24" xfId="0" applyFont="1" applyBorder="1" applyAlignment="1">
      <alignment horizontal="right" wrapText="1"/>
    </xf>
    <xf numFmtId="0" fontId="0" fillId="7" borderId="0" xfId="0" applyFill="1" applyAlignment="1">
      <alignment vertical="center"/>
    </xf>
    <xf numFmtId="0" fontId="8" fillId="0" borderId="24" xfId="0" applyFont="1" applyBorder="1" applyAlignment="1">
      <alignment horizontal="center"/>
    </xf>
    <xf numFmtId="0" fontId="4" fillId="0" borderId="24" xfId="0" applyFont="1" applyBorder="1"/>
    <xf numFmtId="0" fontId="14" fillId="0" borderId="24" xfId="0" applyFont="1" applyBorder="1"/>
    <xf numFmtId="0" fontId="144" fillId="43" borderId="39" xfId="0" applyFont="1" applyFill="1" applyBorder="1"/>
    <xf numFmtId="9" fontId="75" fillId="8" borderId="0" xfId="2" applyFont="1" applyFill="1" applyBorder="1" applyAlignment="1">
      <alignment horizontal="center" vertical="center"/>
    </xf>
    <xf numFmtId="0" fontId="39" fillId="0" borderId="0" xfId="0" quotePrefix="1" applyFont="1"/>
    <xf numFmtId="0" fontId="145" fillId="0" borderId="0" xfId="0" applyFont="1"/>
    <xf numFmtId="0" fontId="2" fillId="0" borderId="0" xfId="0" applyFont="1" applyAlignment="1">
      <alignment horizontal="center" vertical="center" wrapText="1"/>
    </xf>
    <xf numFmtId="165" fontId="17" fillId="0" borderId="0" xfId="0" applyNumberFormat="1" applyFont="1" applyAlignment="1">
      <alignment vertical="center"/>
    </xf>
    <xf numFmtId="0" fontId="8" fillId="0" borderId="25" xfId="0" applyFont="1" applyBorder="1" applyAlignment="1">
      <alignment horizontal="left" vertical="center"/>
    </xf>
    <xf numFmtId="164" fontId="8" fillId="0" borderId="0" xfId="1" applyNumberFormat="1" applyFont="1" applyFill="1" applyBorder="1"/>
    <xf numFmtId="164" fontId="8" fillId="0" borderId="27" xfId="1" applyNumberFormat="1" applyFont="1" applyFill="1" applyBorder="1"/>
    <xf numFmtId="164" fontId="8" fillId="0" borderId="40" xfId="1" applyNumberFormat="1" applyFont="1" applyFill="1" applyBorder="1"/>
    <xf numFmtId="0" fontId="75" fillId="0" borderId="28" xfId="0" applyFont="1" applyBorder="1"/>
    <xf numFmtId="0" fontId="75" fillId="0" borderId="28" xfId="0" applyFont="1" applyBorder="1" applyAlignment="1">
      <alignment horizontal="left" vertical="center"/>
    </xf>
    <xf numFmtId="0" fontId="8" fillId="0" borderId="40" xfId="0" applyFont="1" applyBorder="1" applyAlignment="1">
      <alignment horizontal="center"/>
    </xf>
    <xf numFmtId="167" fontId="75" fillId="0" borderId="26" xfId="3" applyNumberFormat="1" applyFont="1" applyFill="1" applyBorder="1" applyAlignment="1">
      <alignment horizontal="center"/>
    </xf>
    <xf numFmtId="0" fontId="2" fillId="0" borderId="27" xfId="0" applyFont="1" applyBorder="1" applyAlignment="1">
      <alignment horizontal="right"/>
    </xf>
    <xf numFmtId="0" fontId="108" fillId="0" borderId="28" xfId="0" applyFont="1" applyBorder="1" applyAlignment="1">
      <alignment horizontal="right"/>
    </xf>
    <xf numFmtId="164" fontId="2" fillId="8" borderId="0" xfId="1" applyNumberFormat="1" applyFont="1" applyFill="1" applyBorder="1" applyAlignment="1">
      <alignment horizontal="center"/>
    </xf>
    <xf numFmtId="0" fontId="148" fillId="0" borderId="0" xfId="0" applyFont="1"/>
    <xf numFmtId="0" fontId="149" fillId="0" borderId="0" xfId="0" applyFont="1"/>
    <xf numFmtId="2" fontId="15" fillId="41" borderId="44" xfId="0" quotePrefix="1" applyNumberFormat="1" applyFont="1" applyFill="1" applyBorder="1" applyAlignment="1">
      <alignment horizontal="center" vertical="center"/>
    </xf>
    <xf numFmtId="9" fontId="143" fillId="0" borderId="0" xfId="2" applyFont="1" applyFill="1" applyBorder="1"/>
    <xf numFmtId="0" fontId="133" fillId="0" borderId="2" xfId="0" applyFont="1" applyBorder="1" applyAlignment="1">
      <alignment horizontal="center" vertical="center" wrapText="1"/>
    </xf>
    <xf numFmtId="0" fontId="75" fillId="0" borderId="0" xfId="0" applyFont="1" applyAlignment="1">
      <alignment horizontal="right" vertical="center" wrapText="1"/>
    </xf>
    <xf numFmtId="1" fontId="75" fillId="0" borderId="0" xfId="0" quotePrefix="1" applyNumberFormat="1" applyFont="1" applyAlignment="1">
      <alignment horizontal="right" vertical="center"/>
    </xf>
    <xf numFmtId="164" fontId="75" fillId="0" borderId="0" xfId="1" applyNumberFormat="1" applyFont="1" applyFill="1" applyBorder="1" applyAlignment="1">
      <alignment horizontal="right"/>
    </xf>
    <xf numFmtId="0" fontId="144" fillId="0" borderId="24" xfId="0" applyFont="1" applyBorder="1"/>
    <xf numFmtId="0" fontId="150" fillId="0" borderId="24" xfId="0" applyFont="1" applyBorder="1" applyAlignment="1">
      <alignment horizontal="right" vertical="top"/>
    </xf>
    <xf numFmtId="0" fontId="150" fillId="0" borderId="0" xfId="0" applyFont="1" applyAlignment="1">
      <alignment vertical="top"/>
    </xf>
    <xf numFmtId="3" fontId="15" fillId="44" borderId="44" xfId="0" quotePrefix="1" applyNumberFormat="1" applyFont="1" applyFill="1" applyBorder="1" applyAlignment="1">
      <alignment horizontal="center" vertical="center"/>
    </xf>
    <xf numFmtId="164" fontId="151" fillId="44" borderId="44" xfId="1" applyNumberFormat="1" applyFont="1" applyFill="1" applyBorder="1"/>
    <xf numFmtId="9" fontId="75" fillId="8" borderId="2" xfId="2" applyFont="1" applyFill="1" applyBorder="1" applyAlignment="1">
      <alignment horizontal="center"/>
    </xf>
    <xf numFmtId="9" fontId="15" fillId="44" borderId="68" xfId="2" applyFont="1" applyFill="1" applyBorder="1" applyAlignment="1">
      <alignment horizontal="center"/>
    </xf>
    <xf numFmtId="9" fontId="15" fillId="44" borderId="69" xfId="2" applyFont="1" applyFill="1" applyBorder="1" applyAlignment="1">
      <alignment horizontal="center"/>
    </xf>
    <xf numFmtId="0" fontId="14" fillId="0" borderId="25" xfId="0" applyFont="1" applyBorder="1"/>
    <xf numFmtId="0" fontId="7" fillId="11" borderId="19" xfId="0" applyFont="1" applyFill="1" applyBorder="1" applyAlignment="1">
      <alignment vertical="center"/>
    </xf>
    <xf numFmtId="0" fontId="75" fillId="0" borderId="25" xfId="0" applyFont="1" applyBorder="1" applyAlignment="1">
      <alignment wrapText="1"/>
    </xf>
    <xf numFmtId="6" fontId="0" fillId="2" borderId="2" xfId="0" applyNumberFormat="1" applyFill="1" applyBorder="1" applyAlignment="1">
      <alignment horizontal="center"/>
    </xf>
    <xf numFmtId="6" fontId="15" fillId="45" borderId="44" xfId="0" applyNumberFormat="1" applyFont="1" applyFill="1" applyBorder="1" applyAlignment="1">
      <alignment horizontal="center"/>
    </xf>
    <xf numFmtId="5" fontId="75" fillId="0" borderId="41" xfId="3" applyNumberFormat="1" applyFont="1" applyFill="1" applyBorder="1" applyAlignment="1">
      <alignment horizontal="center"/>
    </xf>
    <xf numFmtId="6" fontId="0" fillId="5" borderId="0" xfId="0" applyNumberFormat="1" applyFill="1" applyAlignment="1">
      <alignment horizontal="center"/>
    </xf>
    <xf numFmtId="167" fontId="10" fillId="0" borderId="25" xfId="3" applyNumberFormat="1" applyFont="1" applyFill="1" applyBorder="1" applyAlignment="1">
      <alignment horizontal="center"/>
    </xf>
    <xf numFmtId="0" fontId="4" fillId="0" borderId="24" xfId="0" applyFont="1" applyBorder="1" applyAlignment="1">
      <alignment horizontal="right"/>
    </xf>
    <xf numFmtId="0" fontId="14" fillId="0" borderId="24" xfId="0" applyFont="1" applyBorder="1" applyAlignment="1">
      <alignment horizontal="right"/>
    </xf>
    <xf numFmtId="7" fontId="0" fillId="5" borderId="0" xfId="0" applyNumberFormat="1" applyFill="1" applyAlignment="1">
      <alignment horizontal="center"/>
    </xf>
    <xf numFmtId="7" fontId="0" fillId="2" borderId="0" xfId="0" applyNumberFormat="1" applyFill="1" applyAlignment="1">
      <alignment horizontal="center"/>
    </xf>
    <xf numFmtId="0" fontId="144" fillId="13" borderId="39" xfId="0" applyFont="1" applyFill="1" applyBorder="1"/>
    <xf numFmtId="0" fontId="13" fillId="4" borderId="0" xfId="0" applyFont="1" applyFill="1"/>
    <xf numFmtId="0" fontId="0" fillId="4" borderId="0" xfId="0" applyFill="1"/>
    <xf numFmtId="7" fontId="0" fillId="5" borderId="25" xfId="0" applyNumberFormat="1" applyFill="1" applyBorder="1" applyAlignment="1">
      <alignment horizontal="center"/>
    </xf>
    <xf numFmtId="7" fontId="0" fillId="2" borderId="25" xfId="0" applyNumberFormat="1" applyFill="1" applyBorder="1" applyAlignment="1">
      <alignment horizontal="center"/>
    </xf>
    <xf numFmtId="2" fontId="132" fillId="26" borderId="0" xfId="0" applyNumberFormat="1" applyFont="1" applyFill="1" applyAlignment="1">
      <alignment horizontal="center"/>
    </xf>
    <xf numFmtId="6" fontId="15" fillId="3" borderId="44" xfId="0" applyNumberFormat="1" applyFont="1" applyFill="1" applyBorder="1" applyAlignment="1">
      <alignment horizontal="center"/>
    </xf>
    <xf numFmtId="164" fontId="0" fillId="6" borderId="0" xfId="0" applyNumberFormat="1" applyFill="1"/>
    <xf numFmtId="167" fontId="0" fillId="0" borderId="0" xfId="0" applyNumberFormat="1"/>
    <xf numFmtId="17" fontId="0" fillId="0" borderId="0" xfId="0" applyNumberFormat="1" applyAlignment="1">
      <alignment horizontal="center" vertical="center"/>
    </xf>
    <xf numFmtId="168" fontId="0" fillId="0" borderId="0" xfId="3" applyNumberFormat="1" applyFont="1" applyFill="1" applyBorder="1"/>
    <xf numFmtId="168" fontId="2" fillId="0" borderId="0" xfId="3" applyNumberFormat="1" applyFont="1" applyFill="1" applyBorder="1" applyAlignment="1">
      <alignment horizontal="right" wrapText="1"/>
    </xf>
    <xf numFmtId="0" fontId="0" fillId="0" borderId="70" xfId="0" applyBorder="1" applyAlignment="1">
      <alignment vertical="center"/>
    </xf>
    <xf numFmtId="0" fontId="22" fillId="0" borderId="0" xfId="0" applyFont="1" applyAlignment="1">
      <alignment vertical="center"/>
    </xf>
    <xf numFmtId="17" fontId="0" fillId="4" borderId="2" xfId="0" applyNumberFormat="1" applyFill="1" applyBorder="1"/>
    <xf numFmtId="0" fontId="29" fillId="0" borderId="2" xfId="0" applyFont="1" applyBorder="1" applyAlignment="1">
      <alignment horizontal="center" vertical="center" wrapText="1"/>
    </xf>
    <xf numFmtId="0" fontId="0" fillId="4" borderId="2" xfId="0" applyFill="1" applyBorder="1"/>
    <xf numFmtId="0" fontId="0" fillId="0" borderId="10" xfId="0" applyBorder="1" applyAlignment="1">
      <alignment vertical="center"/>
    </xf>
    <xf numFmtId="0" fontId="0" fillId="0" borderId="11" xfId="0" applyBorder="1" applyAlignment="1">
      <alignment vertical="center"/>
    </xf>
    <xf numFmtId="0" fontId="0" fillId="0" borderId="11" xfId="0" applyBorder="1" applyAlignment="1">
      <alignment vertical="center" wrapText="1"/>
    </xf>
    <xf numFmtId="0" fontId="0" fillId="4" borderId="2" xfId="0" applyFill="1" applyBorder="1" applyAlignment="1">
      <alignment vertical="center"/>
    </xf>
    <xf numFmtId="1" fontId="2" fillId="0" borderId="0" xfId="0" applyNumberFormat="1" applyFont="1" applyAlignment="1">
      <alignment horizontal="right"/>
    </xf>
    <xf numFmtId="164" fontId="0" fillId="0" borderId="4" xfId="1" applyNumberFormat="1" applyFont="1" applyBorder="1" applyAlignment="1">
      <alignment horizontal="center" vertical="center"/>
    </xf>
    <xf numFmtId="164" fontId="15" fillId="30" borderId="0" xfId="1" applyNumberFormat="1" applyFont="1" applyFill="1" applyBorder="1" applyAlignment="1">
      <alignment horizontal="center" vertical="center"/>
    </xf>
    <xf numFmtId="0" fontId="134" fillId="0" borderId="2" xfId="0" applyFont="1" applyBorder="1" applyAlignment="1">
      <alignment horizontal="right" vertical="center"/>
    </xf>
    <xf numFmtId="167" fontId="152" fillId="0" borderId="10" xfId="3" applyNumberFormat="1" applyFont="1" applyFill="1" applyBorder="1" applyAlignment="1">
      <alignment vertical="center"/>
    </xf>
    <xf numFmtId="167" fontId="7" fillId="0" borderId="29" xfId="3" applyNumberFormat="1" applyFont="1" applyFill="1" applyBorder="1" applyAlignment="1">
      <alignment vertical="center"/>
    </xf>
    <xf numFmtId="0" fontId="7" fillId="5" borderId="29" xfId="0" applyFont="1" applyFill="1" applyBorder="1" applyAlignment="1">
      <alignment vertical="center"/>
    </xf>
    <xf numFmtId="167" fontId="7" fillId="0" borderId="10" xfId="3" applyNumberFormat="1" applyFont="1" applyFill="1" applyBorder="1" applyAlignment="1">
      <alignment vertical="center"/>
    </xf>
    <xf numFmtId="167" fontId="7" fillId="0" borderId="11" xfId="3" applyNumberFormat="1" applyFont="1" applyFill="1" applyBorder="1" applyAlignment="1">
      <alignment vertical="center"/>
    </xf>
    <xf numFmtId="167" fontId="7" fillId="0" borderId="12" xfId="3" applyNumberFormat="1" applyFont="1" applyFill="1" applyBorder="1" applyAlignment="1">
      <alignment vertical="center"/>
    </xf>
    <xf numFmtId="0" fontId="7" fillId="0" borderId="0" xfId="0" applyFont="1" applyAlignment="1">
      <alignment horizontal="left" wrapText="1"/>
    </xf>
    <xf numFmtId="0" fontId="2" fillId="0" borderId="2" xfId="0" applyFont="1" applyBorder="1" applyAlignment="1">
      <alignment horizontal="center"/>
    </xf>
    <xf numFmtId="3" fontId="2" fillId="0" borderId="2" xfId="0" applyNumberFormat="1" applyFont="1" applyBorder="1"/>
    <xf numFmtId="0" fontId="105" fillId="0" borderId="0" xfId="0" applyFont="1"/>
    <xf numFmtId="167" fontId="75" fillId="0" borderId="24" xfId="3" applyNumberFormat="1" applyFont="1" applyFill="1" applyBorder="1" applyAlignment="1">
      <alignment horizontal="center"/>
    </xf>
    <xf numFmtId="0" fontId="99" fillId="0" borderId="27" xfId="0" applyFont="1" applyBorder="1" applyAlignment="1">
      <alignment horizontal="center"/>
    </xf>
    <xf numFmtId="164" fontId="0" fillId="0" borderId="27" xfId="1" applyNumberFormat="1" applyFont="1" applyFill="1" applyBorder="1"/>
    <xf numFmtId="0" fontId="16" fillId="0" borderId="4" xfId="0" applyFont="1" applyBorder="1"/>
    <xf numFmtId="164" fontId="0" fillId="0" borderId="40" xfId="1" applyNumberFormat="1" applyFont="1" applyFill="1" applyBorder="1"/>
    <xf numFmtId="0" fontId="99" fillId="0" borderId="41" xfId="0" applyFont="1" applyBorder="1"/>
    <xf numFmtId="0" fontId="3" fillId="0" borderId="0" xfId="0" applyFont="1"/>
    <xf numFmtId="0" fontId="77" fillId="32" borderId="0" xfId="0" applyFont="1" applyFill="1"/>
    <xf numFmtId="164" fontId="136" fillId="32" borderId="0" xfId="1" applyNumberFormat="1" applyFont="1" applyFill="1"/>
    <xf numFmtId="166" fontId="136" fillId="32" borderId="0" xfId="0" applyNumberFormat="1" applyFont="1" applyFill="1"/>
    <xf numFmtId="0" fontId="136" fillId="32" borderId="0" xfId="0" applyFont="1" applyFill="1"/>
    <xf numFmtId="1" fontId="136" fillId="32" borderId="0" xfId="0" applyNumberFormat="1" applyFont="1" applyFill="1"/>
    <xf numFmtId="2" fontId="136" fillId="32" borderId="0" xfId="0" applyNumberFormat="1" applyFont="1" applyFill="1"/>
    <xf numFmtId="164" fontId="136" fillId="32" borderId="0" xfId="1" applyNumberFormat="1" applyFont="1" applyFill="1" applyBorder="1"/>
    <xf numFmtId="0" fontId="112" fillId="0" borderId="24" xfId="0" applyFont="1" applyBorder="1" applyAlignment="1">
      <alignment vertical="center" wrapText="1"/>
    </xf>
    <xf numFmtId="0" fontId="111" fillId="0" borderId="24" xfId="0" applyFont="1" applyBorder="1"/>
    <xf numFmtId="3" fontId="2" fillId="0" borderId="27" xfId="0" quotePrefix="1" applyNumberFormat="1" applyFont="1" applyBorder="1" applyAlignment="1">
      <alignment horizontal="center" vertical="center"/>
    </xf>
    <xf numFmtId="0" fontId="0" fillId="0" borderId="27" xfId="0" quotePrefix="1" applyBorder="1"/>
    <xf numFmtId="0" fontId="0" fillId="0" borderId="28" xfId="0" quotePrefix="1" applyBorder="1"/>
    <xf numFmtId="0" fontId="112" fillId="0" borderId="0" xfId="0" applyFont="1" applyAlignment="1">
      <alignment horizontal="right" vertical="center" wrapText="1"/>
    </xf>
    <xf numFmtId="9" fontId="0" fillId="11" borderId="2" xfId="2" applyFont="1" applyFill="1" applyBorder="1"/>
    <xf numFmtId="164" fontId="13" fillId="6" borderId="0" xfId="1" applyNumberFormat="1" applyFont="1" applyFill="1" applyBorder="1"/>
    <xf numFmtId="164" fontId="0" fillId="0" borderId="0" xfId="1" applyNumberFormat="1" applyFont="1" applyBorder="1" applyAlignment="1">
      <alignment horizontal="center"/>
    </xf>
    <xf numFmtId="0" fontId="8" fillId="0" borderId="40" xfId="0" applyFont="1" applyBorder="1"/>
    <xf numFmtId="0" fontId="149" fillId="13" borderId="39" xfId="0" applyFont="1" applyFill="1" applyBorder="1"/>
    <xf numFmtId="0" fontId="2" fillId="0" borderId="2" xfId="0" applyFont="1" applyBorder="1"/>
    <xf numFmtId="0" fontId="4" fillId="0" borderId="2" xfId="0" applyFont="1" applyBorder="1" applyAlignment="1">
      <alignment horizontal="right"/>
    </xf>
    <xf numFmtId="169" fontId="2" fillId="0" borderId="2" xfId="0" applyNumberFormat="1" applyFont="1" applyBorder="1"/>
    <xf numFmtId="169" fontId="0" fillId="0" borderId="2" xfId="0" applyNumberFormat="1" applyBorder="1"/>
    <xf numFmtId="169" fontId="2" fillId="0" borderId="0" xfId="0" applyNumberFormat="1" applyFont="1"/>
    <xf numFmtId="0" fontId="0" fillId="0" borderId="30" xfId="0" applyBorder="1"/>
    <xf numFmtId="0" fontId="23" fillId="0" borderId="0" xfId="0" applyFont="1" applyAlignment="1">
      <alignment vertical="center" wrapText="1"/>
    </xf>
    <xf numFmtId="0" fontId="105" fillId="0" borderId="0" xfId="0" applyFont="1" applyAlignment="1">
      <alignment vertical="center"/>
    </xf>
    <xf numFmtId="0" fontId="13" fillId="0" borderId="24" xfId="0" applyFont="1" applyBorder="1" applyAlignment="1">
      <alignment horizontal="left" vertical="center"/>
    </xf>
    <xf numFmtId="0" fontId="13" fillId="0" borderId="0" xfId="0" applyFont="1" applyAlignment="1">
      <alignment horizontal="right" vertical="center"/>
    </xf>
    <xf numFmtId="2" fontId="134" fillId="4" borderId="0" xfId="0" applyNumberFormat="1" applyFont="1" applyFill="1"/>
    <xf numFmtId="0" fontId="13" fillId="0" borderId="26" xfId="0" applyFont="1" applyBorder="1" applyAlignment="1">
      <alignment horizontal="left"/>
    </xf>
    <xf numFmtId="0" fontId="13" fillId="0" borderId="27" xfId="0" applyFont="1" applyBorder="1" applyAlignment="1">
      <alignment horizontal="right"/>
    </xf>
    <xf numFmtId="0" fontId="134" fillId="0" borderId="27" xfId="0" applyFont="1" applyBorder="1"/>
    <xf numFmtId="2" fontId="134" fillId="4" borderId="27" xfId="0" applyNumberFormat="1" applyFont="1" applyFill="1" applyBorder="1"/>
    <xf numFmtId="2" fontId="134" fillId="0" borderId="28" xfId="0" applyNumberFormat="1" applyFont="1" applyBorder="1"/>
    <xf numFmtId="0" fontId="150" fillId="0" borderId="0" xfId="0" applyFont="1"/>
    <xf numFmtId="0" fontId="156" fillId="0" borderId="0" xfId="0" applyFont="1"/>
    <xf numFmtId="0" fontId="28" fillId="0" borderId="22" xfId="0" applyFont="1" applyBorder="1" applyAlignment="1">
      <alignment horizontal="center" vertical="center"/>
    </xf>
    <xf numFmtId="0" fontId="28" fillId="0" borderId="23" xfId="0" applyFont="1" applyBorder="1" applyAlignment="1">
      <alignment horizontal="center" vertical="center"/>
    </xf>
    <xf numFmtId="0" fontId="158" fillId="0" borderId="0" xfId="0" applyFont="1"/>
    <xf numFmtId="0" fontId="2" fillId="14" borderId="0" xfId="0" applyFont="1" applyFill="1"/>
    <xf numFmtId="0" fontId="81" fillId="0" borderId="0" xfId="0" applyFont="1"/>
    <xf numFmtId="0" fontId="159" fillId="0" borderId="0" xfId="0" applyFont="1"/>
    <xf numFmtId="0" fontId="13" fillId="28" borderId="0" xfId="0" applyFont="1" applyFill="1"/>
    <xf numFmtId="0" fontId="4" fillId="0" borderId="0" xfId="0" applyFont="1"/>
    <xf numFmtId="0" fontId="71" fillId="0" borderId="0" xfId="0" applyFont="1"/>
    <xf numFmtId="0" fontId="51" fillId="0" borderId="0" xfId="0" applyFont="1"/>
    <xf numFmtId="0" fontId="35" fillId="0" borderId="0" xfId="0" applyFont="1" applyAlignment="1">
      <alignment horizontal="left" indent="1"/>
    </xf>
    <xf numFmtId="0" fontId="35" fillId="0" borderId="0" xfId="0" applyFont="1" applyAlignment="1">
      <alignment horizontal="center" vertical="center"/>
    </xf>
    <xf numFmtId="0" fontId="72" fillId="0" borderId="0" xfId="0" applyFont="1" applyAlignment="1">
      <alignment horizontal="left" indent="1"/>
    </xf>
    <xf numFmtId="0" fontId="33" fillId="0" borderId="0" xfId="0" quotePrefix="1" applyFont="1" applyAlignment="1">
      <alignment vertical="center"/>
    </xf>
    <xf numFmtId="0" fontId="33" fillId="0" borderId="0" xfId="0" quotePrefix="1" applyFont="1"/>
    <xf numFmtId="0" fontId="33" fillId="0" borderId="0" xfId="0" quotePrefix="1" applyFont="1" applyAlignment="1">
      <alignment vertical="center" wrapText="1"/>
    </xf>
    <xf numFmtId="0" fontId="33" fillId="0" borderId="0" xfId="0" quotePrefix="1" applyFont="1" applyAlignment="1">
      <alignment wrapText="1"/>
    </xf>
    <xf numFmtId="0" fontId="33" fillId="0" borderId="0" xfId="0" applyFont="1" applyAlignment="1">
      <alignment horizontal="left" indent="1"/>
    </xf>
    <xf numFmtId="0" fontId="87" fillId="0" borderId="0" xfId="0" quotePrefix="1" applyFont="1" applyAlignment="1">
      <alignment vertical="center"/>
    </xf>
    <xf numFmtId="0" fontId="73" fillId="0" borderId="0" xfId="0" applyFont="1" applyAlignment="1">
      <alignment horizontal="left" indent="1"/>
    </xf>
    <xf numFmtId="0" fontId="35" fillId="0" borderId="0" xfId="0" applyFont="1"/>
    <xf numFmtId="0" fontId="72" fillId="0" borderId="0" xfId="0" applyFont="1"/>
    <xf numFmtId="0" fontId="160" fillId="0" borderId="0" xfId="0" applyFont="1"/>
    <xf numFmtId="0" fontId="123" fillId="0" borderId="0" xfId="0" applyFont="1" applyAlignment="1">
      <alignment horizontal="left"/>
    </xf>
    <xf numFmtId="0" fontId="161" fillId="0" borderId="0" xfId="0" applyFont="1" applyAlignment="1">
      <alignment horizontal="justify" vertical="center" readingOrder="1"/>
    </xf>
    <xf numFmtId="0" fontId="162" fillId="0" borderId="0" xfId="0" applyFont="1"/>
    <xf numFmtId="0" fontId="162" fillId="0" borderId="0" xfId="0" applyFont="1" applyAlignment="1">
      <alignment horizontal="right"/>
    </xf>
    <xf numFmtId="0" fontId="84" fillId="46" borderId="37" xfId="0" applyFont="1" applyFill="1" applyBorder="1" applyAlignment="1">
      <alignment vertical="center" textRotation="255"/>
    </xf>
    <xf numFmtId="0" fontId="84" fillId="46" borderId="37" xfId="0" applyFont="1" applyFill="1" applyBorder="1" applyAlignment="1">
      <alignment horizontal="center" vertical="center" textRotation="255"/>
    </xf>
    <xf numFmtId="0" fontId="39" fillId="46" borderId="2" xfId="0" applyFont="1" applyFill="1" applyBorder="1" applyAlignment="1">
      <alignment horizontal="center" vertical="center" wrapText="1"/>
    </xf>
    <xf numFmtId="0" fontId="2" fillId="46" borderId="10" xfId="0" applyFont="1" applyFill="1" applyBorder="1" applyAlignment="1">
      <alignment horizontal="center" vertical="center" wrapText="1"/>
    </xf>
    <xf numFmtId="0" fontId="0" fillId="46" borderId="46" xfId="0" applyFill="1" applyBorder="1" applyAlignment="1">
      <alignment vertical="center" wrapText="1"/>
    </xf>
    <xf numFmtId="0" fontId="0" fillId="46" borderId="12" xfId="0" applyFill="1" applyBorder="1" applyAlignment="1">
      <alignment horizontal="center" vertical="center"/>
    </xf>
    <xf numFmtId="0" fontId="0" fillId="46" borderId="2" xfId="0" applyFill="1" applyBorder="1" applyAlignment="1">
      <alignment horizontal="center" vertical="center"/>
    </xf>
    <xf numFmtId="0" fontId="0" fillId="46" borderId="0" xfId="0" applyFill="1" applyAlignment="1">
      <alignment horizontal="center" vertical="center"/>
    </xf>
    <xf numFmtId="0" fontId="0" fillId="46" borderId="0" xfId="0" applyFill="1"/>
    <xf numFmtId="0" fontId="84" fillId="46" borderId="0" xfId="0" applyFont="1" applyFill="1" applyAlignment="1">
      <alignment horizontal="center" vertical="center" textRotation="255"/>
    </xf>
    <xf numFmtId="10" fontId="0" fillId="46" borderId="12" xfId="0" applyNumberFormat="1" applyFill="1" applyBorder="1" applyAlignment="1">
      <alignment horizontal="center" vertical="center"/>
    </xf>
    <xf numFmtId="0" fontId="46" fillId="46" borderId="2" xfId="4" applyFill="1" applyBorder="1" applyAlignment="1">
      <alignment horizontal="center" vertical="center" wrapText="1"/>
    </xf>
    <xf numFmtId="10" fontId="0" fillId="46" borderId="2" xfId="0" applyNumberFormat="1" applyFill="1" applyBorder="1" applyAlignment="1">
      <alignment horizontal="center" vertical="center"/>
    </xf>
    <xf numFmtId="0" fontId="84" fillId="46" borderId="38" xfId="0" applyFont="1" applyFill="1" applyBorder="1" applyAlignment="1">
      <alignment vertical="center" textRotation="255"/>
    </xf>
    <xf numFmtId="0" fontId="2" fillId="46" borderId="2" xfId="0" applyFont="1" applyFill="1" applyBorder="1" applyAlignment="1">
      <alignment horizontal="center" vertical="center" wrapText="1"/>
    </xf>
    <xf numFmtId="0" fontId="0" fillId="46" borderId="12" xfId="0" applyFill="1" applyBorder="1" applyAlignment="1">
      <alignment vertical="center" wrapText="1"/>
    </xf>
    <xf numFmtId="9" fontId="0" fillId="46" borderId="2" xfId="0" applyNumberFormat="1" applyFill="1" applyBorder="1" applyAlignment="1">
      <alignment horizontal="center" vertical="center"/>
    </xf>
    <xf numFmtId="166" fontId="43" fillId="0" borderId="2" xfId="0" applyNumberFormat="1" applyFont="1" applyBorder="1"/>
    <xf numFmtId="166" fontId="70" fillId="6" borderId="2" xfId="0" applyNumberFormat="1" applyFont="1" applyFill="1" applyBorder="1"/>
    <xf numFmtId="166" fontId="70" fillId="6" borderId="10" xfId="0" applyNumberFormat="1" applyFont="1" applyFill="1" applyBorder="1"/>
    <xf numFmtId="0" fontId="163" fillId="0" borderId="2" xfId="0" applyFont="1" applyBorder="1" applyAlignment="1">
      <alignment horizontal="center" vertical="center" wrapText="1" readingOrder="1"/>
    </xf>
    <xf numFmtId="0" fontId="164" fillId="0" borderId="2" xfId="0" applyFont="1" applyBorder="1" applyAlignment="1">
      <alignment horizontal="center" vertical="center" wrapText="1" readingOrder="1"/>
    </xf>
    <xf numFmtId="0" fontId="165" fillId="0" borderId="2" xfId="0" applyFont="1" applyBorder="1" applyAlignment="1">
      <alignment horizontal="center" vertical="center" wrapText="1" readingOrder="1"/>
    </xf>
    <xf numFmtId="0" fontId="166" fillId="0" borderId="2" xfId="0" applyFont="1" applyBorder="1" applyAlignment="1">
      <alignment horizontal="center" vertical="center" wrapText="1" readingOrder="1"/>
    </xf>
    <xf numFmtId="0" fontId="163" fillId="0" borderId="2" xfId="0" applyFont="1" applyBorder="1" applyAlignment="1">
      <alignment horizontal="left" vertical="center" wrapText="1" readingOrder="1"/>
    </xf>
    <xf numFmtId="0" fontId="167" fillId="0" borderId="2" xfId="0" applyFont="1" applyBorder="1" applyAlignment="1">
      <alignment horizontal="left" vertical="center" wrapText="1" readingOrder="1"/>
    </xf>
    <xf numFmtId="0" fontId="168" fillId="0" borderId="0" xfId="0" applyFont="1" applyAlignment="1">
      <alignment horizontal="center"/>
    </xf>
    <xf numFmtId="2" fontId="43" fillId="0" borderId="2" xfId="0" applyNumberFormat="1" applyFont="1" applyBorder="1"/>
    <xf numFmtId="164" fontId="8" fillId="2" borderId="2" xfId="1" applyNumberFormat="1" applyFont="1" applyFill="1" applyBorder="1" applyAlignment="1">
      <alignment horizontal="center"/>
    </xf>
    <xf numFmtId="0" fontId="0" fillId="8" borderId="0" xfId="0" applyFill="1" applyAlignment="1">
      <alignment horizontal="center" wrapText="1"/>
    </xf>
    <xf numFmtId="0" fontId="132" fillId="47" borderId="6" xfId="0" applyFont="1" applyFill="1" applyBorder="1" applyAlignment="1">
      <alignment horizontal="center"/>
    </xf>
    <xf numFmtId="0" fontId="132" fillId="47" borderId="7" xfId="0" applyFont="1" applyFill="1" applyBorder="1" applyAlignment="1">
      <alignment horizontal="center"/>
    </xf>
    <xf numFmtId="0" fontId="132" fillId="47" borderId="6" xfId="0" applyFont="1" applyFill="1" applyBorder="1" applyAlignment="1">
      <alignment horizontal="center" vertical="center"/>
    </xf>
    <xf numFmtId="0" fontId="0" fillId="15" borderId="0" xfId="0" applyFill="1" applyAlignment="1">
      <alignment vertical="center"/>
    </xf>
    <xf numFmtId="0" fontId="2" fillId="6" borderId="11" xfId="0" applyFont="1" applyFill="1" applyBorder="1" applyAlignment="1">
      <alignment horizontal="center" vertical="center"/>
    </xf>
    <xf numFmtId="0" fontId="0" fillId="15" borderId="0" xfId="0" applyFill="1" applyAlignment="1">
      <alignment horizontal="center" vertical="center"/>
    </xf>
    <xf numFmtId="0" fontId="96" fillId="0" borderId="11" xfId="0" applyFont="1" applyBorder="1" applyAlignment="1">
      <alignment vertical="center"/>
    </xf>
    <xf numFmtId="0" fontId="132" fillId="42" borderId="29" xfId="0" applyFont="1" applyFill="1" applyBorder="1" applyAlignment="1">
      <alignment horizontal="center" vertical="center"/>
    </xf>
    <xf numFmtId="0" fontId="28" fillId="47" borderId="5" xfId="0" applyFont="1" applyFill="1" applyBorder="1" applyAlignment="1">
      <alignment horizontal="left" vertical="center"/>
    </xf>
    <xf numFmtId="0" fontId="2" fillId="6" borderId="10" xfId="0" applyFont="1" applyFill="1" applyBorder="1" applyAlignment="1">
      <alignment vertical="center"/>
    </xf>
    <xf numFmtId="0" fontId="0" fillId="0" borderId="8" xfId="0" applyBorder="1" applyAlignment="1">
      <alignment vertical="center"/>
    </xf>
    <xf numFmtId="0" fontId="0" fillId="44" borderId="10" xfId="0" applyFill="1" applyBorder="1" applyAlignment="1">
      <alignment vertical="center"/>
    </xf>
    <xf numFmtId="0" fontId="0" fillId="44" borderId="11" xfId="0" applyFill="1" applyBorder="1"/>
    <xf numFmtId="0" fontId="0" fillId="44" borderId="11" xfId="0" applyFill="1" applyBorder="1" applyAlignment="1">
      <alignment horizontal="center" vertical="center"/>
    </xf>
    <xf numFmtId="0" fontId="0" fillId="44" borderId="11" xfId="0" applyFill="1" applyBorder="1" applyAlignment="1">
      <alignment wrapText="1"/>
    </xf>
    <xf numFmtId="0" fontId="0" fillId="44" borderId="12" xfId="0" applyFill="1" applyBorder="1" applyAlignment="1">
      <alignment wrapText="1"/>
    </xf>
    <xf numFmtId="0" fontId="0" fillId="0" borderId="11" xfId="0" applyBorder="1" applyAlignment="1">
      <alignment horizontal="center" vertical="center" wrapText="1"/>
    </xf>
    <xf numFmtId="0" fontId="46" fillId="0" borderId="0" xfId="4" applyAlignment="1">
      <alignment wrapText="1"/>
    </xf>
    <xf numFmtId="0" fontId="46" fillId="0" borderId="12" xfId="4" applyBorder="1" applyAlignment="1">
      <alignment wrapText="1"/>
    </xf>
    <xf numFmtId="0" fontId="0" fillId="2" borderId="2" xfId="0" applyFill="1" applyBorder="1"/>
    <xf numFmtId="169" fontId="0" fillId="2" borderId="2" xfId="0" applyNumberFormat="1" applyFill="1" applyBorder="1"/>
    <xf numFmtId="0" fontId="2" fillId="26" borderId="2" xfId="0" applyFont="1" applyFill="1" applyBorder="1" applyAlignment="1">
      <alignment vertical="center"/>
    </xf>
    <xf numFmtId="168" fontId="17" fillId="26" borderId="2" xfId="3" applyNumberFormat="1" applyFont="1" applyFill="1" applyBorder="1" applyAlignment="1">
      <alignment horizontal="right" wrapText="1"/>
    </xf>
    <xf numFmtId="0" fontId="0" fillId="26" borderId="2" xfId="0" applyFill="1" applyBorder="1" applyAlignment="1">
      <alignment horizontal="left" vertical="center" indent="1"/>
    </xf>
    <xf numFmtId="168" fontId="17" fillId="26" borderId="2" xfId="3" applyNumberFormat="1" applyFont="1" applyFill="1" applyBorder="1"/>
    <xf numFmtId="168" fontId="0" fillId="0" borderId="2" xfId="3" applyNumberFormat="1" applyFont="1" applyFill="1" applyBorder="1"/>
    <xf numFmtId="165" fontId="17" fillId="0" borderId="2" xfId="0" applyNumberFormat="1" applyFont="1" applyBorder="1" applyAlignment="1">
      <alignment vertical="center"/>
    </xf>
    <xf numFmtId="0" fontId="7" fillId="0" borderId="2" xfId="0" applyFont="1" applyBorder="1" applyAlignment="1">
      <alignment vertical="center"/>
    </xf>
    <xf numFmtId="165" fontId="7" fillId="0" borderId="2" xfId="0" applyNumberFormat="1" applyFont="1" applyBorder="1" applyAlignment="1">
      <alignment vertical="center"/>
    </xf>
    <xf numFmtId="165" fontId="7" fillId="0" borderId="0" xfId="0" applyNumberFormat="1" applyFont="1" applyAlignment="1">
      <alignment vertical="center"/>
    </xf>
    <xf numFmtId="0" fontId="46" fillId="0" borderId="12" xfId="4" applyBorder="1" applyAlignment="1"/>
    <xf numFmtId="0" fontId="55" fillId="0" borderId="1" xfId="0" applyFont="1" applyBorder="1"/>
    <xf numFmtId="0" fontId="55" fillId="0" borderId="11" xfId="0" applyFont="1" applyBorder="1"/>
    <xf numFmtId="0" fontId="171" fillId="0" borderId="0" xfId="0" applyFont="1"/>
    <xf numFmtId="9" fontId="55" fillId="48" borderId="11" xfId="0" applyNumberFormat="1" applyFont="1" applyFill="1" applyBorder="1" applyAlignment="1">
      <alignment horizontal="right"/>
    </xf>
    <xf numFmtId="0" fontId="2" fillId="49" borderId="11" xfId="0" applyFont="1" applyFill="1" applyBorder="1"/>
    <xf numFmtId="0" fontId="2" fillId="49" borderId="11" xfId="0" applyFont="1" applyFill="1" applyBorder="1" applyAlignment="1">
      <alignment horizontal="center" vertical="center"/>
    </xf>
    <xf numFmtId="0" fontId="0" fillId="49" borderId="11" xfId="0" applyFill="1" applyBorder="1" applyAlignment="1">
      <alignment wrapText="1"/>
    </xf>
    <xf numFmtId="0" fontId="0" fillId="49" borderId="12" xfId="0" applyFill="1" applyBorder="1" applyAlignment="1">
      <alignment wrapText="1"/>
    </xf>
    <xf numFmtId="164" fontId="15" fillId="3" borderId="2" xfId="1" applyNumberFormat="1" applyFont="1" applyFill="1" applyBorder="1" applyAlignment="1">
      <alignment horizontal="center" vertical="center"/>
    </xf>
    <xf numFmtId="0" fontId="132" fillId="42" borderId="29" xfId="0" applyFont="1" applyFill="1" applyBorder="1" applyAlignment="1">
      <alignment horizontal="center" vertical="center" wrapText="1"/>
    </xf>
    <xf numFmtId="0" fontId="0" fillId="0" borderId="1" xfId="0" applyBorder="1" applyAlignment="1">
      <alignment horizontal="center" wrapText="1"/>
    </xf>
    <xf numFmtId="0" fontId="0" fillId="15" borderId="0" xfId="0" applyFill="1" applyAlignment="1">
      <alignment horizontal="center" wrapText="1"/>
    </xf>
    <xf numFmtId="0" fontId="0" fillId="6" borderId="11" xfId="0" applyFill="1" applyBorder="1" applyAlignment="1">
      <alignment horizontal="center" wrapText="1"/>
    </xf>
    <xf numFmtId="0" fontId="0" fillId="0" borderId="11" xfId="0" applyBorder="1" applyAlignment="1">
      <alignment horizontal="center" wrapText="1"/>
    </xf>
    <xf numFmtId="0" fontId="0" fillId="0" borderId="0" xfId="0" applyAlignment="1">
      <alignment horizontal="center" wrapText="1"/>
    </xf>
    <xf numFmtId="0" fontId="0" fillId="44" borderId="11" xfId="0" applyFill="1" applyBorder="1" applyAlignment="1">
      <alignment horizontal="center" wrapText="1"/>
    </xf>
    <xf numFmtId="0" fontId="0" fillId="49" borderId="11" xfId="0" applyFill="1" applyBorder="1" applyAlignment="1">
      <alignment horizontal="center" wrapText="1"/>
    </xf>
    <xf numFmtId="0" fontId="0" fillId="11" borderId="11" xfId="0" applyFill="1" applyBorder="1" applyAlignment="1">
      <alignment horizontal="center" vertical="center" wrapText="1"/>
    </xf>
    <xf numFmtId="0" fontId="0" fillId="0" borderId="11" xfId="0" applyBorder="1" applyAlignment="1">
      <alignment horizontal="left" vertical="center"/>
    </xf>
    <xf numFmtId="0" fontId="17" fillId="0" borderId="2" xfId="0" applyFont="1" applyBorder="1" applyAlignment="1">
      <alignment horizontal="center" vertical="center" textRotation="90" wrapText="1"/>
    </xf>
    <xf numFmtId="0" fontId="116" fillId="2" borderId="0" xfId="0" applyFont="1" applyFill="1" applyAlignment="1">
      <alignment horizontal="center" vertical="center"/>
    </xf>
    <xf numFmtId="0" fontId="34" fillId="8" borderId="0" xfId="0" applyFont="1" applyFill="1" applyAlignment="1">
      <alignment horizontal="center"/>
    </xf>
    <xf numFmtId="0" fontId="116" fillId="2" borderId="0" xfId="0" applyFont="1" applyFill="1" applyAlignment="1">
      <alignment horizontal="center"/>
    </xf>
    <xf numFmtId="0" fontId="0" fillId="0" borderId="1" xfId="0" applyBorder="1" applyAlignment="1">
      <alignment vertical="center"/>
    </xf>
    <xf numFmtId="0" fontId="0" fillId="0" borderId="9" xfId="0" applyBorder="1" applyAlignment="1">
      <alignment horizontal="center" vertical="center" wrapText="1"/>
    </xf>
    <xf numFmtId="165" fontId="0" fillId="0" borderId="0" xfId="0" applyNumberFormat="1"/>
    <xf numFmtId="0" fontId="172" fillId="0" borderId="0" xfId="0" applyFont="1"/>
    <xf numFmtId="0" fontId="173" fillId="0" borderId="0" xfId="0" applyFont="1"/>
    <xf numFmtId="0" fontId="174" fillId="0" borderId="0" xfId="0" applyFont="1"/>
    <xf numFmtId="0" fontId="175" fillId="0" borderId="0" xfId="0" applyFont="1"/>
    <xf numFmtId="0" fontId="176" fillId="0" borderId="0" xfId="0" applyFont="1"/>
    <xf numFmtId="9" fontId="176" fillId="0" borderId="0" xfId="0" applyNumberFormat="1" applyFont="1" applyAlignment="1">
      <alignment horizontal="left"/>
    </xf>
    <xf numFmtId="0" fontId="176" fillId="0" borderId="0" xfId="0" applyFont="1" applyAlignment="1">
      <alignment horizontal="left"/>
    </xf>
    <xf numFmtId="0" fontId="177" fillId="0" borderId="0" xfId="0" applyFont="1" applyAlignment="1">
      <alignment horizontal="center"/>
    </xf>
    <xf numFmtId="0" fontId="178" fillId="0" borderId="2" xfId="0" applyFont="1" applyBorder="1" applyAlignment="1">
      <alignment horizontal="center" vertical="center"/>
    </xf>
    <xf numFmtId="0" fontId="178" fillId="0" borderId="2" xfId="0" applyFont="1" applyBorder="1" applyAlignment="1">
      <alignment horizontal="center" vertical="center" wrapText="1"/>
    </xf>
    <xf numFmtId="0" fontId="178" fillId="0" borderId="2" xfId="0" applyFont="1" applyBorder="1" applyAlignment="1">
      <alignment vertical="center"/>
    </xf>
    <xf numFmtId="0" fontId="172" fillId="0" borderId="2" xfId="0" applyFont="1" applyBorder="1" applyAlignment="1">
      <alignment horizontal="center" vertical="center"/>
    </xf>
    <xf numFmtId="0" fontId="178" fillId="0" borderId="0" xfId="0" applyFont="1"/>
    <xf numFmtId="9" fontId="178" fillId="0" borderId="2" xfId="0" applyNumberFormat="1" applyFont="1" applyBorder="1" applyAlignment="1">
      <alignment horizontal="center" vertical="center"/>
    </xf>
    <xf numFmtId="174" fontId="178" fillId="0" borderId="2" xfId="0" applyNumberFormat="1" applyFont="1" applyBorder="1" applyAlignment="1">
      <alignment horizontal="center" vertical="center"/>
    </xf>
    <xf numFmtId="183" fontId="178" fillId="0" borderId="2" xfId="0" applyNumberFormat="1" applyFont="1" applyBorder="1" applyAlignment="1">
      <alignment horizontal="center" vertical="center"/>
    </xf>
    <xf numFmtId="0" fontId="179" fillId="0" borderId="0" xfId="0" applyFont="1"/>
    <xf numFmtId="0" fontId="172" fillId="0" borderId="3" xfId="0" applyFont="1" applyBorder="1"/>
    <xf numFmtId="0" fontId="180" fillId="0" borderId="0" xfId="0" applyFont="1"/>
    <xf numFmtId="0" fontId="172" fillId="0" borderId="29" xfId="0" applyFont="1" applyBorder="1" applyAlignment="1">
      <alignment horizontal="center" vertical="center"/>
    </xf>
    <xf numFmtId="0" fontId="177" fillId="11" borderId="0" xfId="0" applyFont="1" applyFill="1" applyAlignment="1">
      <alignment horizontal="center"/>
    </xf>
    <xf numFmtId="0" fontId="177" fillId="0" borderId="0" xfId="0" applyFont="1"/>
    <xf numFmtId="0" fontId="177" fillId="5" borderId="0" xfId="0" applyFont="1" applyFill="1" applyAlignment="1">
      <alignment horizontal="center"/>
    </xf>
    <xf numFmtId="166" fontId="0" fillId="6" borderId="0" xfId="0" applyNumberFormat="1" applyFill="1"/>
    <xf numFmtId="0" fontId="0" fillId="0" borderId="0" xfId="0" applyAlignment="1">
      <alignment horizontal="left" vertical="center"/>
    </xf>
    <xf numFmtId="2" fontId="0" fillId="6" borderId="0" xfId="0" applyNumberFormat="1" applyFill="1"/>
    <xf numFmtId="0" fontId="75" fillId="0" borderId="24" xfId="0" applyFont="1" applyBorder="1"/>
    <xf numFmtId="2" fontId="2" fillId="0" borderId="0" xfId="0" applyNumberFormat="1" applyFont="1"/>
    <xf numFmtId="0" fontId="172" fillId="0" borderId="0" xfId="0" applyFont="1" applyAlignment="1">
      <alignment horizontal="center" vertical="center"/>
    </xf>
    <xf numFmtId="0" fontId="178" fillId="0" borderId="0" xfId="0" applyFont="1" applyAlignment="1">
      <alignment vertical="center"/>
    </xf>
    <xf numFmtId="174" fontId="178" fillId="0" borderId="0" xfId="0" applyNumberFormat="1" applyFont="1" applyAlignment="1">
      <alignment horizontal="center" vertical="center"/>
    </xf>
    <xf numFmtId="0" fontId="172" fillId="2" borderId="2" xfId="0" applyFont="1" applyFill="1" applyBorder="1" applyAlignment="1">
      <alignment horizontal="center" vertical="center" textRotation="90" wrapText="1"/>
    </xf>
    <xf numFmtId="0" fontId="172" fillId="0" borderId="2" xfId="0" applyFont="1" applyBorder="1" applyAlignment="1">
      <alignment horizontal="center" vertical="center" wrapText="1"/>
    </xf>
    <xf numFmtId="0" fontId="172" fillId="0" borderId="0" xfId="0" applyFont="1" applyAlignment="1">
      <alignment vertical="center"/>
    </xf>
    <xf numFmtId="0" fontId="172" fillId="0" borderId="2" xfId="0" applyFont="1" applyBorder="1" applyAlignment="1">
      <alignment vertical="center"/>
    </xf>
    <xf numFmtId="0" fontId="172" fillId="15" borderId="0" xfId="0" applyFont="1" applyFill="1" applyAlignment="1">
      <alignment vertical="center" textRotation="90" wrapText="1"/>
    </xf>
    <xf numFmtId="183" fontId="178" fillId="0" borderId="0" xfId="0" applyNumberFormat="1" applyFont="1" applyAlignment="1">
      <alignment horizontal="center" vertical="center"/>
    </xf>
    <xf numFmtId="0" fontId="178" fillId="4" borderId="2" xfId="0" applyFont="1" applyFill="1" applyBorder="1" applyAlignment="1">
      <alignment horizontal="center" vertical="center" wrapText="1"/>
    </xf>
    <xf numFmtId="0" fontId="37" fillId="2" borderId="0" xfId="0" applyFont="1" applyFill="1" applyAlignment="1">
      <alignment horizontal="center"/>
    </xf>
    <xf numFmtId="1" fontId="172" fillId="0" borderId="0" xfId="0" applyNumberFormat="1" applyFont="1"/>
    <xf numFmtId="166" fontId="172" fillId="0" borderId="0" xfId="0" applyNumberFormat="1" applyFont="1"/>
    <xf numFmtId="166" fontId="2" fillId="0" borderId="0" xfId="0" applyNumberFormat="1" applyFont="1"/>
    <xf numFmtId="1" fontId="0" fillId="0" borderId="0" xfId="0" applyNumberFormat="1"/>
    <xf numFmtId="167" fontId="0" fillId="0" borderId="0" xfId="3" applyNumberFormat="1" applyFont="1" applyBorder="1"/>
    <xf numFmtId="0" fontId="0" fillId="8" borderId="0" xfId="0" applyFill="1"/>
    <xf numFmtId="0" fontId="0" fillId="2" borderId="24" xfId="0" applyFill="1" applyBorder="1"/>
    <xf numFmtId="2" fontId="2" fillId="2" borderId="0" xfId="0" applyNumberFormat="1" applyFont="1" applyFill="1"/>
    <xf numFmtId="167" fontId="13" fillId="0" borderId="0" xfId="3" applyNumberFormat="1" applyFont="1" applyBorder="1"/>
    <xf numFmtId="2" fontId="0" fillId="8" borderId="0" xfId="0" applyNumberFormat="1" applyFill="1"/>
    <xf numFmtId="2" fontId="2" fillId="2" borderId="0" xfId="0" applyNumberFormat="1" applyFont="1" applyFill="1" applyAlignment="1">
      <alignment horizontal="right"/>
    </xf>
    <xf numFmtId="166" fontId="7" fillId="0" borderId="0" xfId="0" applyNumberFormat="1" applyFont="1"/>
    <xf numFmtId="2" fontId="7" fillId="0" borderId="0" xfId="0" applyNumberFormat="1" applyFont="1"/>
    <xf numFmtId="166" fontId="0" fillId="8" borderId="0" xfId="0" applyNumberFormat="1" applyFill="1" applyAlignment="1">
      <alignment horizontal="right"/>
    </xf>
    <xf numFmtId="166" fontId="15" fillId="41" borderId="44" xfId="0" quotePrefix="1" applyNumberFormat="1" applyFont="1" applyFill="1" applyBorder="1" applyAlignment="1">
      <alignment horizontal="center" vertical="center"/>
    </xf>
    <xf numFmtId="166" fontId="132" fillId="26" borderId="0" xfId="0" applyNumberFormat="1" applyFont="1" applyFill="1" applyAlignment="1">
      <alignment horizontal="center"/>
    </xf>
    <xf numFmtId="0" fontId="17" fillId="0" borderId="30" xfId="0" applyFont="1" applyBorder="1" applyAlignment="1">
      <alignment horizontal="center" vertical="center" textRotation="90" wrapText="1"/>
    </xf>
    <xf numFmtId="0" fontId="43" fillId="5" borderId="11" xfId="0" applyFont="1" applyFill="1" applyBorder="1"/>
    <xf numFmtId="0" fontId="2" fillId="4" borderId="0" xfId="0" applyFont="1" applyFill="1"/>
    <xf numFmtId="2" fontId="69" fillId="6" borderId="2" xfId="0" applyNumberFormat="1" applyFont="1" applyFill="1" applyBorder="1"/>
    <xf numFmtId="17" fontId="2" fillId="4" borderId="0" xfId="0" applyNumberFormat="1" applyFont="1" applyFill="1"/>
    <xf numFmtId="0" fontId="8" fillId="16" borderId="0" xfId="0" applyFont="1" applyFill="1" applyAlignment="1">
      <alignment horizontal="right"/>
    </xf>
    <xf numFmtId="164" fontId="0" fillId="4" borderId="0" xfId="1" applyNumberFormat="1" applyFont="1" applyFill="1"/>
    <xf numFmtId="0" fontId="172" fillId="0" borderId="29" xfId="0" applyFont="1" applyBorder="1" applyAlignment="1">
      <alignment horizontal="center" vertical="center" wrapText="1"/>
    </xf>
    <xf numFmtId="0" fontId="178" fillId="0" borderId="0" xfId="0" applyFont="1" applyAlignment="1">
      <alignment horizontal="center" vertical="center" wrapText="1"/>
    </xf>
    <xf numFmtId="9" fontId="178" fillId="0" borderId="0" xfId="0" applyNumberFormat="1" applyFont="1" applyAlignment="1">
      <alignment horizontal="center" vertical="center"/>
    </xf>
    <xf numFmtId="0" fontId="178" fillId="0" borderId="0" xfId="0" applyFont="1" applyAlignment="1">
      <alignment horizontal="center" vertical="center"/>
    </xf>
    <xf numFmtId="0" fontId="178" fillId="11" borderId="2" xfId="0" applyFont="1" applyFill="1" applyBorder="1" applyAlignment="1">
      <alignment horizontal="center" vertical="center"/>
    </xf>
    <xf numFmtId="183" fontId="178" fillId="11" borderId="2" xfId="0" applyNumberFormat="1" applyFont="1" applyFill="1" applyBorder="1" applyAlignment="1">
      <alignment horizontal="center" vertical="center"/>
    </xf>
    <xf numFmtId="0" fontId="180" fillId="0" borderId="2" xfId="0" applyFont="1" applyBorder="1" applyAlignment="1">
      <alignment vertical="center"/>
    </xf>
    <xf numFmtId="166" fontId="178" fillId="0" borderId="2" xfId="0" applyNumberFormat="1" applyFont="1" applyBorder="1" applyAlignment="1">
      <alignment horizontal="center" vertical="center"/>
    </xf>
    <xf numFmtId="174" fontId="2" fillId="16" borderId="0" xfId="2" applyNumberFormat="1" applyFont="1" applyFill="1"/>
    <xf numFmtId="164" fontId="15" fillId="12" borderId="0" xfId="1" applyNumberFormat="1" applyFont="1" applyFill="1"/>
    <xf numFmtId="166" fontId="2" fillId="2" borderId="0" xfId="0" applyNumberFormat="1" applyFont="1" applyFill="1" applyAlignment="1">
      <alignment horizontal="right"/>
    </xf>
    <xf numFmtId="0" fontId="144" fillId="50" borderId="39" xfId="0" applyFont="1" applyFill="1" applyBorder="1"/>
    <xf numFmtId="6" fontId="13" fillId="0" borderId="0" xfId="3" applyNumberFormat="1" applyFont="1" applyBorder="1"/>
    <xf numFmtId="0" fontId="2" fillId="0" borderId="24" xfId="0" applyFont="1" applyBorder="1"/>
    <xf numFmtId="9" fontId="43" fillId="7" borderId="0" xfId="2" applyFont="1" applyFill="1" applyBorder="1" applyAlignment="1">
      <alignment horizontal="center" vertical="center"/>
    </xf>
    <xf numFmtId="9" fontId="120" fillId="13" borderId="0" xfId="2" applyFont="1" applyFill="1" applyBorder="1" applyAlignment="1">
      <alignment horizontal="center" vertical="center"/>
    </xf>
    <xf numFmtId="0" fontId="43" fillId="11" borderId="0" xfId="0" applyFont="1" applyFill="1"/>
    <xf numFmtId="0" fontId="120" fillId="0" borderId="0" xfId="0" applyFont="1" applyAlignment="1">
      <alignment horizontal="center" vertical="center"/>
    </xf>
    <xf numFmtId="0" fontId="36" fillId="11" borderId="0" xfId="0" applyFont="1" applyFill="1" applyAlignment="1">
      <alignment horizontal="center" vertical="center" wrapText="1"/>
    </xf>
    <xf numFmtId="0" fontId="40" fillId="11" borderId="0" xfId="0" applyFont="1" applyFill="1"/>
    <xf numFmtId="9" fontId="120" fillId="0" borderId="0" xfId="2" applyFont="1" applyFill="1" applyBorder="1" applyAlignment="1">
      <alignment horizontal="center" vertical="center"/>
    </xf>
    <xf numFmtId="0" fontId="70" fillId="6" borderId="0" xfId="0" applyFont="1" applyFill="1"/>
    <xf numFmtId="10" fontId="0" fillId="0" borderId="0" xfId="2" applyNumberFormat="1" applyFont="1"/>
    <xf numFmtId="0" fontId="33" fillId="0" borderId="0" xfId="0" applyFont="1" applyAlignment="1">
      <alignment horizontal="left" vertical="center" wrapText="1"/>
    </xf>
    <xf numFmtId="0" fontId="187" fillId="0" borderId="0" xfId="0" applyFont="1" applyAlignment="1">
      <alignment horizontal="left" vertical="center" wrapText="1" readingOrder="1"/>
    </xf>
    <xf numFmtId="0" fontId="0" fillId="0" borderId="0" xfId="0" applyAlignment="1">
      <alignment horizontal="left" vertical="top" wrapText="1"/>
    </xf>
    <xf numFmtId="0" fontId="139" fillId="0" borderId="21" xfId="0" applyFont="1" applyBorder="1" applyAlignment="1">
      <alignment horizontal="left" wrapText="1"/>
    </xf>
    <xf numFmtId="0" fontId="139" fillId="0" borderId="22" xfId="0" applyFont="1" applyBorder="1" applyAlignment="1">
      <alignment horizontal="left" wrapText="1"/>
    </xf>
    <xf numFmtId="0" fontId="155" fillId="0" borderId="0" xfId="0" applyFont="1" applyAlignment="1">
      <alignment horizontal="left" vertical="center" wrapText="1"/>
    </xf>
    <xf numFmtId="0" fontId="0" fillId="0" borderId="5" xfId="0" applyBorder="1" applyAlignment="1">
      <alignment horizontal="center"/>
    </xf>
    <xf numFmtId="0" fontId="0" fillId="0" borderId="7" xfId="0" applyBorder="1" applyAlignment="1">
      <alignment horizontal="center"/>
    </xf>
    <xf numFmtId="0" fontId="116" fillId="2" borderId="0" xfId="0" applyFont="1" applyFill="1" applyAlignment="1">
      <alignment horizontal="center" vertical="center"/>
    </xf>
    <xf numFmtId="0" fontId="34" fillId="8" borderId="0" xfId="0" applyFont="1" applyFill="1" applyAlignment="1">
      <alignment horizontal="center"/>
    </xf>
    <xf numFmtId="0" fontId="116" fillId="2" borderId="0" xfId="0" applyFont="1" applyFill="1" applyAlignment="1">
      <alignment horizontal="center"/>
    </xf>
    <xf numFmtId="0" fontId="13" fillId="0" borderId="0" xfId="0" applyFont="1" applyAlignment="1">
      <alignment horizontal="left" vertical="center" wrapText="1"/>
    </xf>
    <xf numFmtId="0" fontId="17" fillId="0" borderId="2" xfId="0" applyFont="1" applyBorder="1" applyAlignment="1">
      <alignment horizontal="center" vertical="center" textRotation="90" wrapText="1"/>
    </xf>
    <xf numFmtId="0" fontId="17" fillId="0" borderId="29" xfId="0" applyFont="1" applyBorder="1" applyAlignment="1">
      <alignment horizontal="center" vertical="center" textRotation="90" wrapText="1"/>
    </xf>
    <xf numFmtId="0" fontId="17" fillId="0" borderId="31" xfId="0" applyFont="1" applyBorder="1" applyAlignment="1">
      <alignment horizontal="center" vertical="center" textRotation="90" wrapText="1"/>
    </xf>
    <xf numFmtId="0" fontId="17" fillId="0" borderId="2" xfId="0" applyFont="1" applyBorder="1" applyAlignment="1">
      <alignment horizontal="center" vertical="center" textRotation="90"/>
    </xf>
    <xf numFmtId="0" fontId="8" fillId="0" borderId="0" xfId="0" applyFont="1" applyAlignment="1">
      <alignment horizontal="left" vertical="center"/>
    </xf>
    <xf numFmtId="0" fontId="75" fillId="0" borderId="0" xfId="0" applyFont="1" applyAlignment="1">
      <alignment horizontal="left" vertical="center"/>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37" fillId="2" borderId="0" xfId="0" applyFont="1" applyFill="1" applyAlignment="1">
      <alignment horizontal="center"/>
    </xf>
    <xf numFmtId="0" fontId="100" fillId="0" borderId="3" xfId="0" applyFont="1" applyBorder="1" applyAlignment="1">
      <alignment horizontal="left" vertical="top" wrapText="1"/>
    </xf>
    <xf numFmtId="0" fontId="100" fillId="0" borderId="4" xfId="0" applyFont="1" applyBorder="1" applyAlignment="1">
      <alignment horizontal="left" vertical="top" wrapText="1"/>
    </xf>
    <xf numFmtId="0" fontId="37" fillId="2" borderId="0" xfId="0" applyFont="1" applyFill="1" applyAlignment="1">
      <alignment horizontal="center" vertical="center" textRotation="90" wrapText="1"/>
    </xf>
    <xf numFmtId="0" fontId="41" fillId="0" borderId="0" xfId="0" applyFont="1" applyAlignment="1">
      <alignment horizontal="center"/>
    </xf>
    <xf numFmtId="0" fontId="41" fillId="0" borderId="0" xfId="0" applyFont="1" applyAlignment="1">
      <alignment horizontal="center" vertical="center" textRotation="90" wrapText="1"/>
    </xf>
    <xf numFmtId="0" fontId="2" fillId="2" borderId="0" xfId="0" applyFont="1" applyFill="1" applyAlignment="1">
      <alignment horizontal="center" vertical="center" textRotation="90" wrapText="1"/>
    </xf>
    <xf numFmtId="0" fontId="2" fillId="2" borderId="0" xfId="0" applyFont="1" applyFill="1" applyAlignment="1">
      <alignment horizontal="center"/>
    </xf>
    <xf numFmtId="0" fontId="84" fillId="34" borderId="36" xfId="0" applyFont="1" applyFill="1" applyBorder="1" applyAlignment="1">
      <alignment horizontal="center" vertical="center" textRotation="255"/>
    </xf>
    <xf numFmtId="0" fontId="84" fillId="34" borderId="37" xfId="0" applyFont="1" applyFill="1" applyBorder="1" applyAlignment="1">
      <alignment horizontal="center" vertical="center" textRotation="255"/>
    </xf>
    <xf numFmtId="0" fontId="84" fillId="35" borderId="36" xfId="0" applyFont="1" applyFill="1" applyBorder="1" applyAlignment="1">
      <alignment horizontal="center" vertical="center" textRotation="255"/>
    </xf>
    <xf numFmtId="0" fontId="84" fillId="35" borderId="37" xfId="0" applyFont="1" applyFill="1" applyBorder="1" applyAlignment="1">
      <alignment horizontal="center" vertical="center" textRotation="255"/>
    </xf>
    <xf numFmtId="0" fontId="39" fillId="24" borderId="40" xfId="0" applyFont="1" applyFill="1" applyBorder="1" applyAlignment="1">
      <alignment horizontal="center" vertical="center" wrapText="1"/>
    </xf>
    <xf numFmtId="0" fontId="39" fillId="24" borderId="0" xfId="0" applyFont="1" applyFill="1" applyAlignment="1">
      <alignment horizontal="center" vertical="center" wrapText="1"/>
    </xf>
    <xf numFmtId="0" fontId="39" fillId="24" borderId="27" xfId="0" applyFont="1" applyFill="1" applyBorder="1" applyAlignment="1">
      <alignment horizontal="center" vertical="center" wrapText="1"/>
    </xf>
    <xf numFmtId="0" fontId="39" fillId="24" borderId="39" xfId="0" applyFont="1" applyFill="1" applyBorder="1" applyAlignment="1">
      <alignment horizontal="center" vertical="center" wrapText="1"/>
    </xf>
    <xf numFmtId="0" fontId="39" fillId="24" borderId="24" xfId="0" applyFont="1" applyFill="1" applyBorder="1" applyAlignment="1">
      <alignment horizontal="center" vertical="center" wrapText="1"/>
    </xf>
    <xf numFmtId="0" fontId="39" fillId="24" borderId="26" xfId="0" applyFont="1" applyFill="1" applyBorder="1" applyAlignment="1">
      <alignment horizontal="center" vertical="center" wrapText="1"/>
    </xf>
    <xf numFmtId="0" fontId="85" fillId="36" borderId="36" xfId="0" applyFont="1" applyFill="1" applyBorder="1" applyAlignment="1">
      <alignment horizontal="center" vertical="center" textRotation="255"/>
    </xf>
    <xf numFmtId="0" fontId="85" fillId="36" borderId="37" xfId="0" applyFont="1" applyFill="1" applyBorder="1" applyAlignment="1">
      <alignment horizontal="center" vertical="center" textRotation="255"/>
    </xf>
    <xf numFmtId="0" fontId="85" fillId="36" borderId="38" xfId="0" applyFont="1" applyFill="1" applyBorder="1" applyAlignment="1">
      <alignment horizontal="center" vertical="center" textRotation="255"/>
    </xf>
    <xf numFmtId="0" fontId="39" fillId="7" borderId="39" xfId="0" applyFont="1" applyFill="1" applyBorder="1" applyAlignment="1">
      <alignment horizontal="center" vertical="center" wrapText="1"/>
    </xf>
    <xf numFmtId="0" fontId="39" fillId="7" borderId="24" xfId="0" applyFont="1" applyFill="1" applyBorder="1" applyAlignment="1">
      <alignment horizontal="center" vertical="center" wrapText="1"/>
    </xf>
    <xf numFmtId="0" fontId="39" fillId="7" borderId="26" xfId="0" applyFont="1" applyFill="1" applyBorder="1" applyAlignment="1">
      <alignment horizontal="center" vertical="center" wrapText="1"/>
    </xf>
    <xf numFmtId="0" fontId="84" fillId="38" borderId="37" xfId="0" applyFont="1" applyFill="1" applyBorder="1" applyAlignment="1">
      <alignment horizontal="center" vertical="center" textRotation="255"/>
    </xf>
    <xf numFmtId="0" fontId="0" fillId="39" borderId="45" xfId="0" applyFill="1" applyBorder="1" applyAlignment="1">
      <alignment horizontal="center" vertical="center"/>
    </xf>
    <xf numFmtId="0" fontId="0" fillId="39" borderId="24" xfId="0" applyFill="1" applyBorder="1" applyAlignment="1">
      <alignment horizontal="center" vertical="center"/>
    </xf>
    <xf numFmtId="0" fontId="0" fillId="0" borderId="5" xfId="0" applyBorder="1" applyAlignment="1">
      <alignment horizontal="center" vertical="center"/>
    </xf>
    <xf numFmtId="0" fontId="0" fillId="0" borderId="3" xfId="0" applyBorder="1" applyAlignment="1">
      <alignment horizontal="center" vertical="center"/>
    </xf>
    <xf numFmtId="0" fontId="0" fillId="0" borderId="8" xfId="0" applyBorder="1" applyAlignment="1">
      <alignment horizontal="center" vertical="center"/>
    </xf>
    <xf numFmtId="0" fontId="84" fillId="22" borderId="39" xfId="0" applyFont="1" applyFill="1" applyBorder="1" applyAlignment="1">
      <alignment horizontal="center" vertical="center" textRotation="255"/>
    </xf>
    <xf numFmtId="0" fontId="84" fillId="22" borderId="24" xfId="0" applyFont="1" applyFill="1" applyBorder="1" applyAlignment="1">
      <alignment horizontal="center" vertical="center" textRotation="255"/>
    </xf>
    <xf numFmtId="0" fontId="39" fillId="37" borderId="10"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27" xfId="0" applyFont="1" applyFill="1" applyBorder="1" applyAlignment="1">
      <alignment horizontal="center" vertical="center" wrapText="1"/>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84" fillId="41" borderId="0" xfId="0" applyFont="1" applyFill="1" applyAlignment="1">
      <alignment horizontal="center" vertical="center" textRotation="255"/>
    </xf>
    <xf numFmtId="0" fontId="2" fillId="16" borderId="39" xfId="0" applyFont="1" applyFill="1" applyBorder="1" applyAlignment="1">
      <alignment horizontal="center" vertical="center"/>
    </xf>
    <xf numFmtId="0" fontId="2" fillId="16" borderId="24" xfId="0" applyFont="1" applyFill="1" applyBorder="1" applyAlignment="1">
      <alignment horizontal="center" vertical="center"/>
    </xf>
    <xf numFmtId="0" fontId="2" fillId="16" borderId="26" xfId="0" applyFont="1" applyFill="1" applyBorder="1" applyAlignment="1">
      <alignment horizontal="center" vertical="center"/>
    </xf>
    <xf numFmtId="0" fontId="0" fillId="0" borderId="2" xfId="0" applyBorder="1" applyAlignment="1">
      <alignment horizontal="center" vertical="center"/>
    </xf>
    <xf numFmtId="0" fontId="21" fillId="4" borderId="0" xfId="0" applyFont="1" applyFill="1" applyAlignment="1">
      <alignment horizontal="center"/>
    </xf>
    <xf numFmtId="0" fontId="2" fillId="13" borderId="0" xfId="0" applyFont="1" applyFill="1" applyAlignment="1">
      <alignment horizontal="center" vertical="center" textRotation="90"/>
    </xf>
    <xf numFmtId="0" fontId="0" fillId="17" borderId="2" xfId="0" applyFill="1" applyBorder="1" applyAlignment="1">
      <alignment horizontal="center"/>
    </xf>
    <xf numFmtId="0" fontId="0" fillId="9" borderId="2" xfId="0" applyFill="1" applyBorder="1" applyAlignment="1">
      <alignment horizontal="center"/>
    </xf>
    <xf numFmtId="0" fontId="0" fillId="0" borderId="2" xfId="0" applyBorder="1" applyAlignment="1">
      <alignment horizontal="center" vertical="center" wrapText="1"/>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0" xfId="0" applyAlignment="1">
      <alignment horizontal="center"/>
    </xf>
    <xf numFmtId="0" fontId="0" fillId="0" borderId="0" xfId="0" applyAlignment="1">
      <alignment horizontal="left" wrapText="1"/>
    </xf>
    <xf numFmtId="0" fontId="0" fillId="0" borderId="29" xfId="0" applyBorder="1" applyAlignment="1">
      <alignment horizontal="center" vertical="center" textRotation="45"/>
    </xf>
    <xf numFmtId="0" fontId="0" fillId="0" borderId="30" xfId="0" applyBorder="1" applyAlignment="1">
      <alignment horizontal="center" vertical="center" textRotation="45"/>
    </xf>
    <xf numFmtId="0" fontId="0" fillId="0" borderId="31" xfId="0" applyBorder="1" applyAlignment="1">
      <alignment horizontal="center" vertical="center" textRotation="45"/>
    </xf>
    <xf numFmtId="49" fontId="13" fillId="0" borderId="0" xfId="0" applyNumberFormat="1" applyFont="1" applyAlignment="1">
      <alignment horizontal="center" vertical="center" textRotation="90"/>
    </xf>
    <xf numFmtId="17" fontId="0" fillId="0" borderId="0" xfId="0" applyNumberFormat="1" applyAlignment="1">
      <alignment horizontal="center"/>
    </xf>
    <xf numFmtId="0" fontId="91" fillId="0" borderId="0" xfId="0" applyFont="1" applyAlignment="1">
      <alignment horizontal="left" vertical="center"/>
    </xf>
    <xf numFmtId="0" fontId="91" fillId="0" borderId="0" xfId="0" applyFont="1"/>
    <xf numFmtId="0" fontId="91" fillId="0" borderId="0" xfId="0" applyFont="1" applyAlignment="1">
      <alignment horizontal="left" vertical="center" wrapText="1"/>
    </xf>
    <xf numFmtId="0" fontId="6" fillId="0" borderId="0" xfId="0" applyFont="1" applyAlignment="1">
      <alignment horizontal="left" vertical="center" wrapText="1"/>
    </xf>
    <xf numFmtId="0" fontId="0" fillId="0" borderId="0" xfId="0" applyAlignment="1">
      <alignment horizontal="left" vertical="center" wrapText="1"/>
    </xf>
    <xf numFmtId="0" fontId="7" fillId="0" borderId="0" xfId="0" applyFont="1" applyAlignment="1">
      <alignment horizontal="left" wrapText="1"/>
    </xf>
    <xf numFmtId="0" fontId="8" fillId="0" borderId="10" xfId="0" applyFont="1" applyBorder="1" applyAlignment="1">
      <alignment horizontal="center"/>
    </xf>
    <xf numFmtId="0" fontId="8" fillId="0" borderId="12" xfId="0" applyFont="1" applyBorder="1" applyAlignment="1">
      <alignment horizontal="center"/>
    </xf>
    <xf numFmtId="0" fontId="8" fillId="0" borderId="10" xfId="0" applyFont="1" applyBorder="1" applyAlignment="1">
      <alignment horizontal="center" vertical="center"/>
    </xf>
    <xf numFmtId="0" fontId="8" fillId="0" borderId="12" xfId="0" applyFont="1" applyBorder="1" applyAlignment="1">
      <alignment horizontal="center" vertical="center"/>
    </xf>
    <xf numFmtId="0" fontId="54" fillId="16" borderId="32" xfId="0" applyFont="1" applyFill="1" applyBorder="1" applyAlignment="1">
      <alignment horizontal="center" vertical="center"/>
    </xf>
    <xf numFmtId="0" fontId="54" fillId="16" borderId="33" xfId="0" applyFont="1" applyFill="1" applyBorder="1" applyAlignment="1">
      <alignment horizontal="center" vertical="center"/>
    </xf>
    <xf numFmtId="0" fontId="54" fillId="16" borderId="34" xfId="0" applyFont="1" applyFill="1" applyBorder="1" applyAlignment="1">
      <alignment horizontal="center" vertical="center"/>
    </xf>
    <xf numFmtId="0" fontId="24" fillId="0" borderId="0" xfId="0" applyFont="1" applyAlignment="1">
      <alignment horizontal="center"/>
    </xf>
    <xf numFmtId="0" fontId="77" fillId="32" borderId="7" xfId="0" applyFont="1" applyFill="1" applyBorder="1" applyAlignment="1">
      <alignment horizontal="center" vertical="center"/>
    </xf>
    <xf numFmtId="0" fontId="77" fillId="32" borderId="4" xfId="0" applyFont="1" applyFill="1" applyBorder="1" applyAlignment="1">
      <alignment horizontal="center" vertical="center"/>
    </xf>
    <xf numFmtId="0" fontId="77" fillId="32" borderId="9" xfId="0" applyFont="1" applyFill="1" applyBorder="1" applyAlignment="1">
      <alignment horizontal="center" vertical="center"/>
    </xf>
    <xf numFmtId="0" fontId="0" fillId="29" borderId="2" xfId="0" applyFill="1" applyBorder="1" applyAlignment="1">
      <alignment horizontal="center" vertical="center"/>
    </xf>
    <xf numFmtId="0" fontId="77" fillId="3" borderId="2" xfId="0" applyFont="1" applyFill="1" applyBorder="1" applyAlignment="1">
      <alignment horizontal="center" vertical="center" wrapText="1"/>
    </xf>
    <xf numFmtId="0" fontId="77" fillId="30" borderId="6" xfId="0" applyFont="1" applyFill="1" applyBorder="1" applyAlignment="1">
      <alignment horizontal="center" vertical="center" wrapText="1"/>
    </xf>
    <xf numFmtId="0" fontId="77" fillId="30" borderId="0" xfId="0" applyFont="1" applyFill="1" applyAlignment="1">
      <alignment horizontal="center" vertical="center" wrapText="1"/>
    </xf>
    <xf numFmtId="0" fontId="77" fillId="26" borderId="2" xfId="0" applyFont="1" applyFill="1" applyBorder="1" applyAlignment="1">
      <alignment horizontal="center" vertical="center"/>
    </xf>
    <xf numFmtId="0" fontId="0" fillId="27" borderId="2" xfId="0" applyFill="1" applyBorder="1" applyAlignment="1">
      <alignment horizontal="center" vertical="center"/>
    </xf>
    <xf numFmtId="0" fontId="77" fillId="28" borderId="2" xfId="0" applyFont="1" applyFill="1" applyBorder="1" applyAlignment="1">
      <alignment horizontal="center" vertical="center" wrapText="1"/>
    </xf>
    <xf numFmtId="0" fontId="0" fillId="0" borderId="24" xfId="0" applyBorder="1" applyAlignment="1">
      <alignment horizontal="center" vertical="top"/>
    </xf>
    <xf numFmtId="0" fontId="8" fillId="0" borderId="25" xfId="0" applyFont="1" applyBorder="1" applyAlignment="1">
      <alignment horizontal="left" vertical="center"/>
    </xf>
    <xf numFmtId="0" fontId="75" fillId="7" borderId="0" xfId="0" applyFont="1" applyFill="1" applyAlignment="1">
      <alignment horizontal="center" vertical="center" wrapText="1"/>
    </xf>
    <xf numFmtId="0" fontId="2" fillId="0" borderId="0" xfId="0" applyFont="1" applyAlignment="1">
      <alignment horizontal="center" vertical="center"/>
    </xf>
    <xf numFmtId="0" fontId="182" fillId="0" borderId="0" xfId="0" applyFont="1" applyAlignment="1">
      <alignment horizontal="left" vertical="center" wrapText="1" readingOrder="1"/>
    </xf>
    <xf numFmtId="0" fontId="173" fillId="5" borderId="0" xfId="0" applyFont="1" applyFill="1" applyAlignment="1">
      <alignment horizontal="center"/>
    </xf>
    <xf numFmtId="0" fontId="173" fillId="11" borderId="0" xfId="0" applyFont="1" applyFill="1" applyAlignment="1">
      <alignment horizontal="center"/>
    </xf>
    <xf numFmtId="0" fontId="172" fillId="2" borderId="10" xfId="0" applyFont="1" applyFill="1" applyBorder="1" applyAlignment="1">
      <alignment horizontal="center"/>
    </xf>
    <xf numFmtId="0" fontId="172" fillId="2" borderId="11" xfId="0" applyFont="1" applyFill="1" applyBorder="1" applyAlignment="1">
      <alignment horizontal="center"/>
    </xf>
    <xf numFmtId="0" fontId="172" fillId="2" borderId="12" xfId="0" applyFont="1" applyFill="1" applyBorder="1" applyAlignment="1">
      <alignment horizontal="center"/>
    </xf>
    <xf numFmtId="0" fontId="172" fillId="2" borderId="29" xfId="0" applyFont="1" applyFill="1" applyBorder="1" applyAlignment="1">
      <alignment horizontal="center" vertical="center" textRotation="90" wrapText="1"/>
    </xf>
    <xf numFmtId="0" fontId="172" fillId="2" borderId="30" xfId="0" applyFont="1" applyFill="1" applyBorder="1" applyAlignment="1">
      <alignment horizontal="center" vertical="center" textRotation="90" wrapText="1"/>
    </xf>
    <xf numFmtId="0" fontId="172" fillId="2" borderId="31" xfId="0" applyFont="1" applyFill="1" applyBorder="1" applyAlignment="1">
      <alignment horizontal="center" vertical="center" textRotation="90" wrapText="1"/>
    </xf>
    <xf numFmtId="0" fontId="172" fillId="2" borderId="2" xfId="0" applyFont="1" applyFill="1" applyBorder="1" applyAlignment="1">
      <alignment horizontal="center"/>
    </xf>
    <xf numFmtId="0" fontId="172" fillId="0" borderId="29" xfId="0" applyFont="1" applyBorder="1" applyAlignment="1">
      <alignment horizontal="center" vertical="center"/>
    </xf>
    <xf numFmtId="0" fontId="172" fillId="0" borderId="30" xfId="0" applyFont="1" applyBorder="1" applyAlignment="1">
      <alignment horizontal="center" vertical="center"/>
    </xf>
    <xf numFmtId="0" fontId="172" fillId="0" borderId="31" xfId="0" applyFont="1" applyBorder="1" applyAlignment="1">
      <alignment horizontal="center" vertical="center"/>
    </xf>
    <xf numFmtId="0" fontId="172" fillId="2" borderId="6" xfId="0" applyFont="1" applyFill="1" applyBorder="1" applyAlignment="1">
      <alignment horizontal="center" vertical="center" textRotation="90" wrapText="1"/>
    </xf>
    <xf numFmtId="0" fontId="172" fillId="2" borderId="0" xfId="0" applyFont="1" applyFill="1" applyAlignment="1">
      <alignment horizontal="center" vertical="center" textRotation="90" wrapText="1"/>
    </xf>
    <xf numFmtId="0" fontId="172" fillId="0" borderId="2" xfId="0" applyFont="1" applyBorder="1" applyAlignment="1">
      <alignment horizontal="center" vertical="center"/>
    </xf>
    <xf numFmtId="0" fontId="172" fillId="0" borderId="29" xfId="0" applyFont="1" applyBorder="1" applyAlignment="1">
      <alignment horizontal="center" vertical="center" wrapText="1"/>
    </xf>
    <xf numFmtId="0" fontId="172" fillId="0" borderId="30" xfId="0" applyFont="1" applyBorder="1" applyAlignment="1">
      <alignment horizontal="center" vertical="center" wrapText="1"/>
    </xf>
    <xf numFmtId="0" fontId="172" fillId="0" borderId="31" xfId="0" applyFont="1" applyBorder="1" applyAlignment="1">
      <alignment horizontal="center" vertical="center" wrapText="1"/>
    </xf>
    <xf numFmtId="0" fontId="172" fillId="2" borderId="5" xfId="0" applyFont="1" applyFill="1" applyBorder="1" applyAlignment="1">
      <alignment horizontal="center" vertical="center" textRotation="90" wrapText="1"/>
    </xf>
    <xf numFmtId="0" fontId="172" fillId="2" borderId="3" xfId="0" applyFont="1" applyFill="1" applyBorder="1" applyAlignment="1">
      <alignment horizontal="center" vertical="center" textRotation="90" wrapText="1"/>
    </xf>
    <xf numFmtId="0" fontId="172" fillId="2" borderId="7" xfId="0" applyFont="1" applyFill="1" applyBorder="1" applyAlignment="1">
      <alignment horizontal="center" vertical="center" textRotation="90" wrapText="1"/>
    </xf>
    <xf numFmtId="0" fontId="172" fillId="2" borderId="4" xfId="0" applyFont="1" applyFill="1" applyBorder="1" applyAlignment="1">
      <alignment horizontal="center" vertical="center" textRotation="90" wrapText="1"/>
    </xf>
    <xf numFmtId="0" fontId="136" fillId="12" borderId="0" xfId="0" applyFont="1" applyFill="1" applyAlignment="1">
      <alignment horizontal="center" vertical="center"/>
    </xf>
    <xf numFmtId="0" fontId="142" fillId="28" borderId="39" xfId="0" applyFont="1" applyFill="1" applyBorder="1" applyAlignment="1">
      <alignment horizontal="center" vertical="center"/>
    </xf>
    <xf numFmtId="0" fontId="142" fillId="28" borderId="40" xfId="0" applyFont="1" applyFill="1" applyBorder="1" applyAlignment="1">
      <alignment horizontal="center" vertical="center"/>
    </xf>
    <xf numFmtId="0" fontId="142" fillId="28" borderId="41" xfId="0" applyFont="1" applyFill="1" applyBorder="1" applyAlignment="1">
      <alignment horizontal="center" vertical="center"/>
    </xf>
    <xf numFmtId="0" fontId="136" fillId="30" borderId="0" xfId="0" applyFont="1" applyFill="1" applyAlignment="1">
      <alignment horizontal="center" vertical="center"/>
    </xf>
    <xf numFmtId="0" fontId="75" fillId="0" borderId="0" xfId="0" applyFont="1" applyAlignment="1">
      <alignment horizontal="left" vertical="center" wrapText="1"/>
    </xf>
    <xf numFmtId="0" fontId="13" fillId="0" borderId="2" xfId="0" applyFont="1" applyBorder="1" applyAlignment="1">
      <alignment horizontal="center"/>
    </xf>
    <xf numFmtId="0" fontId="13" fillId="0" borderId="10" xfId="0" applyFont="1" applyBorder="1" applyAlignment="1">
      <alignment horizontal="center"/>
    </xf>
    <xf numFmtId="0" fontId="13" fillId="0" borderId="11" xfId="0" applyFont="1" applyBorder="1" applyAlignment="1">
      <alignment horizontal="center"/>
    </xf>
    <xf numFmtId="0" fontId="13" fillId="0" borderId="12" xfId="0" applyFont="1" applyBorder="1" applyAlignment="1">
      <alignment horizontal="center"/>
    </xf>
    <xf numFmtId="0" fontId="8" fillId="8" borderId="0" xfId="0" applyFont="1" applyFill="1" applyAlignment="1">
      <alignment horizontal="center"/>
    </xf>
    <xf numFmtId="0" fontId="13" fillId="2" borderId="0" xfId="0" applyFont="1" applyFill="1" applyAlignment="1">
      <alignment horizontal="center"/>
    </xf>
    <xf numFmtId="0" fontId="13" fillId="9" borderId="0" xfId="0" applyFont="1" applyFill="1" applyAlignment="1">
      <alignment horizontal="center"/>
    </xf>
    <xf numFmtId="0" fontId="2" fillId="0" borderId="2" xfId="0" applyFont="1" applyBorder="1" applyAlignment="1">
      <alignment horizontal="center" vertical="center"/>
    </xf>
    <xf numFmtId="0" fontId="2" fillId="0" borderId="0" xfId="0" applyFont="1" applyAlignment="1">
      <alignment horizontal="center"/>
    </xf>
  </cellXfs>
  <cellStyles count="5">
    <cellStyle name="Lien hypertexte" xfId="4" builtinId="8"/>
    <cellStyle name="Milliers" xfId="1" builtinId="3"/>
    <cellStyle name="Monétaire" xfId="3" builtinId="4"/>
    <cellStyle name="Normal" xfId="0" builtinId="0"/>
    <cellStyle name="Pourcentage" xfId="2" builtinId="5"/>
  </cellStyles>
  <dxfs count="125">
    <dxf>
      <fill>
        <patternFill>
          <bgColor theme="8"/>
        </patternFill>
      </fill>
    </dxf>
    <dxf>
      <fill>
        <patternFill>
          <bgColor theme="8" tint="-0.24994659260841701"/>
        </patternFill>
      </fill>
    </dxf>
    <dxf>
      <fill>
        <patternFill>
          <bgColor theme="0" tint="-0.14996795556505021"/>
        </patternFill>
      </fill>
    </dxf>
    <dxf>
      <fill>
        <patternFill>
          <bgColor theme="8"/>
        </patternFill>
      </fill>
    </dxf>
    <dxf>
      <fill>
        <patternFill>
          <bgColor theme="8" tint="-0.24994659260841701"/>
        </patternFill>
      </fill>
    </dxf>
    <dxf>
      <fill>
        <patternFill>
          <bgColor theme="0" tint="-0.14996795556505021"/>
        </patternFill>
      </fill>
    </dxf>
    <dxf>
      <fill>
        <patternFill>
          <bgColor theme="8"/>
        </patternFill>
      </fill>
    </dxf>
    <dxf>
      <fill>
        <patternFill>
          <bgColor theme="8" tint="-0.24994659260841701"/>
        </patternFill>
      </fill>
    </dxf>
    <dxf>
      <fill>
        <patternFill>
          <bgColor theme="0" tint="-0.14996795556505021"/>
        </patternFill>
      </fill>
    </dxf>
    <dxf>
      <fill>
        <patternFill>
          <bgColor theme="8"/>
        </patternFill>
      </fill>
    </dxf>
    <dxf>
      <fill>
        <patternFill>
          <bgColor theme="8" tint="-0.24994659260841701"/>
        </patternFill>
      </fill>
    </dxf>
    <dxf>
      <fill>
        <patternFill>
          <bgColor theme="0" tint="-0.14996795556505021"/>
        </patternFill>
      </fill>
    </dxf>
    <dxf>
      <font>
        <color theme="4"/>
      </font>
    </dxf>
    <dxf>
      <font>
        <color rgb="FF9C0006"/>
      </font>
    </dxf>
    <dxf>
      <font>
        <color theme="4"/>
      </font>
    </dxf>
    <dxf>
      <font>
        <color rgb="FF9C0006"/>
      </font>
    </dxf>
    <dxf>
      <font>
        <color theme="4"/>
      </font>
    </dxf>
    <dxf>
      <font>
        <color rgb="FF9C0006"/>
      </font>
    </dxf>
    <dxf>
      <font>
        <color theme="4"/>
      </font>
    </dxf>
    <dxf>
      <font>
        <color rgb="FF9C0006"/>
      </font>
    </dxf>
    <dxf>
      <fill>
        <patternFill>
          <bgColor theme="8"/>
        </patternFill>
      </fill>
    </dxf>
    <dxf>
      <fill>
        <patternFill>
          <bgColor theme="8" tint="-0.24994659260841701"/>
        </patternFill>
      </fill>
    </dxf>
    <dxf>
      <fill>
        <patternFill>
          <bgColor theme="0" tint="-0.14996795556505021"/>
        </patternFill>
      </fill>
    </dxf>
    <dxf>
      <fill>
        <patternFill>
          <bgColor theme="8"/>
        </patternFill>
      </fill>
    </dxf>
    <dxf>
      <fill>
        <patternFill>
          <bgColor theme="8" tint="-0.24994659260841701"/>
        </patternFill>
      </fill>
    </dxf>
    <dxf>
      <fill>
        <patternFill>
          <bgColor theme="0" tint="-0.14996795556505021"/>
        </patternFill>
      </fill>
    </dxf>
    <dxf>
      <fill>
        <patternFill>
          <bgColor theme="8"/>
        </patternFill>
      </fill>
    </dxf>
    <dxf>
      <fill>
        <patternFill>
          <bgColor theme="8" tint="-0.24994659260841701"/>
        </patternFill>
      </fill>
    </dxf>
    <dxf>
      <fill>
        <patternFill>
          <bgColor theme="0" tint="-0.14996795556505021"/>
        </patternFill>
      </fill>
    </dxf>
    <dxf>
      <fill>
        <patternFill>
          <bgColor theme="8"/>
        </patternFill>
      </fill>
    </dxf>
    <dxf>
      <fill>
        <patternFill>
          <bgColor theme="8" tint="-0.24994659260841701"/>
        </patternFill>
      </fill>
    </dxf>
    <dxf>
      <fill>
        <patternFill>
          <bgColor theme="0" tint="-0.14996795556505021"/>
        </patternFill>
      </fill>
    </dxf>
    <dxf>
      <font>
        <color theme="4"/>
      </font>
    </dxf>
    <dxf>
      <font>
        <color rgb="FF9C0006"/>
      </font>
    </dxf>
    <dxf>
      <font>
        <color theme="4"/>
      </font>
    </dxf>
    <dxf>
      <font>
        <color rgb="FF9C0006"/>
      </font>
    </dxf>
    <dxf>
      <font>
        <color theme="4"/>
      </font>
    </dxf>
    <dxf>
      <font>
        <color rgb="FF9C0006"/>
      </font>
    </dxf>
    <dxf>
      <font>
        <color theme="4"/>
      </font>
    </dxf>
    <dxf>
      <font>
        <color rgb="FF9C0006"/>
      </font>
    </dxf>
    <dxf>
      <numFmt numFmtId="13" formatCode="0%"/>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ill>
        <patternFill patternType="solid">
          <bgColor theme="6" tint="0.79998168889431442"/>
        </patternFill>
      </fill>
    </dxf>
    <dxf>
      <numFmt numFmtId="13" formatCode="0%"/>
    </dxf>
    <dxf>
      <numFmt numFmtId="13" formatCode="0%"/>
    </dxf>
    <dxf>
      <numFmt numFmtId="13" formatCode="0%"/>
    </dxf>
    <dxf>
      <fill>
        <patternFill patternType="solid">
          <bgColor theme="6" tint="0.79998168889431442"/>
        </patternFill>
      </fill>
    </dxf>
    <dxf>
      <numFmt numFmtId="13" formatCode="0%"/>
    </dxf>
    <dxf>
      <numFmt numFmtId="13" formatCode="0%"/>
    </dxf>
    <dxf>
      <numFmt numFmtId="13" formatCode="0%"/>
    </dxf>
    <dxf>
      <numFmt numFmtId="13" formatCode="0%"/>
    </dxf>
    <dxf>
      <numFmt numFmtId="13" formatCode="0%"/>
    </dxf>
    <dxf>
      <numFmt numFmtId="13" formatCode="0%"/>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ill>
        <patternFill patternType="solid">
          <bgColor theme="6" tint="0.79998168889431442"/>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ill>
        <patternFill patternType="solid">
          <bgColor theme="6" tint="0.79998168889431442"/>
        </patternFill>
      </fill>
    </dxf>
    <dxf>
      <numFmt numFmtId="13" formatCode="0%"/>
    </dxf>
    <dxf>
      <numFmt numFmtId="13" formatCode="0%"/>
    </dxf>
    <dxf>
      <numFmt numFmtId="13" formatCode="0%"/>
    </dxf>
    <dxf>
      <numFmt numFmtId="13" formatCode="0%"/>
    </dxf>
    <dxf>
      <numFmt numFmtId="13" formatCode="0%"/>
    </dxf>
    <dxf>
      <numFmt numFmtId="13" formatCode="0%"/>
    </dxf>
    <dxf>
      <fill>
        <patternFill patternType="solid">
          <bgColor theme="6" tint="0.79998168889431442"/>
        </patternFill>
      </fill>
    </dxf>
    <dxf>
      <numFmt numFmtId="13" formatCode="0%"/>
    </dxf>
    <dxf>
      <numFmt numFmtId="13" formatCode="0%"/>
    </dxf>
  </dxfs>
  <tableStyles count="0" defaultTableStyle="TableStyleMedium2" defaultPivotStyle="PivotStyleLight16"/>
  <colors>
    <mruColors>
      <color rgb="FFFFCCCC"/>
      <color rgb="FF3333CC"/>
      <color rgb="FFFF66FF"/>
      <color rgb="FFFCCECE"/>
      <color rgb="FFFFCCFF"/>
      <color rgb="FFCCECFF"/>
      <color rgb="FF66CCFF"/>
      <color rgb="FF561D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2.xml"/><Relationship Id="rId68" Type="http://schemas.openxmlformats.org/officeDocument/2006/relationships/sheetMetadata" Target="metadata.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74"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pivotCacheDefinition" Target="pivotCache/pivotCacheDefinition1.xml"/><Relationship Id="rId69" Type="http://schemas.microsoft.com/office/2022/10/relationships/richValueRel" Target="richData/richValueRel.xml"/><Relationship Id="rId77"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72" Type="http://schemas.microsoft.com/office/2017/06/relationships/rdRichValueTypes" Target="richData/rdRichValueTyp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1.xml"/><Relationship Id="rId70" Type="http://schemas.microsoft.com/office/2017/06/relationships/rdRichValue" Target="richData/rdrichvalue.xml"/><Relationship Id="rId75"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73"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ustomXml" Target="../customXml/item2.xml"/><Relationship Id="rId7" Type="http://schemas.openxmlformats.org/officeDocument/2006/relationships/worksheet" Target="worksheets/sheet7.xml"/><Relationship Id="rId71" Type="http://schemas.microsoft.com/office/2017/06/relationships/rdRichValueStructure" Target="richData/rdrichvaluestructure.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Positionnement</a:t>
            </a:r>
            <a:r>
              <a:rPr lang="fr-FR" baseline="0"/>
              <a:t> solutions collectives avant travaux</a:t>
            </a:r>
            <a:endParaRPr lang="fr-FR"/>
          </a:p>
        </c:rich>
      </c:tx>
      <c:layout>
        <c:manualLayout>
          <c:xMode val="edge"/>
          <c:yMode val="edge"/>
          <c:x val="0.25939082729495949"/>
          <c:y val="0.5170465355816918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1"/>
          <c:tx>
            <c:strRef>
              <c:f>'Coûts d''investissement'!$G$3</c:f>
              <c:strCache>
                <c:ptCount val="1"/>
                <c:pt idx="0">
                  <c:v>Chaudière + tubage (€HT)</c:v>
                </c:pt>
              </c:strCache>
            </c:strRef>
          </c:tx>
          <c:spPr>
            <a:solidFill>
              <a:schemeClr val="accent2"/>
            </a:solidFill>
            <a:ln>
              <a:noFill/>
            </a:ln>
            <a:effectLst/>
          </c:spPr>
          <c:invertIfNegative val="0"/>
          <c:cat>
            <c:strRef>
              <c:f>'Coûts d''investissement'!$B$4:$B$8</c:f>
              <c:strCache>
                <c:ptCount val="5"/>
                <c:pt idx="0">
                  <c:v>Grand collectif</c:v>
                </c:pt>
                <c:pt idx="1">
                  <c:v>Petit collectif</c:v>
                </c:pt>
                <c:pt idx="2">
                  <c:v>HBM</c:v>
                </c:pt>
                <c:pt idx="3">
                  <c:v>Reconstruction</c:v>
                </c:pt>
                <c:pt idx="4">
                  <c:v>Tour</c:v>
                </c:pt>
              </c:strCache>
            </c:strRef>
          </c:cat>
          <c:val>
            <c:numRef>
              <c:f>'Coûts d''investissement'!$G$4:$G$8</c:f>
              <c:numCache>
                <c:formatCode>0</c:formatCode>
                <c:ptCount val="5"/>
                <c:pt idx="0">
                  <c:v>254750</c:v>
                </c:pt>
                <c:pt idx="1">
                  <c:v>129166.66666666667</c:v>
                </c:pt>
                <c:pt idx="2">
                  <c:v>86817.272727272721</c:v>
                </c:pt>
                <c:pt idx="3">
                  <c:v>140295</c:v>
                </c:pt>
                <c:pt idx="4">
                  <c:v>190728.33333333331</c:v>
                </c:pt>
              </c:numCache>
            </c:numRef>
          </c:val>
          <c:extLst>
            <c:ext xmlns:c16="http://schemas.microsoft.com/office/drawing/2014/chart" uri="{C3380CC4-5D6E-409C-BE32-E72D297353CC}">
              <c16:uniqueId val="{00000000-BE0C-4AE7-B234-0CFA4B1D5DA3}"/>
            </c:ext>
          </c:extLst>
        </c:ser>
        <c:ser>
          <c:idx val="2"/>
          <c:order val="2"/>
          <c:tx>
            <c:strRef>
              <c:f>'Coûts d''investissement'!$H$3</c:f>
              <c:strCache>
                <c:ptCount val="1"/>
                <c:pt idx="0">
                  <c:v>PAC hybride (€HT)</c:v>
                </c:pt>
              </c:strCache>
            </c:strRef>
          </c:tx>
          <c:spPr>
            <a:solidFill>
              <a:schemeClr val="accent3"/>
            </a:solidFill>
            <a:ln>
              <a:noFill/>
            </a:ln>
            <a:effectLst/>
          </c:spPr>
          <c:invertIfNegative val="0"/>
          <c:cat>
            <c:strRef>
              <c:f>'Coûts d''investissement'!$B$4:$B$8</c:f>
              <c:strCache>
                <c:ptCount val="5"/>
                <c:pt idx="0">
                  <c:v>Grand collectif</c:v>
                </c:pt>
                <c:pt idx="1">
                  <c:v>Petit collectif</c:v>
                </c:pt>
                <c:pt idx="2">
                  <c:v>HBM</c:v>
                </c:pt>
                <c:pt idx="3">
                  <c:v>Reconstruction</c:v>
                </c:pt>
                <c:pt idx="4">
                  <c:v>Tour</c:v>
                </c:pt>
              </c:strCache>
            </c:strRef>
          </c:cat>
          <c:val>
            <c:numRef>
              <c:f>'Coûts d''investissement'!$H$4:$H$8</c:f>
              <c:numCache>
                <c:formatCode>0</c:formatCode>
                <c:ptCount val="5"/>
                <c:pt idx="0">
                  <c:v>371370</c:v>
                </c:pt>
                <c:pt idx="1">
                  <c:v>163676.66666666669</c:v>
                </c:pt>
                <c:pt idx="2">
                  <c:v>96337.272727272721</c:v>
                </c:pt>
                <c:pt idx="3">
                  <c:v>175995</c:v>
                </c:pt>
                <c:pt idx="4">
                  <c:v>262128.33333333331</c:v>
                </c:pt>
              </c:numCache>
            </c:numRef>
          </c:val>
          <c:extLst>
            <c:ext xmlns:c16="http://schemas.microsoft.com/office/drawing/2014/chart" uri="{C3380CC4-5D6E-409C-BE32-E72D297353CC}">
              <c16:uniqueId val="{00000001-BE0C-4AE7-B234-0CFA4B1D5DA3}"/>
            </c:ext>
          </c:extLst>
        </c:ser>
        <c:ser>
          <c:idx val="3"/>
          <c:order val="3"/>
          <c:tx>
            <c:strRef>
              <c:f>'Coûts d''investissement'!$I$3</c:f>
              <c:strCache>
                <c:ptCount val="1"/>
                <c:pt idx="0">
                  <c:v>Chaudière + CESC (€HT)</c:v>
                </c:pt>
              </c:strCache>
            </c:strRef>
          </c:tx>
          <c:spPr>
            <a:solidFill>
              <a:schemeClr val="accent4"/>
            </a:solidFill>
            <a:ln>
              <a:noFill/>
            </a:ln>
            <a:effectLst/>
          </c:spPr>
          <c:invertIfNegative val="0"/>
          <c:cat>
            <c:strRef>
              <c:f>'Coûts d''investissement'!$B$4:$B$8</c:f>
              <c:strCache>
                <c:ptCount val="5"/>
                <c:pt idx="0">
                  <c:v>Grand collectif</c:v>
                </c:pt>
                <c:pt idx="1">
                  <c:v>Petit collectif</c:v>
                </c:pt>
                <c:pt idx="2">
                  <c:v>HBM</c:v>
                </c:pt>
                <c:pt idx="3">
                  <c:v>Reconstruction</c:v>
                </c:pt>
                <c:pt idx="4">
                  <c:v>Tour</c:v>
                </c:pt>
              </c:strCache>
            </c:strRef>
          </c:cat>
          <c:val>
            <c:numRef>
              <c:f>'Coûts d''investissement'!$I$4:$I$8</c:f>
              <c:numCache>
                <c:formatCode>0</c:formatCode>
                <c:ptCount val="5"/>
                <c:pt idx="0">
                  <c:v>364750</c:v>
                </c:pt>
                <c:pt idx="1">
                  <c:v>173166.66666666669</c:v>
                </c:pt>
                <c:pt idx="2">
                  <c:v>97817.272727272721</c:v>
                </c:pt>
                <c:pt idx="3">
                  <c:v>189795</c:v>
                </c:pt>
                <c:pt idx="4">
                  <c:v>258928.33333333331</c:v>
                </c:pt>
              </c:numCache>
            </c:numRef>
          </c:val>
          <c:extLst>
            <c:ext xmlns:c16="http://schemas.microsoft.com/office/drawing/2014/chart" uri="{C3380CC4-5D6E-409C-BE32-E72D297353CC}">
              <c16:uniqueId val="{00000002-BE0C-4AE7-B234-0CFA4B1D5DA3}"/>
            </c:ext>
          </c:extLst>
        </c:ser>
        <c:ser>
          <c:idx val="4"/>
          <c:order val="4"/>
          <c:tx>
            <c:strRef>
              <c:f>'Coûts d''investissement'!$J$3</c:f>
              <c:strCache>
                <c:ptCount val="1"/>
                <c:pt idx="0">
                  <c:v>PAC élec (€HT)</c:v>
                </c:pt>
              </c:strCache>
            </c:strRef>
          </c:tx>
          <c:spPr>
            <a:solidFill>
              <a:schemeClr val="accent5"/>
            </a:solidFill>
            <a:ln>
              <a:noFill/>
            </a:ln>
            <a:effectLst/>
          </c:spPr>
          <c:invertIfNegative val="0"/>
          <c:cat>
            <c:strRef>
              <c:f>'Coûts d''investissement'!$B$4:$B$8</c:f>
              <c:strCache>
                <c:ptCount val="5"/>
                <c:pt idx="0">
                  <c:v>Grand collectif</c:v>
                </c:pt>
                <c:pt idx="1">
                  <c:v>Petit collectif</c:v>
                </c:pt>
                <c:pt idx="2">
                  <c:v>HBM</c:v>
                </c:pt>
                <c:pt idx="3">
                  <c:v>Reconstruction</c:v>
                </c:pt>
                <c:pt idx="4">
                  <c:v>Tour</c:v>
                </c:pt>
              </c:strCache>
            </c:strRef>
          </c:cat>
          <c:val>
            <c:numRef>
              <c:f>'Coûts d''investissement'!$J$4:$J$8</c:f>
              <c:numCache>
                <c:formatCode>0</c:formatCode>
                <c:ptCount val="5"/>
                <c:pt idx="0">
                  <c:v>656550</c:v>
                </c:pt>
                <c:pt idx="1">
                  <c:v>248066.66666666669</c:v>
                </c:pt>
                <c:pt idx="2">
                  <c:v>119617.27272727272</c:v>
                </c:pt>
                <c:pt idx="3">
                  <c:v>263295</c:v>
                </c:pt>
                <c:pt idx="4">
                  <c:v>436728.33333333331</c:v>
                </c:pt>
              </c:numCache>
            </c:numRef>
          </c:val>
          <c:extLst>
            <c:ext xmlns:c16="http://schemas.microsoft.com/office/drawing/2014/chart" uri="{C3380CC4-5D6E-409C-BE32-E72D297353CC}">
              <c16:uniqueId val="{00000003-BE0C-4AE7-B234-0CFA4B1D5DA3}"/>
            </c:ext>
          </c:extLst>
        </c:ser>
        <c:dLbls>
          <c:showLegendKey val="0"/>
          <c:showVal val="0"/>
          <c:showCatName val="0"/>
          <c:showSerName val="0"/>
          <c:showPercent val="0"/>
          <c:showBubbleSize val="0"/>
        </c:dLbls>
        <c:gapWidth val="219"/>
        <c:overlap val="-27"/>
        <c:axId val="1348390032"/>
        <c:axId val="1118440655"/>
        <c:extLst>
          <c:ext xmlns:c15="http://schemas.microsoft.com/office/drawing/2012/chart" uri="{02D57815-91ED-43cb-92C2-25804820EDAC}">
            <c15:filteredBarSeries>
              <c15:ser>
                <c:idx val="0"/>
                <c:order val="0"/>
                <c:tx>
                  <c:strRef>
                    <c:extLst>
                      <c:ext uri="{02D57815-91ED-43cb-92C2-25804820EDAC}">
                        <c15:formulaRef>
                          <c15:sqref>'Coûts d''investissement'!$F$3</c15:sqref>
                        </c15:formulaRef>
                      </c:ext>
                    </c:extLst>
                    <c:strCache>
                      <c:ptCount val="1"/>
                      <c:pt idx="0">
                        <c:v>Coût rénovation de chaufferie et Rth (€HT)</c:v>
                      </c:pt>
                    </c:strCache>
                  </c:strRef>
                </c:tx>
                <c:spPr>
                  <a:solidFill>
                    <a:schemeClr val="accent1"/>
                  </a:solidFill>
                  <a:ln>
                    <a:noFill/>
                  </a:ln>
                  <a:effectLst/>
                </c:spPr>
                <c:invertIfNegative val="0"/>
                <c:cat>
                  <c:strRef>
                    <c:extLst>
                      <c:ext uri="{02D57815-91ED-43cb-92C2-25804820EDAC}">
                        <c15:formulaRef>
                          <c15:sqref>'Coûts d''investissement'!$B$4:$B$8</c15:sqref>
                        </c15:formulaRef>
                      </c:ext>
                    </c:extLst>
                    <c:strCache>
                      <c:ptCount val="5"/>
                      <c:pt idx="0">
                        <c:v>Grand collectif</c:v>
                      </c:pt>
                      <c:pt idx="1">
                        <c:v>Petit collectif</c:v>
                      </c:pt>
                      <c:pt idx="2">
                        <c:v>HBM</c:v>
                      </c:pt>
                      <c:pt idx="3">
                        <c:v>Reconstruction</c:v>
                      </c:pt>
                      <c:pt idx="4">
                        <c:v>Tour</c:v>
                      </c:pt>
                    </c:strCache>
                  </c:strRef>
                </c:cat>
                <c:val>
                  <c:numRef>
                    <c:extLst>
                      <c:ext uri="{02D57815-91ED-43cb-92C2-25804820EDAC}">
                        <c15:formulaRef>
                          <c15:sqref>'Coûts d''investissement'!$F$4:$F$8</c15:sqref>
                        </c15:formulaRef>
                      </c:ext>
                    </c:extLst>
                    <c:numCache>
                      <c:formatCode>0</c:formatCode>
                      <c:ptCount val="5"/>
                      <c:pt idx="0">
                        <c:v>107750</c:v>
                      </c:pt>
                      <c:pt idx="1">
                        <c:v>85666.666666666672</c:v>
                      </c:pt>
                      <c:pt idx="2">
                        <c:v>74817.272727272721</c:v>
                      </c:pt>
                      <c:pt idx="3">
                        <c:v>95295</c:v>
                      </c:pt>
                      <c:pt idx="4">
                        <c:v>100728.33333333333</c:v>
                      </c:pt>
                    </c:numCache>
                  </c:numRef>
                </c:val>
                <c:extLst>
                  <c:ext xmlns:c16="http://schemas.microsoft.com/office/drawing/2014/chart" uri="{C3380CC4-5D6E-409C-BE32-E72D297353CC}">
                    <c16:uniqueId val="{00000004-BE0C-4AE7-B234-0CFA4B1D5DA3}"/>
                  </c:ext>
                </c:extLst>
              </c15:ser>
            </c15:filteredBarSeries>
          </c:ext>
        </c:extLst>
      </c:barChart>
      <c:catAx>
        <c:axId val="134839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18440655"/>
        <c:crosses val="autoZero"/>
        <c:auto val="1"/>
        <c:lblAlgn val="ctr"/>
        <c:lblOffset val="100"/>
        <c:noMultiLvlLbl val="0"/>
      </c:catAx>
      <c:valAx>
        <c:axId val="1118440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48390032"/>
        <c:crosses val="autoZero"/>
        <c:crossBetween val="between"/>
      </c:valAx>
      <c:spPr>
        <a:noFill/>
        <a:ln>
          <a:noFill/>
        </a:ln>
        <a:effectLst/>
      </c:spPr>
    </c:plotArea>
    <c:legend>
      <c:legendPos val="b"/>
      <c:layout>
        <c:manualLayout>
          <c:xMode val="edge"/>
          <c:yMode val="edge"/>
          <c:x val="7.6791680931187933E-2"/>
          <c:y val="0.90445389715663849"/>
          <c:w val="0.87250342348510779"/>
          <c:h val="7.498056124496557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kern="1200" spc="0" baseline="0">
                <a:solidFill>
                  <a:sysClr val="windowText" lastClr="000000">
                    <a:lumMod val="65000"/>
                    <a:lumOff val="35000"/>
                  </a:sysClr>
                </a:solidFill>
              </a:rPr>
              <a:t>Positionnement solutions collectives après travaux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'Coûts d''investissement'!$G$3</c:f>
              <c:strCache>
                <c:ptCount val="1"/>
                <c:pt idx="0">
                  <c:v>Chaudière + tubage (€HT)</c:v>
                </c:pt>
              </c:strCache>
            </c:strRef>
          </c:tx>
          <c:spPr>
            <a:solidFill>
              <a:schemeClr val="accent1"/>
            </a:solidFill>
            <a:ln>
              <a:noFill/>
            </a:ln>
            <a:effectLst/>
          </c:spPr>
          <c:invertIfNegative val="0"/>
          <c:cat>
            <c:strRef>
              <c:f>'Coûts d''investissement'!$B$4:$B$8</c:f>
              <c:strCache>
                <c:ptCount val="5"/>
                <c:pt idx="0">
                  <c:v>Grand collectif</c:v>
                </c:pt>
                <c:pt idx="1">
                  <c:v>Petit collectif</c:v>
                </c:pt>
                <c:pt idx="2">
                  <c:v>HBM</c:v>
                </c:pt>
                <c:pt idx="3">
                  <c:v>Reconstruction</c:v>
                </c:pt>
                <c:pt idx="4">
                  <c:v>Tour</c:v>
                </c:pt>
              </c:strCache>
            </c:strRef>
          </c:cat>
          <c:val>
            <c:numRef>
              <c:f>'Coûts d''investissement'!$G$9:$G$13</c:f>
              <c:numCache>
                <c:formatCode>0</c:formatCode>
                <c:ptCount val="5"/>
                <c:pt idx="0">
                  <c:v>181250</c:v>
                </c:pt>
                <c:pt idx="1">
                  <c:v>107416.66666666667</c:v>
                </c:pt>
                <c:pt idx="2">
                  <c:v>80817.272727272721</c:v>
                </c:pt>
                <c:pt idx="3">
                  <c:v>117795</c:v>
                </c:pt>
                <c:pt idx="4">
                  <c:v>145728.33333333331</c:v>
                </c:pt>
              </c:numCache>
            </c:numRef>
          </c:val>
          <c:extLst>
            <c:ext xmlns:c16="http://schemas.microsoft.com/office/drawing/2014/chart" uri="{C3380CC4-5D6E-409C-BE32-E72D297353CC}">
              <c16:uniqueId val="{00000000-FAA4-4EA8-92C0-1729E2301960}"/>
            </c:ext>
          </c:extLst>
        </c:ser>
        <c:ser>
          <c:idx val="1"/>
          <c:order val="1"/>
          <c:tx>
            <c:strRef>
              <c:f>'Coûts d''investissement'!$H$3</c:f>
              <c:strCache>
                <c:ptCount val="1"/>
                <c:pt idx="0">
                  <c:v>PAC hybride (€HT)</c:v>
                </c:pt>
              </c:strCache>
            </c:strRef>
          </c:tx>
          <c:spPr>
            <a:solidFill>
              <a:schemeClr val="accent2"/>
            </a:solidFill>
            <a:ln>
              <a:noFill/>
            </a:ln>
            <a:effectLst/>
          </c:spPr>
          <c:invertIfNegative val="0"/>
          <c:cat>
            <c:strRef>
              <c:f>'Coûts d''investissement'!$B$4:$B$8</c:f>
              <c:strCache>
                <c:ptCount val="5"/>
                <c:pt idx="0">
                  <c:v>Grand collectif</c:v>
                </c:pt>
                <c:pt idx="1">
                  <c:v>Petit collectif</c:v>
                </c:pt>
                <c:pt idx="2">
                  <c:v>HBM</c:v>
                </c:pt>
                <c:pt idx="3">
                  <c:v>Reconstruction</c:v>
                </c:pt>
                <c:pt idx="4">
                  <c:v>Tour</c:v>
                </c:pt>
              </c:strCache>
            </c:strRef>
          </c:cat>
          <c:val>
            <c:numRef>
              <c:f>'Coûts d''investissement'!$H$9:$H$13</c:f>
              <c:numCache>
                <c:formatCode>0</c:formatCode>
                <c:ptCount val="5"/>
                <c:pt idx="0">
                  <c:v>267000</c:v>
                </c:pt>
                <c:pt idx="1">
                  <c:v>132791.66666666669</c:v>
                </c:pt>
                <c:pt idx="2">
                  <c:v>87817.272727272721</c:v>
                </c:pt>
                <c:pt idx="3">
                  <c:v>144045</c:v>
                </c:pt>
                <c:pt idx="4">
                  <c:v>198228.33333333331</c:v>
                </c:pt>
              </c:numCache>
            </c:numRef>
          </c:val>
          <c:extLst>
            <c:ext xmlns:c16="http://schemas.microsoft.com/office/drawing/2014/chart" uri="{C3380CC4-5D6E-409C-BE32-E72D297353CC}">
              <c16:uniqueId val="{00000001-FAA4-4EA8-92C0-1729E2301960}"/>
            </c:ext>
          </c:extLst>
        </c:ser>
        <c:ser>
          <c:idx val="2"/>
          <c:order val="2"/>
          <c:tx>
            <c:strRef>
              <c:f>'Coûts d''investissement'!$I$3</c:f>
              <c:strCache>
                <c:ptCount val="1"/>
                <c:pt idx="0">
                  <c:v>Chaudière + CESC (€HT)</c:v>
                </c:pt>
              </c:strCache>
            </c:strRef>
          </c:tx>
          <c:spPr>
            <a:solidFill>
              <a:schemeClr val="accent3"/>
            </a:solidFill>
            <a:ln>
              <a:noFill/>
            </a:ln>
            <a:effectLst/>
          </c:spPr>
          <c:invertIfNegative val="0"/>
          <c:cat>
            <c:strRef>
              <c:f>'Coûts d''investissement'!$B$4:$B$8</c:f>
              <c:strCache>
                <c:ptCount val="5"/>
                <c:pt idx="0">
                  <c:v>Grand collectif</c:v>
                </c:pt>
                <c:pt idx="1">
                  <c:v>Petit collectif</c:v>
                </c:pt>
                <c:pt idx="2">
                  <c:v>HBM</c:v>
                </c:pt>
                <c:pt idx="3">
                  <c:v>Reconstruction</c:v>
                </c:pt>
                <c:pt idx="4">
                  <c:v>Tour</c:v>
                </c:pt>
              </c:strCache>
            </c:strRef>
          </c:cat>
          <c:val>
            <c:numRef>
              <c:f>'Coûts d''investissement'!$I$9:$I$13</c:f>
              <c:numCache>
                <c:formatCode>0</c:formatCode>
                <c:ptCount val="5"/>
                <c:pt idx="0">
                  <c:v>291250</c:v>
                </c:pt>
                <c:pt idx="1">
                  <c:v>151416.66666666669</c:v>
                </c:pt>
                <c:pt idx="2">
                  <c:v>91817.272727272721</c:v>
                </c:pt>
                <c:pt idx="3">
                  <c:v>167295</c:v>
                </c:pt>
                <c:pt idx="4">
                  <c:v>213928.33333333331</c:v>
                </c:pt>
              </c:numCache>
            </c:numRef>
          </c:val>
          <c:extLst>
            <c:ext xmlns:c16="http://schemas.microsoft.com/office/drawing/2014/chart" uri="{C3380CC4-5D6E-409C-BE32-E72D297353CC}">
              <c16:uniqueId val="{00000002-FAA4-4EA8-92C0-1729E2301960}"/>
            </c:ext>
          </c:extLst>
        </c:ser>
        <c:ser>
          <c:idx val="3"/>
          <c:order val="3"/>
          <c:tx>
            <c:strRef>
              <c:f>'Coûts d''investissement'!$J$3</c:f>
              <c:strCache>
                <c:ptCount val="1"/>
                <c:pt idx="0">
                  <c:v>PAC élec (€HT)</c:v>
                </c:pt>
              </c:strCache>
            </c:strRef>
          </c:tx>
          <c:spPr>
            <a:solidFill>
              <a:schemeClr val="accent4"/>
            </a:solidFill>
            <a:ln>
              <a:noFill/>
            </a:ln>
            <a:effectLst/>
          </c:spPr>
          <c:invertIfNegative val="0"/>
          <c:cat>
            <c:strRef>
              <c:f>'Coûts d''investissement'!$B$4:$B$8</c:f>
              <c:strCache>
                <c:ptCount val="5"/>
                <c:pt idx="0">
                  <c:v>Grand collectif</c:v>
                </c:pt>
                <c:pt idx="1">
                  <c:v>Petit collectif</c:v>
                </c:pt>
                <c:pt idx="2">
                  <c:v>HBM</c:v>
                </c:pt>
                <c:pt idx="3">
                  <c:v>Reconstruction</c:v>
                </c:pt>
                <c:pt idx="4">
                  <c:v>Tour</c:v>
                </c:pt>
              </c:strCache>
            </c:strRef>
          </c:cat>
          <c:val>
            <c:numRef>
              <c:f>'Coûts d''investissement'!$J$9:$J$13</c:f>
              <c:numCache>
                <c:formatCode>0</c:formatCode>
                <c:ptCount val="5"/>
                <c:pt idx="0">
                  <c:v>382150</c:v>
                </c:pt>
                <c:pt idx="1">
                  <c:v>146566.66666666666</c:v>
                </c:pt>
                <c:pt idx="2">
                  <c:v>97217.272727272721</c:v>
                </c:pt>
                <c:pt idx="3">
                  <c:v>179295</c:v>
                </c:pt>
                <c:pt idx="4">
                  <c:v>268728.33333333331</c:v>
                </c:pt>
              </c:numCache>
            </c:numRef>
          </c:val>
          <c:extLst>
            <c:ext xmlns:c16="http://schemas.microsoft.com/office/drawing/2014/chart" uri="{C3380CC4-5D6E-409C-BE32-E72D297353CC}">
              <c16:uniqueId val="{00000003-FAA4-4EA8-92C0-1729E2301960}"/>
            </c:ext>
          </c:extLst>
        </c:ser>
        <c:dLbls>
          <c:showLegendKey val="0"/>
          <c:showVal val="0"/>
          <c:showCatName val="0"/>
          <c:showSerName val="0"/>
          <c:showPercent val="0"/>
          <c:showBubbleSize val="0"/>
        </c:dLbls>
        <c:gapWidth val="219"/>
        <c:overlap val="-27"/>
        <c:axId val="1538707471"/>
        <c:axId val="1538706031"/>
      </c:barChart>
      <c:catAx>
        <c:axId val="153870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38706031"/>
        <c:crosses val="autoZero"/>
        <c:auto val="1"/>
        <c:lblAlgn val="ctr"/>
        <c:lblOffset val="100"/>
        <c:noMultiLvlLbl val="0"/>
      </c:catAx>
      <c:valAx>
        <c:axId val="1538706031"/>
        <c:scaling>
          <c:orientation val="minMax"/>
          <c:max val="35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38707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7.svg"/><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png"/><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2</xdr:col>
      <xdr:colOff>57711</xdr:colOff>
      <xdr:row>4</xdr:row>
      <xdr:rowOff>30443</xdr:rowOff>
    </xdr:from>
    <xdr:ext cx="11178614" cy="1501052"/>
    <xdr:sp macro="" textlink="">
      <xdr:nvSpPr>
        <xdr:cNvPr id="2" name="ZoneTexte 1">
          <a:extLst>
            <a:ext uri="{FF2B5EF4-FFF2-40B4-BE49-F238E27FC236}">
              <a16:creationId xmlns:a16="http://schemas.microsoft.com/office/drawing/2014/main" id="{A61AB2D2-7C6B-F097-5D48-95E7F56F18D3}"/>
            </a:ext>
          </a:extLst>
        </xdr:cNvPr>
        <xdr:cNvSpPr txBox="1"/>
      </xdr:nvSpPr>
      <xdr:spPr>
        <a:xfrm>
          <a:off x="1678632" y="941167"/>
          <a:ext cx="11178614" cy="1501052"/>
        </a:xfrm>
        <a:prstGeom prst="rect">
          <a:avLst/>
        </a:prstGeom>
        <a:solidFill>
          <a:schemeClr val="bg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800" kern="1200">
              <a:latin typeface="Aptos" panose="020B0004020202020204" pitchFamily="34" charset="0"/>
            </a:rPr>
            <a:t>Les différents </a:t>
          </a:r>
          <a:r>
            <a:rPr lang="fr-FR" sz="1800" b="1" kern="1200">
              <a:latin typeface="Aptos" panose="020B0004020202020204" pitchFamily="34" charset="0"/>
            </a:rPr>
            <a:t>chantiers menés dans le cadre du Pilier 3 </a:t>
          </a:r>
          <a:r>
            <a:rPr lang="fr-FR" sz="1800" kern="1200">
              <a:latin typeface="Aptos" panose="020B0004020202020204" pitchFamily="34" charset="0"/>
            </a:rPr>
            <a:t>(construction d'un outil carbone, validation des outils carbone existants, formation des salariés en lien avec les clients, construction d'une vigie décarbonation clients permettant de mesurer le gain CO2 des affaires, mise en lumère des potentiels de décarbonation des solutions du Pilier 3...) ont mis en évidence </a:t>
          </a:r>
          <a:r>
            <a:rPr lang="fr-FR" sz="1800" b="1" kern="1200">
              <a:latin typeface="Aptos" panose="020B0004020202020204" pitchFamily="34" charset="0"/>
            </a:rPr>
            <a:t>une hétérogénéité des sources de données </a:t>
          </a:r>
          <a:r>
            <a:rPr lang="fr-FR" sz="1800" kern="1200">
              <a:latin typeface="Aptos" panose="020B0004020202020204" pitchFamily="34" charset="0"/>
            </a:rPr>
            <a:t>et un </a:t>
          </a:r>
          <a:r>
            <a:rPr lang="fr-FR" sz="1800" b="1" kern="1200">
              <a:latin typeface="Aptos" panose="020B0004020202020204" pitchFamily="34" charset="0"/>
            </a:rPr>
            <a:t>manque de référentiel unifié pour les données de décarbonation</a:t>
          </a:r>
          <a:r>
            <a:rPr lang="fr-FR" sz="1800" kern="1200">
              <a:latin typeface="Aptos" panose="020B0004020202020204" pitchFamily="34" charset="0"/>
            </a:rPr>
            <a:t>. </a:t>
          </a:r>
        </a:p>
      </xdr:txBody>
    </xdr:sp>
    <xdr:clientData/>
  </xdr:oneCellAnchor>
  <xdr:twoCellAnchor editAs="oneCell">
    <xdr:from>
      <xdr:col>1</xdr:col>
      <xdr:colOff>736411</xdr:colOff>
      <xdr:row>14</xdr:row>
      <xdr:rowOff>73404</xdr:rowOff>
    </xdr:from>
    <xdr:to>
      <xdr:col>6</xdr:col>
      <xdr:colOff>743320</xdr:colOff>
      <xdr:row>31</xdr:row>
      <xdr:rowOff>65147</xdr:rowOff>
    </xdr:to>
    <xdr:pic>
      <xdr:nvPicPr>
        <xdr:cNvPr id="5" name="Image 4">
          <a:extLst>
            <a:ext uri="{FF2B5EF4-FFF2-40B4-BE49-F238E27FC236}">
              <a16:creationId xmlns:a16="http://schemas.microsoft.com/office/drawing/2014/main" id="{57CF4B2A-9220-7589-FF35-BA42052F9CCD}"/>
            </a:ext>
          </a:extLst>
        </xdr:cNvPr>
        <xdr:cNvPicPr>
          <a:picLocks noChangeAspect="1"/>
        </xdr:cNvPicPr>
      </xdr:nvPicPr>
      <xdr:blipFill>
        <a:blip xmlns:r="http://schemas.openxmlformats.org/officeDocument/2006/relationships" r:embed="rId1"/>
        <a:stretch>
          <a:fillRect/>
        </a:stretch>
      </xdr:blipFill>
      <xdr:spPr>
        <a:xfrm>
          <a:off x="1543235" y="2975728"/>
          <a:ext cx="11167967" cy="4149125"/>
        </a:xfrm>
        <a:prstGeom prst="rect">
          <a:avLst/>
        </a:prstGeom>
      </xdr:spPr>
    </xdr:pic>
    <xdr:clientData/>
  </xdr:twoCellAnchor>
  <xdr:oneCellAnchor>
    <xdr:from>
      <xdr:col>1</xdr:col>
      <xdr:colOff>754343</xdr:colOff>
      <xdr:row>35</xdr:row>
      <xdr:rowOff>6724</xdr:rowOff>
    </xdr:from>
    <xdr:ext cx="11810626" cy="718530"/>
    <xdr:sp macro="" textlink="">
      <xdr:nvSpPr>
        <xdr:cNvPr id="6" name="ZoneTexte 5">
          <a:extLst>
            <a:ext uri="{FF2B5EF4-FFF2-40B4-BE49-F238E27FC236}">
              <a16:creationId xmlns:a16="http://schemas.microsoft.com/office/drawing/2014/main" id="{06ADA363-32CC-FD60-9F0A-1E48A46269B2}"/>
            </a:ext>
          </a:extLst>
        </xdr:cNvPr>
        <xdr:cNvSpPr txBox="1"/>
      </xdr:nvSpPr>
      <xdr:spPr>
        <a:xfrm>
          <a:off x="1561167" y="8164606"/>
          <a:ext cx="11810626" cy="718530"/>
        </a:xfrm>
        <a:prstGeom prst="rect">
          <a:avLst/>
        </a:prstGeom>
        <a:solidFill>
          <a:schemeClr val="bg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2000" i="0" kern="1200">
              <a:latin typeface="Aptos" panose="020B0004020202020204" pitchFamily="34" charset="0"/>
            </a:rPr>
            <a:t>"</a:t>
          </a:r>
          <a:r>
            <a:rPr lang="fr-FR" sz="2000" i="1" kern="1200">
              <a:latin typeface="Aptos" panose="020B0004020202020204" pitchFamily="34" charset="0"/>
            </a:rPr>
            <a:t>Une </a:t>
          </a:r>
          <a:r>
            <a:rPr lang="fr-FR" sz="2000" b="1" i="1" kern="1200">
              <a:latin typeface="Aptos" panose="020B0004020202020204" pitchFamily="34" charset="0"/>
            </a:rPr>
            <a:t>base unique et fiable </a:t>
          </a:r>
          <a:r>
            <a:rPr lang="fr-FR" sz="2000" i="1" kern="1200">
              <a:latin typeface="Aptos" panose="020B0004020202020204" pitchFamily="34" charset="0"/>
            </a:rPr>
            <a:t>pour centraliser les données  </a:t>
          </a:r>
          <a:r>
            <a:rPr lang="fr-FR" sz="2000" b="1" i="1" kern="1200">
              <a:latin typeface="Aptos" panose="020B0004020202020204" pitchFamily="34" charset="0"/>
            </a:rPr>
            <a:t>énergétiques</a:t>
          </a:r>
          <a:r>
            <a:rPr lang="fr-FR" sz="2000" i="1" kern="1200">
              <a:latin typeface="Aptos" panose="020B0004020202020204" pitchFamily="34" charset="0"/>
            </a:rPr>
            <a:t>, </a:t>
          </a:r>
          <a:r>
            <a:rPr lang="fr-FR" sz="2000" b="1" i="1" kern="1200">
              <a:latin typeface="Aptos" panose="020B0004020202020204" pitchFamily="34" charset="0"/>
            </a:rPr>
            <a:t>carbone</a:t>
          </a:r>
          <a:r>
            <a:rPr lang="fr-FR" sz="2000" i="1" kern="1200">
              <a:latin typeface="Aptos" panose="020B0004020202020204" pitchFamily="34" charset="0"/>
            </a:rPr>
            <a:t> et </a:t>
          </a:r>
          <a:r>
            <a:rPr lang="fr-FR" sz="2000" b="1" i="1" kern="1200">
              <a:latin typeface="Aptos" panose="020B0004020202020204" pitchFamily="34" charset="0"/>
            </a:rPr>
            <a:t>monétaires</a:t>
          </a:r>
          <a:r>
            <a:rPr lang="fr-FR" sz="2000" i="1" kern="1200">
              <a:latin typeface="Aptos" panose="020B0004020202020204" pitchFamily="34" charset="0"/>
            </a:rPr>
            <a:t> des équipements de nos clients, à destination des collaborateurs GRDF pour leurs usages au quotidien</a:t>
          </a:r>
          <a:r>
            <a:rPr lang="fr-FR" sz="2000" i="0" kern="1200">
              <a:latin typeface="Aptos" panose="020B0004020202020204" pitchFamily="34" charset="0"/>
            </a:rPr>
            <a:t>"</a:t>
          </a:r>
        </a:p>
      </xdr:txBody>
    </xdr:sp>
    <xdr:clientData/>
  </xdr:oneCellAnchor>
  <xdr:twoCellAnchor editAs="oneCell">
    <xdr:from>
      <xdr:col>1</xdr:col>
      <xdr:colOff>509121</xdr:colOff>
      <xdr:row>40</xdr:row>
      <xdr:rowOff>148851</xdr:rowOff>
    </xdr:from>
    <xdr:to>
      <xdr:col>7</xdr:col>
      <xdr:colOff>697941</xdr:colOff>
      <xdr:row>60</xdr:row>
      <xdr:rowOff>111564</xdr:rowOff>
    </xdr:to>
    <xdr:pic>
      <xdr:nvPicPr>
        <xdr:cNvPr id="8" name="Image 7">
          <a:extLst>
            <a:ext uri="{FF2B5EF4-FFF2-40B4-BE49-F238E27FC236}">
              <a16:creationId xmlns:a16="http://schemas.microsoft.com/office/drawing/2014/main" id="{5ABB0BFA-CF28-7514-E2E6-40EAE915945F}"/>
            </a:ext>
          </a:extLst>
        </xdr:cNvPr>
        <xdr:cNvPicPr>
          <a:picLocks noChangeAspect="1"/>
        </xdr:cNvPicPr>
      </xdr:nvPicPr>
      <xdr:blipFill>
        <a:blip xmlns:r="http://schemas.openxmlformats.org/officeDocument/2006/relationships" r:embed="rId2"/>
        <a:stretch>
          <a:fillRect/>
        </a:stretch>
      </xdr:blipFill>
      <xdr:spPr>
        <a:xfrm>
          <a:off x="1315945" y="9404910"/>
          <a:ext cx="12159877" cy="3996830"/>
        </a:xfrm>
        <a:prstGeom prst="rect">
          <a:avLst/>
        </a:prstGeom>
      </xdr:spPr>
    </xdr:pic>
    <xdr:clientData/>
  </xdr:twoCellAnchor>
  <xdr:oneCellAnchor>
    <xdr:from>
      <xdr:col>1</xdr:col>
      <xdr:colOff>714561</xdr:colOff>
      <xdr:row>64</xdr:row>
      <xdr:rowOff>1495</xdr:rowOff>
    </xdr:from>
    <xdr:ext cx="11810626" cy="1221938"/>
    <xdr:sp macro="" textlink="">
      <xdr:nvSpPr>
        <xdr:cNvPr id="9" name="ZoneTexte 8">
          <a:extLst>
            <a:ext uri="{FF2B5EF4-FFF2-40B4-BE49-F238E27FC236}">
              <a16:creationId xmlns:a16="http://schemas.microsoft.com/office/drawing/2014/main" id="{77539FE4-2D40-9A4D-5E53-5FDDEA885CCD}"/>
            </a:ext>
          </a:extLst>
        </xdr:cNvPr>
        <xdr:cNvSpPr txBox="1"/>
      </xdr:nvSpPr>
      <xdr:spPr>
        <a:xfrm>
          <a:off x="1521385" y="14188142"/>
          <a:ext cx="11810626" cy="1221938"/>
        </a:xfrm>
        <a:prstGeom prst="rect">
          <a:avLst/>
        </a:prstGeom>
        <a:solidFill>
          <a:schemeClr val="bg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800" i="0" kern="1200">
              <a:latin typeface="Aptos" panose="020B0004020202020204" pitchFamily="34" charset="0"/>
            </a:rPr>
            <a:t>▶Le référentiel de données nous a permis de construire un </a:t>
          </a:r>
          <a:r>
            <a:rPr lang="fr-FR" sz="1800" b="1" i="0" kern="1200">
              <a:latin typeface="Aptos" panose="020B0004020202020204" pitchFamily="34" charset="0"/>
            </a:rPr>
            <a:t>outil d’estimation des ordres de grandeur de gains CO2 </a:t>
          </a:r>
          <a:r>
            <a:rPr lang="fr-FR" sz="1800" i="0" kern="1200">
              <a:latin typeface="Aptos" panose="020B0004020202020204" pitchFamily="34" charset="0"/>
            </a:rPr>
            <a:t>en remplaçant un équipement par un autre plus performant, en résidentiel et tertiaire et en mettant en place des actions d’efficacité énergétique en industrie. </a:t>
          </a:r>
        </a:p>
        <a:p>
          <a:r>
            <a:rPr lang="fr-FR" sz="1800" i="0" kern="1200">
              <a:latin typeface="Aptos" panose="020B0004020202020204" pitchFamily="34" charset="0"/>
            </a:rPr>
            <a:t>▶ Voir </a:t>
          </a:r>
          <a:r>
            <a:rPr lang="fr-FR" sz="1800" b="1" i="0" kern="1200">
              <a:solidFill>
                <a:srgbClr val="FF66FF"/>
              </a:solidFill>
              <a:latin typeface="Aptos" panose="020B0004020202020204" pitchFamily="34" charset="0"/>
            </a:rPr>
            <a:t>3.2 Outil carbone </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112283</xdr:colOff>
      <xdr:row>74</xdr:row>
      <xdr:rowOff>50799</xdr:rowOff>
    </xdr:from>
    <xdr:to>
      <xdr:col>17</xdr:col>
      <xdr:colOff>802291</xdr:colOff>
      <xdr:row>93</xdr:row>
      <xdr:rowOff>169244</xdr:rowOff>
    </xdr:to>
    <xdr:pic>
      <xdr:nvPicPr>
        <xdr:cNvPr id="2" name="Image 1">
          <a:extLst>
            <a:ext uri="{FF2B5EF4-FFF2-40B4-BE49-F238E27FC236}">
              <a16:creationId xmlns:a16="http://schemas.microsoft.com/office/drawing/2014/main" id="{92BAAC4F-6212-4EB0-A7C7-FEB62CE2C3ED}"/>
            </a:ext>
          </a:extLst>
        </xdr:cNvPr>
        <xdr:cNvPicPr>
          <a:picLocks noChangeAspect="1"/>
        </xdr:cNvPicPr>
      </xdr:nvPicPr>
      <xdr:blipFill>
        <a:blip xmlns:r="http://schemas.openxmlformats.org/officeDocument/2006/relationships" r:embed="rId1"/>
        <a:stretch>
          <a:fillRect/>
        </a:stretch>
      </xdr:blipFill>
      <xdr:spPr>
        <a:xfrm>
          <a:off x="14133083" y="612774"/>
          <a:ext cx="8233808" cy="35664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297124</xdr:colOff>
      <xdr:row>18</xdr:row>
      <xdr:rowOff>28021</xdr:rowOff>
    </xdr:from>
    <xdr:to>
      <xdr:col>30</xdr:col>
      <xdr:colOff>163566</xdr:colOff>
      <xdr:row>54</xdr:row>
      <xdr:rowOff>27471</xdr:rowOff>
    </xdr:to>
    <xdr:pic>
      <xdr:nvPicPr>
        <xdr:cNvPr id="2" name="Graphique 1">
          <a:extLst>
            <a:ext uri="{FF2B5EF4-FFF2-40B4-BE49-F238E27FC236}">
              <a16:creationId xmlns:a16="http://schemas.microsoft.com/office/drawing/2014/main" id="{0DB0CEAF-8708-48C1-B910-85C8E18BF0D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505624" y="3526871"/>
          <a:ext cx="12010817" cy="67050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627530</xdr:colOff>
      <xdr:row>4</xdr:row>
      <xdr:rowOff>40822</xdr:rowOff>
    </xdr:from>
    <xdr:to>
      <xdr:col>14</xdr:col>
      <xdr:colOff>768385</xdr:colOff>
      <xdr:row>13</xdr:row>
      <xdr:rowOff>201705</xdr:rowOff>
    </xdr:to>
    <xdr:sp macro="" textlink="">
      <xdr:nvSpPr>
        <xdr:cNvPr id="2" name="Rectangle 1">
          <a:extLst>
            <a:ext uri="{FF2B5EF4-FFF2-40B4-BE49-F238E27FC236}">
              <a16:creationId xmlns:a16="http://schemas.microsoft.com/office/drawing/2014/main" id="{E15B3A87-3EA3-4913-B11D-DC0C46DD82F5}"/>
            </a:ext>
          </a:extLst>
        </xdr:cNvPr>
        <xdr:cNvSpPr/>
      </xdr:nvSpPr>
      <xdr:spPr>
        <a:xfrm>
          <a:off x="12928387" y="911679"/>
          <a:ext cx="6332105" cy="1997847"/>
        </a:xfrm>
        <a:prstGeom prst="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solidFill>
                <a:sysClr val="windowText" lastClr="000000"/>
              </a:solidFill>
            </a:rPr>
            <a:t>Les consommations de gaz</a:t>
          </a:r>
          <a:r>
            <a:rPr lang="fr-FR" sz="1200" b="0" baseline="0">
              <a:solidFill>
                <a:sysClr val="windowText" lastClr="000000"/>
              </a:solidFill>
            </a:rPr>
            <a:t> sont en </a:t>
          </a:r>
          <a:r>
            <a:rPr lang="fr-FR" sz="2000" b="1" baseline="0">
              <a:solidFill>
                <a:sysClr val="windowText" lastClr="000000"/>
              </a:solidFill>
            </a:rPr>
            <a:t>PCI. </a:t>
          </a:r>
          <a:endParaRPr lang="fr-FR" sz="2000" b="1">
            <a:solidFill>
              <a:sysClr val="windowText" lastClr="000000"/>
            </a:solidFill>
          </a:endParaRPr>
        </a:p>
        <a:p>
          <a:pPr algn="l"/>
          <a:endParaRPr lang="fr-FR" sz="1200" b="0">
            <a:solidFill>
              <a:sysClr val="windowText" lastClr="000000"/>
            </a:solidFill>
          </a:endParaRPr>
        </a:p>
        <a:p>
          <a:pPr algn="l"/>
          <a:r>
            <a:rPr lang="fr-FR" sz="1200" b="0">
              <a:solidFill>
                <a:sysClr val="windowText" lastClr="000000"/>
              </a:solidFill>
            </a:rPr>
            <a:t>Les performances</a:t>
          </a:r>
          <a:r>
            <a:rPr lang="fr-FR" sz="1200" b="0" baseline="0">
              <a:solidFill>
                <a:sysClr val="windowText" lastClr="000000"/>
              </a:solidFill>
            </a:rPr>
            <a:t> relatives des équipements sont mesurées en Energie Primaire.  Les facteurs de conversion de l'énergie finale (exprimée en PCI) sont les suivants :</a:t>
          </a:r>
        </a:p>
        <a:p>
          <a:pPr algn="l"/>
          <a:r>
            <a:rPr lang="fr-FR" sz="1200" b="1" baseline="0">
              <a:solidFill>
                <a:sysClr val="windowText" lastClr="000000"/>
              </a:solidFill>
            </a:rPr>
            <a:t>x2,3 </a:t>
          </a:r>
          <a:r>
            <a:rPr lang="fr-FR" sz="1200" b="0" baseline="0">
              <a:solidFill>
                <a:sysClr val="windowText" lastClr="000000"/>
              </a:solidFill>
            </a:rPr>
            <a:t>pour l'électricité </a:t>
          </a:r>
        </a:p>
        <a:p>
          <a:pPr algn="l"/>
          <a:r>
            <a:rPr lang="fr-FR" sz="1200" b="1" baseline="0">
              <a:solidFill>
                <a:sysClr val="windowText" lastClr="000000"/>
              </a:solidFill>
            </a:rPr>
            <a:t>x1 </a:t>
          </a:r>
          <a:r>
            <a:rPr lang="fr-FR" sz="1200" b="0" baseline="0">
              <a:solidFill>
                <a:sysClr val="windowText" lastClr="000000"/>
              </a:solidFill>
            </a:rPr>
            <a:t>pour les autres énergies.</a:t>
          </a:r>
        </a:p>
        <a:p>
          <a:pPr algn="l"/>
          <a:endParaRPr lang="fr-FR" sz="1200" b="1" baseline="0">
            <a:solidFill>
              <a:sysClr val="windowText" lastClr="000000"/>
            </a:solidFill>
          </a:endParaRPr>
        </a:p>
        <a:p>
          <a:pPr algn="l"/>
          <a:r>
            <a:rPr lang="fr-FR" sz="1200" b="1">
              <a:solidFill>
                <a:sysClr val="windowText" lastClr="000000"/>
              </a:solidFill>
            </a:rPr>
            <a:t>Pourquoi convertir ? </a:t>
          </a:r>
          <a:r>
            <a:rPr lang="fr-FR" sz="1200">
              <a:solidFill>
                <a:sysClr val="windowText" lastClr="000000"/>
              </a:solidFill>
            </a:rPr>
            <a:t>Le but de tout rapporter en énergie primaire est de comparer les consommations des énergies entre elles, en prenant en compte les pertes liées à la transformation et à l’acheminement. Cela est particulièrement important, notamment pour la réglementation thermique, qui doit être égale pour tous les types d'énergie.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668351</xdr:colOff>
      <xdr:row>3</xdr:row>
      <xdr:rowOff>108858</xdr:rowOff>
    </xdr:from>
    <xdr:to>
      <xdr:col>14</xdr:col>
      <xdr:colOff>809206</xdr:colOff>
      <xdr:row>14</xdr:row>
      <xdr:rowOff>40822</xdr:rowOff>
    </xdr:to>
    <xdr:sp macro="" textlink="">
      <xdr:nvSpPr>
        <xdr:cNvPr id="2" name="Rectangle 1">
          <a:extLst>
            <a:ext uri="{FF2B5EF4-FFF2-40B4-BE49-F238E27FC236}">
              <a16:creationId xmlns:a16="http://schemas.microsoft.com/office/drawing/2014/main" id="{3BA25ED7-0FC8-4B43-B6B7-29FB8430B475}"/>
            </a:ext>
          </a:extLst>
        </xdr:cNvPr>
        <xdr:cNvSpPr/>
      </xdr:nvSpPr>
      <xdr:spPr>
        <a:xfrm>
          <a:off x="12969208" y="802822"/>
          <a:ext cx="6332105" cy="2286000"/>
        </a:xfrm>
        <a:prstGeom prst="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solidFill>
                <a:sysClr val="windowText" lastClr="000000"/>
              </a:solidFill>
            </a:rPr>
            <a:t>Les consommations de gaz</a:t>
          </a:r>
          <a:r>
            <a:rPr lang="fr-FR" sz="1200" b="0" baseline="0">
              <a:solidFill>
                <a:sysClr val="windowText" lastClr="000000"/>
              </a:solidFill>
            </a:rPr>
            <a:t> sont en </a:t>
          </a:r>
          <a:r>
            <a:rPr lang="fr-FR" sz="2000" b="1" baseline="0">
              <a:solidFill>
                <a:sysClr val="windowText" lastClr="000000"/>
              </a:solidFill>
            </a:rPr>
            <a:t>PCS (x 1,11 gaz, x1,075 fioul)</a:t>
          </a:r>
          <a:endParaRPr lang="fr-FR" sz="2000" b="1">
            <a:solidFill>
              <a:sysClr val="windowText" lastClr="000000"/>
            </a:solidFill>
          </a:endParaRPr>
        </a:p>
        <a:p>
          <a:pPr algn="l"/>
          <a:endParaRPr lang="fr-FR" sz="1200" b="0">
            <a:solidFill>
              <a:sysClr val="windowText" lastClr="000000"/>
            </a:solidFill>
          </a:endParaRPr>
        </a:p>
        <a:p>
          <a:pPr algn="l"/>
          <a:r>
            <a:rPr lang="fr-FR" sz="1200" b="0">
              <a:solidFill>
                <a:sysClr val="windowText" lastClr="000000"/>
              </a:solidFill>
            </a:rPr>
            <a:t>Les performances</a:t>
          </a:r>
          <a:r>
            <a:rPr lang="fr-FR" sz="1200" b="0" baseline="0">
              <a:solidFill>
                <a:sysClr val="windowText" lastClr="000000"/>
              </a:solidFill>
            </a:rPr>
            <a:t> relatives des équipements sont mesurées en Energie Primaire.  Les facteurs de conversion de l'énergie finale (exprimée en PCI) sont les suivants :</a:t>
          </a:r>
        </a:p>
        <a:p>
          <a:pPr algn="l"/>
          <a:r>
            <a:rPr lang="fr-FR" sz="1200" b="1" baseline="0">
              <a:solidFill>
                <a:sysClr val="windowText" lastClr="000000"/>
              </a:solidFill>
            </a:rPr>
            <a:t>x2,3 </a:t>
          </a:r>
          <a:r>
            <a:rPr lang="fr-FR" sz="1200" b="0" baseline="0">
              <a:solidFill>
                <a:sysClr val="windowText" lastClr="000000"/>
              </a:solidFill>
            </a:rPr>
            <a:t>pour l'électricité </a:t>
          </a:r>
        </a:p>
        <a:p>
          <a:pPr algn="l"/>
          <a:r>
            <a:rPr lang="fr-FR" sz="1200" b="1" baseline="0">
              <a:solidFill>
                <a:sysClr val="windowText" lastClr="000000"/>
              </a:solidFill>
            </a:rPr>
            <a:t>x1 </a:t>
          </a:r>
          <a:r>
            <a:rPr lang="fr-FR" sz="1200" b="0" baseline="0">
              <a:solidFill>
                <a:sysClr val="windowText" lastClr="000000"/>
              </a:solidFill>
            </a:rPr>
            <a:t>pour les autres énergies.</a:t>
          </a:r>
        </a:p>
        <a:p>
          <a:pPr algn="l"/>
          <a:endParaRPr lang="fr-FR" sz="1200" b="1" baseline="0">
            <a:solidFill>
              <a:sysClr val="windowText" lastClr="000000"/>
            </a:solidFill>
          </a:endParaRPr>
        </a:p>
        <a:p>
          <a:pPr algn="l"/>
          <a:r>
            <a:rPr lang="fr-FR" sz="1200" b="1">
              <a:solidFill>
                <a:sysClr val="windowText" lastClr="000000"/>
              </a:solidFill>
            </a:rPr>
            <a:t>Pourquoi convertir ? </a:t>
          </a:r>
          <a:r>
            <a:rPr lang="fr-FR" sz="1200">
              <a:solidFill>
                <a:sysClr val="windowText" lastClr="000000"/>
              </a:solidFill>
            </a:rPr>
            <a:t>Le but de tout rapporter en énergie primaire est de comparer les consommations des énergies entre elles, en prenant en compte les pertes liées à la transformation et à l’acheminement. Cela est particulièrement important, notamment pour la réglementation thermique, qui doit être égale pour tous les types d'énergie.</a:t>
          </a:r>
        </a:p>
      </xdr:txBody>
    </xdr:sp>
    <xdr:clientData/>
  </xdr:twoCellAnchor>
  <xdr:twoCellAnchor>
    <xdr:from>
      <xdr:col>6</xdr:col>
      <xdr:colOff>718003</xdr:colOff>
      <xdr:row>67</xdr:row>
      <xdr:rowOff>54428</xdr:rowOff>
    </xdr:from>
    <xdr:to>
      <xdr:col>9</xdr:col>
      <xdr:colOff>986064</xdr:colOff>
      <xdr:row>68</xdr:row>
      <xdr:rowOff>217714</xdr:rowOff>
    </xdr:to>
    <xdr:sp macro="" textlink="">
      <xdr:nvSpPr>
        <xdr:cNvPr id="7" name="Rectangle : coins arrondis 6">
          <a:extLst>
            <a:ext uri="{FF2B5EF4-FFF2-40B4-BE49-F238E27FC236}">
              <a16:creationId xmlns:a16="http://schemas.microsoft.com/office/drawing/2014/main" id="{C8D092D9-5D97-4A43-BD2A-F553F7AFDEFA}"/>
            </a:ext>
          </a:extLst>
        </xdr:cNvPr>
        <xdr:cNvSpPr/>
      </xdr:nvSpPr>
      <xdr:spPr>
        <a:xfrm>
          <a:off x="8991146" y="21472071"/>
          <a:ext cx="4295775" cy="571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600"/>
            <a:t>Alaïs : TO DO </a:t>
          </a:r>
        </a:p>
      </xdr:txBody>
    </xdr:sp>
    <xdr:clientData/>
  </xdr:twoCellAnchor>
  <xdr:twoCellAnchor>
    <xdr:from>
      <xdr:col>6</xdr:col>
      <xdr:colOff>748392</xdr:colOff>
      <xdr:row>85</xdr:row>
      <xdr:rowOff>180067</xdr:rowOff>
    </xdr:from>
    <xdr:to>
      <xdr:col>9</xdr:col>
      <xdr:colOff>1016453</xdr:colOff>
      <xdr:row>86</xdr:row>
      <xdr:rowOff>340177</xdr:rowOff>
    </xdr:to>
    <xdr:sp macro="" textlink="">
      <xdr:nvSpPr>
        <xdr:cNvPr id="8" name="Rectangle : coins arrondis 7">
          <a:extLst>
            <a:ext uri="{FF2B5EF4-FFF2-40B4-BE49-F238E27FC236}">
              <a16:creationId xmlns:a16="http://schemas.microsoft.com/office/drawing/2014/main" id="{8ABE7615-FB82-4199-8C3B-DD7A23814C08}"/>
            </a:ext>
          </a:extLst>
        </xdr:cNvPr>
        <xdr:cNvSpPr/>
      </xdr:nvSpPr>
      <xdr:spPr>
        <a:xfrm>
          <a:off x="9021535" y="28319638"/>
          <a:ext cx="4295775" cy="5683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600"/>
            <a:t>Alaïs : TO DO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627530</xdr:colOff>
      <xdr:row>4</xdr:row>
      <xdr:rowOff>40822</xdr:rowOff>
    </xdr:from>
    <xdr:to>
      <xdr:col>14</xdr:col>
      <xdr:colOff>768385</xdr:colOff>
      <xdr:row>13</xdr:row>
      <xdr:rowOff>201705</xdr:rowOff>
    </xdr:to>
    <xdr:sp macro="" textlink="">
      <xdr:nvSpPr>
        <xdr:cNvPr id="2" name="Rectangle 1">
          <a:extLst>
            <a:ext uri="{FF2B5EF4-FFF2-40B4-BE49-F238E27FC236}">
              <a16:creationId xmlns:a16="http://schemas.microsoft.com/office/drawing/2014/main" id="{62A1440A-2DDA-4BF3-A30D-60CE1D39B6B7}"/>
            </a:ext>
          </a:extLst>
        </xdr:cNvPr>
        <xdr:cNvSpPr/>
      </xdr:nvSpPr>
      <xdr:spPr>
        <a:xfrm>
          <a:off x="12924305" y="917122"/>
          <a:ext cx="6335280" cy="2015083"/>
        </a:xfrm>
        <a:prstGeom prst="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solidFill>
                <a:sysClr val="windowText" lastClr="000000"/>
              </a:solidFill>
            </a:rPr>
            <a:t>Les consommations de gaz</a:t>
          </a:r>
          <a:r>
            <a:rPr lang="fr-FR" sz="1200" b="0" baseline="0">
              <a:solidFill>
                <a:sysClr val="windowText" lastClr="000000"/>
              </a:solidFill>
            </a:rPr>
            <a:t> sont en </a:t>
          </a:r>
          <a:r>
            <a:rPr lang="fr-FR" sz="2000" b="1" baseline="0">
              <a:solidFill>
                <a:sysClr val="windowText" lastClr="000000"/>
              </a:solidFill>
            </a:rPr>
            <a:t>PCI. </a:t>
          </a:r>
          <a:endParaRPr lang="fr-FR" sz="2000" b="1">
            <a:solidFill>
              <a:sysClr val="windowText" lastClr="000000"/>
            </a:solidFill>
          </a:endParaRPr>
        </a:p>
        <a:p>
          <a:pPr algn="l"/>
          <a:endParaRPr lang="fr-FR" sz="1200" b="0">
            <a:solidFill>
              <a:sysClr val="windowText" lastClr="000000"/>
            </a:solidFill>
          </a:endParaRPr>
        </a:p>
        <a:p>
          <a:pPr algn="l"/>
          <a:r>
            <a:rPr lang="fr-FR" sz="1200" b="0">
              <a:solidFill>
                <a:sysClr val="windowText" lastClr="000000"/>
              </a:solidFill>
            </a:rPr>
            <a:t>Les performances</a:t>
          </a:r>
          <a:r>
            <a:rPr lang="fr-FR" sz="1200" b="0" baseline="0">
              <a:solidFill>
                <a:sysClr val="windowText" lastClr="000000"/>
              </a:solidFill>
            </a:rPr>
            <a:t> relatives des équipements sont mesurées en Energie Primaire.  Les facteurs de conversion de l'énergie finale (exprimée en PCI) sont les suivants :</a:t>
          </a:r>
        </a:p>
        <a:p>
          <a:pPr algn="l"/>
          <a:r>
            <a:rPr lang="fr-FR" sz="1200" b="1" baseline="0">
              <a:solidFill>
                <a:sysClr val="windowText" lastClr="000000"/>
              </a:solidFill>
            </a:rPr>
            <a:t>x2,3 </a:t>
          </a:r>
          <a:r>
            <a:rPr lang="fr-FR" sz="1200" b="0" baseline="0">
              <a:solidFill>
                <a:sysClr val="windowText" lastClr="000000"/>
              </a:solidFill>
            </a:rPr>
            <a:t>pour l'électricité </a:t>
          </a:r>
        </a:p>
        <a:p>
          <a:pPr algn="l"/>
          <a:r>
            <a:rPr lang="fr-FR" sz="1200" b="1" baseline="0">
              <a:solidFill>
                <a:sysClr val="windowText" lastClr="000000"/>
              </a:solidFill>
            </a:rPr>
            <a:t>x1 </a:t>
          </a:r>
          <a:r>
            <a:rPr lang="fr-FR" sz="1200" b="0" baseline="0">
              <a:solidFill>
                <a:sysClr val="windowText" lastClr="000000"/>
              </a:solidFill>
            </a:rPr>
            <a:t>pour les autres énergies.</a:t>
          </a:r>
        </a:p>
        <a:p>
          <a:pPr algn="l"/>
          <a:endParaRPr lang="fr-FR" sz="1200" b="1" baseline="0">
            <a:solidFill>
              <a:sysClr val="windowText" lastClr="000000"/>
            </a:solidFill>
          </a:endParaRPr>
        </a:p>
        <a:p>
          <a:pPr algn="l"/>
          <a:r>
            <a:rPr lang="fr-FR" sz="1200" b="1">
              <a:solidFill>
                <a:sysClr val="windowText" lastClr="000000"/>
              </a:solidFill>
            </a:rPr>
            <a:t>Pourquoi convertir ? </a:t>
          </a:r>
          <a:r>
            <a:rPr lang="fr-FR" sz="1200">
              <a:solidFill>
                <a:sysClr val="windowText" lastClr="000000"/>
              </a:solidFill>
            </a:rPr>
            <a:t>Le but de tout rapporter en énergie primaire est de comparer les consommations des énergies entre elles, en prenant en compte les pertes liées à la transformation et à l’acheminement. Cela est particulièrement important, notamment pour la réglementation thermique, qui doit être égale pour tous les types d'énergie.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627530</xdr:colOff>
      <xdr:row>4</xdr:row>
      <xdr:rowOff>40822</xdr:rowOff>
    </xdr:from>
    <xdr:to>
      <xdr:col>14</xdr:col>
      <xdr:colOff>768385</xdr:colOff>
      <xdr:row>13</xdr:row>
      <xdr:rowOff>201705</xdr:rowOff>
    </xdr:to>
    <xdr:sp macro="" textlink="">
      <xdr:nvSpPr>
        <xdr:cNvPr id="2" name="Rectangle 1">
          <a:extLst>
            <a:ext uri="{FF2B5EF4-FFF2-40B4-BE49-F238E27FC236}">
              <a16:creationId xmlns:a16="http://schemas.microsoft.com/office/drawing/2014/main" id="{AF6191ED-3EDE-45E7-B247-032B340F27D4}"/>
            </a:ext>
          </a:extLst>
        </xdr:cNvPr>
        <xdr:cNvSpPr/>
      </xdr:nvSpPr>
      <xdr:spPr>
        <a:xfrm>
          <a:off x="12924305" y="917122"/>
          <a:ext cx="6335280" cy="2015083"/>
        </a:xfrm>
        <a:prstGeom prst="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solidFill>
                <a:sysClr val="windowText" lastClr="000000"/>
              </a:solidFill>
            </a:rPr>
            <a:t>Les consommations de gaz</a:t>
          </a:r>
          <a:r>
            <a:rPr lang="fr-FR" sz="1200" b="0" baseline="0">
              <a:solidFill>
                <a:sysClr val="windowText" lastClr="000000"/>
              </a:solidFill>
            </a:rPr>
            <a:t> sont en </a:t>
          </a:r>
          <a:r>
            <a:rPr lang="fr-FR" sz="2000" b="1" baseline="0">
              <a:solidFill>
                <a:sysClr val="windowText" lastClr="000000"/>
              </a:solidFill>
            </a:rPr>
            <a:t>PCI. </a:t>
          </a:r>
          <a:endParaRPr lang="fr-FR" sz="2000" b="1">
            <a:solidFill>
              <a:sysClr val="windowText" lastClr="000000"/>
            </a:solidFill>
          </a:endParaRPr>
        </a:p>
        <a:p>
          <a:pPr algn="l"/>
          <a:endParaRPr lang="fr-FR" sz="1200" b="0">
            <a:solidFill>
              <a:sysClr val="windowText" lastClr="000000"/>
            </a:solidFill>
          </a:endParaRPr>
        </a:p>
        <a:p>
          <a:pPr algn="l"/>
          <a:r>
            <a:rPr lang="fr-FR" sz="1200" b="0">
              <a:solidFill>
                <a:sysClr val="windowText" lastClr="000000"/>
              </a:solidFill>
            </a:rPr>
            <a:t>Les performances</a:t>
          </a:r>
          <a:r>
            <a:rPr lang="fr-FR" sz="1200" b="0" baseline="0">
              <a:solidFill>
                <a:sysClr val="windowText" lastClr="000000"/>
              </a:solidFill>
            </a:rPr>
            <a:t> relatives des équipements sont mesurées en Energie Primaire.  Les facteurs de conversion de l'énergie finale (exprimée en PCI) sont les suivants :</a:t>
          </a:r>
        </a:p>
        <a:p>
          <a:pPr algn="l"/>
          <a:r>
            <a:rPr lang="fr-FR" sz="1200" b="1" baseline="0">
              <a:solidFill>
                <a:sysClr val="windowText" lastClr="000000"/>
              </a:solidFill>
            </a:rPr>
            <a:t>x2,3 </a:t>
          </a:r>
          <a:r>
            <a:rPr lang="fr-FR" sz="1200" b="0" baseline="0">
              <a:solidFill>
                <a:sysClr val="windowText" lastClr="000000"/>
              </a:solidFill>
            </a:rPr>
            <a:t>pour l'électricité </a:t>
          </a:r>
        </a:p>
        <a:p>
          <a:pPr algn="l"/>
          <a:r>
            <a:rPr lang="fr-FR" sz="1200" b="1" baseline="0">
              <a:solidFill>
                <a:sysClr val="windowText" lastClr="000000"/>
              </a:solidFill>
            </a:rPr>
            <a:t>x1 </a:t>
          </a:r>
          <a:r>
            <a:rPr lang="fr-FR" sz="1200" b="0" baseline="0">
              <a:solidFill>
                <a:sysClr val="windowText" lastClr="000000"/>
              </a:solidFill>
            </a:rPr>
            <a:t>pour les autres énergies.</a:t>
          </a:r>
        </a:p>
        <a:p>
          <a:pPr algn="l"/>
          <a:endParaRPr lang="fr-FR" sz="1200" b="1" baseline="0">
            <a:solidFill>
              <a:sysClr val="windowText" lastClr="000000"/>
            </a:solidFill>
          </a:endParaRPr>
        </a:p>
        <a:p>
          <a:pPr algn="l"/>
          <a:r>
            <a:rPr lang="fr-FR" sz="1200" b="1">
              <a:solidFill>
                <a:sysClr val="windowText" lastClr="000000"/>
              </a:solidFill>
            </a:rPr>
            <a:t>Pourquoi convertir ? </a:t>
          </a:r>
          <a:r>
            <a:rPr lang="fr-FR" sz="1200">
              <a:solidFill>
                <a:sysClr val="windowText" lastClr="000000"/>
              </a:solidFill>
            </a:rPr>
            <a:t>Le but de tout rapporter en énergie primaire est de comparer les consommations des énergies entre elles, en prenant en compte les pertes liées à la transformation et à l’acheminement. Cela est particulièrement important, notamment pour la réglementation thermique, qui doit être égale pour tous les types d'énergie.</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142875</xdr:colOff>
      <xdr:row>15</xdr:row>
      <xdr:rowOff>76200</xdr:rowOff>
    </xdr:from>
    <xdr:to>
      <xdr:col>3</xdr:col>
      <xdr:colOff>1592234</xdr:colOff>
      <xdr:row>29</xdr:row>
      <xdr:rowOff>91017</xdr:rowOff>
    </xdr:to>
    <xdr:pic>
      <xdr:nvPicPr>
        <xdr:cNvPr id="2" name="Image 1">
          <a:extLst>
            <a:ext uri="{FF2B5EF4-FFF2-40B4-BE49-F238E27FC236}">
              <a16:creationId xmlns:a16="http://schemas.microsoft.com/office/drawing/2014/main" id="{561F0ED8-7809-9896-0BF1-78DDCB2306A5}"/>
            </a:ext>
          </a:extLst>
        </xdr:cNvPr>
        <xdr:cNvPicPr>
          <a:picLocks noChangeAspect="1"/>
        </xdr:cNvPicPr>
      </xdr:nvPicPr>
      <xdr:blipFill>
        <a:blip xmlns:r="http://schemas.openxmlformats.org/officeDocument/2006/relationships" r:embed="rId1"/>
        <a:stretch>
          <a:fillRect/>
        </a:stretch>
      </xdr:blipFill>
      <xdr:spPr>
        <a:xfrm>
          <a:off x="981075" y="2867025"/>
          <a:ext cx="5621309" cy="2548467"/>
        </a:xfrm>
        <a:prstGeom prst="rect">
          <a:avLst/>
        </a:prstGeom>
      </xdr:spPr>
    </xdr:pic>
    <xdr:clientData/>
  </xdr:twoCellAnchor>
  <xdr:twoCellAnchor>
    <xdr:from>
      <xdr:col>4</xdr:col>
      <xdr:colOff>238125</xdr:colOff>
      <xdr:row>15</xdr:row>
      <xdr:rowOff>123825</xdr:rowOff>
    </xdr:from>
    <xdr:to>
      <xdr:col>5</xdr:col>
      <xdr:colOff>392508</xdr:colOff>
      <xdr:row>35</xdr:row>
      <xdr:rowOff>143752</xdr:rowOff>
    </xdr:to>
    <xdr:grpSp>
      <xdr:nvGrpSpPr>
        <xdr:cNvPr id="3" name="Groupe 2">
          <a:extLst>
            <a:ext uri="{FF2B5EF4-FFF2-40B4-BE49-F238E27FC236}">
              <a16:creationId xmlns:a16="http://schemas.microsoft.com/office/drawing/2014/main" id="{763EDA82-3502-1E1D-B42D-2745F43961B4}"/>
            </a:ext>
          </a:extLst>
        </xdr:cNvPr>
        <xdr:cNvGrpSpPr/>
      </xdr:nvGrpSpPr>
      <xdr:grpSpPr>
        <a:xfrm>
          <a:off x="6915150" y="2914650"/>
          <a:ext cx="2783283" cy="3639427"/>
          <a:chOff x="327694" y="2715489"/>
          <a:chExt cx="2631915" cy="3394365"/>
        </a:xfrm>
      </xdr:grpSpPr>
      <xdr:pic>
        <xdr:nvPicPr>
          <xdr:cNvPr id="4" name="Image 3">
            <a:extLst>
              <a:ext uri="{FF2B5EF4-FFF2-40B4-BE49-F238E27FC236}">
                <a16:creationId xmlns:a16="http://schemas.microsoft.com/office/drawing/2014/main" id="{02B4ACDA-2DCC-E321-4E71-5A8AF6DCF80E}"/>
              </a:ext>
            </a:extLst>
          </xdr:cNvPr>
          <xdr:cNvPicPr>
            <a:picLocks noChangeAspect="1"/>
          </xdr:cNvPicPr>
        </xdr:nvPicPr>
        <xdr:blipFill>
          <a:blip xmlns:r="http://schemas.openxmlformats.org/officeDocument/2006/relationships" r:embed="rId2"/>
          <a:stretch>
            <a:fillRect/>
          </a:stretch>
        </xdr:blipFill>
        <xdr:spPr>
          <a:xfrm>
            <a:off x="327694" y="2715489"/>
            <a:ext cx="1898270" cy="3394365"/>
          </a:xfrm>
          <a:prstGeom prst="rect">
            <a:avLst/>
          </a:prstGeom>
        </xdr:spPr>
      </xdr:pic>
      <xdr:pic>
        <xdr:nvPicPr>
          <xdr:cNvPr id="5" name="Image 4">
            <a:extLst>
              <a:ext uri="{FF2B5EF4-FFF2-40B4-BE49-F238E27FC236}">
                <a16:creationId xmlns:a16="http://schemas.microsoft.com/office/drawing/2014/main" id="{F306BD97-8E4C-2A58-9EBF-2BFC71CDF614}"/>
              </a:ext>
            </a:extLst>
          </xdr:cNvPr>
          <xdr:cNvPicPr>
            <a:picLocks noChangeAspect="1"/>
          </xdr:cNvPicPr>
        </xdr:nvPicPr>
        <xdr:blipFill>
          <a:blip xmlns:r="http://schemas.openxmlformats.org/officeDocument/2006/relationships" r:embed="rId3"/>
          <a:stretch>
            <a:fillRect/>
          </a:stretch>
        </xdr:blipFill>
        <xdr:spPr>
          <a:xfrm>
            <a:off x="2330319" y="3004164"/>
            <a:ext cx="629290" cy="2805508"/>
          </a:xfrm>
          <a:prstGeom prst="rect">
            <a:avLst/>
          </a:prstGeom>
        </xdr:spPr>
      </xdr:pic>
      <xdr:cxnSp macro="">
        <xdr:nvCxnSpPr>
          <xdr:cNvPr id="6" name="Connecteur droit avec flèche 5">
            <a:extLst>
              <a:ext uri="{FF2B5EF4-FFF2-40B4-BE49-F238E27FC236}">
                <a16:creationId xmlns:a16="http://schemas.microsoft.com/office/drawing/2014/main" id="{2B402531-C5E4-4F55-5FD6-EC712AB03BA3}"/>
              </a:ext>
            </a:extLst>
          </xdr:cNvPr>
          <xdr:cNvCxnSpPr/>
        </xdr:nvCxnSpPr>
        <xdr:spPr>
          <a:xfrm>
            <a:off x="1570182" y="3223046"/>
            <a:ext cx="766618" cy="0"/>
          </a:xfrm>
          <a:prstGeom prst="straightConnector1">
            <a:avLst/>
          </a:prstGeom>
          <a:ln w="15875">
            <a:tailEnd type="triangle"/>
          </a:ln>
        </xdr:spPr>
        <xdr:style>
          <a:lnRef idx="1">
            <a:schemeClr val="dk1"/>
          </a:lnRef>
          <a:fillRef idx="0">
            <a:schemeClr val="dk1"/>
          </a:fillRef>
          <a:effectRef idx="0">
            <a:schemeClr val="dk1"/>
          </a:effectRef>
          <a:fontRef idx="minor">
            <a:schemeClr val="tx1"/>
          </a:fontRef>
        </xdr:style>
      </xdr:cxnSp>
      <xdr:cxnSp macro="">
        <xdr:nvCxnSpPr>
          <xdr:cNvPr id="7" name="Connecteur droit avec flèche 6">
            <a:extLst>
              <a:ext uri="{FF2B5EF4-FFF2-40B4-BE49-F238E27FC236}">
                <a16:creationId xmlns:a16="http://schemas.microsoft.com/office/drawing/2014/main" id="{D4525C1D-5C53-23DE-83CC-5A41F425985F}"/>
              </a:ext>
            </a:extLst>
          </xdr:cNvPr>
          <xdr:cNvCxnSpPr/>
        </xdr:nvCxnSpPr>
        <xdr:spPr>
          <a:xfrm>
            <a:off x="1574803" y="3689923"/>
            <a:ext cx="766618" cy="0"/>
          </a:xfrm>
          <a:prstGeom prst="straightConnector1">
            <a:avLst/>
          </a:prstGeom>
          <a:ln w="15875">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AFF674B9-ABEA-343E-959B-4D9A03AE0619}"/>
              </a:ext>
            </a:extLst>
          </xdr:cNvPr>
          <xdr:cNvCxnSpPr/>
        </xdr:nvCxnSpPr>
        <xdr:spPr>
          <a:xfrm>
            <a:off x="1579421" y="4165152"/>
            <a:ext cx="766618" cy="0"/>
          </a:xfrm>
          <a:prstGeom prst="straightConnector1">
            <a:avLst/>
          </a:prstGeom>
          <a:ln w="15875">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FD162CB4-33E5-9D49-2D7A-8722D85DD663}"/>
              </a:ext>
            </a:extLst>
          </xdr:cNvPr>
          <xdr:cNvCxnSpPr/>
        </xdr:nvCxnSpPr>
        <xdr:spPr>
          <a:xfrm>
            <a:off x="1574802" y="4632032"/>
            <a:ext cx="766618" cy="0"/>
          </a:xfrm>
          <a:prstGeom prst="straightConnector1">
            <a:avLst/>
          </a:prstGeom>
          <a:ln w="15875">
            <a:tailEnd type="triangle"/>
          </a:ln>
        </xdr:spPr>
        <xdr:style>
          <a:lnRef idx="1">
            <a:schemeClr val="dk1"/>
          </a:lnRef>
          <a:fillRef idx="0">
            <a:schemeClr val="dk1"/>
          </a:fillRef>
          <a:effectRef idx="0">
            <a:schemeClr val="dk1"/>
          </a:effectRef>
          <a:fontRef idx="minor">
            <a:schemeClr val="tx1"/>
          </a:fontRef>
        </xdr:style>
      </xdr:cxnSp>
      <xdr:cxnSp macro="">
        <xdr:nvCxnSpPr>
          <xdr:cNvPr id="10" name="Connecteur droit avec flèche 9">
            <a:extLst>
              <a:ext uri="{FF2B5EF4-FFF2-40B4-BE49-F238E27FC236}">
                <a16:creationId xmlns:a16="http://schemas.microsoft.com/office/drawing/2014/main" id="{9E846E83-AEAA-76F7-81FD-0E24F59B7966}"/>
              </a:ext>
            </a:extLst>
          </xdr:cNvPr>
          <xdr:cNvCxnSpPr/>
        </xdr:nvCxnSpPr>
        <xdr:spPr>
          <a:xfrm>
            <a:off x="1570183" y="5098468"/>
            <a:ext cx="766618" cy="0"/>
          </a:xfrm>
          <a:prstGeom prst="straightConnector1">
            <a:avLst/>
          </a:prstGeom>
          <a:ln w="15875">
            <a:tailEnd type="triangle"/>
          </a:ln>
        </xdr:spPr>
        <xdr:style>
          <a:lnRef idx="1">
            <a:schemeClr val="dk1"/>
          </a:lnRef>
          <a:fillRef idx="0">
            <a:schemeClr val="dk1"/>
          </a:fillRef>
          <a:effectRef idx="0">
            <a:schemeClr val="dk1"/>
          </a:effectRef>
          <a:fontRef idx="minor">
            <a:schemeClr val="tx1"/>
          </a:fontRef>
        </xdr:style>
      </xdr:cxnSp>
      <xdr:cxnSp macro="">
        <xdr:nvCxnSpPr>
          <xdr:cNvPr id="11" name="Connecteur droit avec flèche 10">
            <a:extLst>
              <a:ext uri="{FF2B5EF4-FFF2-40B4-BE49-F238E27FC236}">
                <a16:creationId xmlns:a16="http://schemas.microsoft.com/office/drawing/2014/main" id="{286E66EB-0391-C150-F5C2-6CEFF66AE884}"/>
              </a:ext>
            </a:extLst>
          </xdr:cNvPr>
          <xdr:cNvCxnSpPr/>
        </xdr:nvCxnSpPr>
        <xdr:spPr>
          <a:xfrm>
            <a:off x="1565565" y="5574140"/>
            <a:ext cx="766618" cy="0"/>
          </a:xfrm>
          <a:prstGeom prst="straightConnector1">
            <a:avLst/>
          </a:prstGeom>
          <a:ln w="15875">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457202</xdr:colOff>
      <xdr:row>17</xdr:row>
      <xdr:rowOff>161924</xdr:rowOff>
    </xdr:from>
    <xdr:to>
      <xdr:col>4</xdr:col>
      <xdr:colOff>1746250</xdr:colOff>
      <xdr:row>38</xdr:row>
      <xdr:rowOff>42334</xdr:rowOff>
    </xdr:to>
    <xdr:sp macro="" textlink="">
      <xdr:nvSpPr>
        <xdr:cNvPr id="2" name="ZoneTexte 1">
          <a:extLst>
            <a:ext uri="{FF2B5EF4-FFF2-40B4-BE49-F238E27FC236}">
              <a16:creationId xmlns:a16="http://schemas.microsoft.com/office/drawing/2014/main" id="{79A055DB-30B4-4207-B9DD-73F82DEECBCF}"/>
            </a:ext>
          </a:extLst>
        </xdr:cNvPr>
        <xdr:cNvSpPr txBox="1"/>
      </xdr:nvSpPr>
      <xdr:spPr>
        <a:xfrm>
          <a:off x="5960535" y="3220507"/>
          <a:ext cx="2982382" cy="3658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u="sng" kern="1200"/>
            <a:t>Hypothèses: </a:t>
          </a:r>
        </a:p>
        <a:p>
          <a:r>
            <a:rPr lang="fr-FR" sz="1100" kern="1200"/>
            <a:t>- Le coût de la</a:t>
          </a:r>
          <a:r>
            <a:rPr lang="fr-FR" sz="1100" kern="1200" baseline="0"/>
            <a:t> rénovation de chaufferie hors chaudière et tubage coûte entre 50% et 90% du prix de la rénovation de la chaufferie total en fonction du nombre de logements.</a:t>
          </a:r>
        </a:p>
        <a:p>
          <a:r>
            <a:rPr lang="fr-FR" sz="1100" kern="1200" baseline="0"/>
            <a:t>- On estime qu'on peut diviser par 2 la puissance de la chaufferie en faisant des travaux sur l'enveloppe.</a:t>
          </a:r>
        </a:p>
        <a:p>
          <a:r>
            <a:rPr lang="fr-FR" sz="1100" kern="1200" baseline="0"/>
            <a:t>- On dimensionne la PAC de la PAC H à 12% de la puissance initiale en situation sans travaux sur le bâti (puissance tenant compte de la prod ECS, d'un surdimensionnement de l'installation et de l'adaptation à des travaux ultérieurs) et à 25% de la puissance de la chaufferie après travaux sur le bâti.</a:t>
          </a:r>
        </a:p>
        <a:p>
          <a:r>
            <a:rPr lang="fr-FR" sz="1100" kern="1200" baseline="0"/>
            <a:t>- Le coût de la rénovation de chaufferie intégre l'équipement des radiateurs de robinets thermostatiques.</a:t>
          </a:r>
        </a:p>
        <a:p>
          <a:r>
            <a:rPr lang="fr-FR" sz="1100" kern="1200" baseline="0"/>
            <a:t>- Les coûts induits sur les PAC sont à challenger.</a:t>
          </a:r>
        </a:p>
        <a:p>
          <a:endParaRPr lang="fr-FR" sz="1100" kern="1200"/>
        </a:p>
      </xdr:txBody>
    </xdr:sp>
    <xdr:clientData/>
  </xdr:twoCellAnchor>
  <xdr:twoCellAnchor>
    <xdr:from>
      <xdr:col>4</xdr:col>
      <xdr:colOff>1989666</xdr:colOff>
      <xdr:row>16</xdr:row>
      <xdr:rowOff>157688</xdr:rowOff>
    </xdr:from>
    <xdr:to>
      <xdr:col>8</xdr:col>
      <xdr:colOff>613834</xdr:colOff>
      <xdr:row>37</xdr:row>
      <xdr:rowOff>127000</xdr:rowOff>
    </xdr:to>
    <xdr:graphicFrame macro="">
      <xdr:nvGraphicFramePr>
        <xdr:cNvPr id="3" name="Graphique 2">
          <a:extLst>
            <a:ext uri="{FF2B5EF4-FFF2-40B4-BE49-F238E27FC236}">
              <a16:creationId xmlns:a16="http://schemas.microsoft.com/office/drawing/2014/main" id="{5F846B6C-4E7E-4A87-85D4-041205E08AAD}"/>
            </a:ext>
            <a:ext uri="{147F2762-F138-4A5C-976F-8EAC2B608ADB}">
              <a16:predDERef xmlns:a16="http://schemas.microsoft.com/office/drawing/2014/main" pred="{79A055DB-30B4-4207-B9DD-73F82DEEC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666750</xdr:colOff>
      <xdr:row>16</xdr:row>
      <xdr:rowOff>158748</xdr:rowOff>
    </xdr:from>
    <xdr:to>
      <xdr:col>12</xdr:col>
      <xdr:colOff>465666</xdr:colOff>
      <xdr:row>37</xdr:row>
      <xdr:rowOff>105830</xdr:rowOff>
    </xdr:to>
    <xdr:graphicFrame macro="">
      <xdr:nvGraphicFramePr>
        <xdr:cNvPr id="4" name="Graphique 3">
          <a:extLst>
            <a:ext uri="{FF2B5EF4-FFF2-40B4-BE49-F238E27FC236}">
              <a16:creationId xmlns:a16="http://schemas.microsoft.com/office/drawing/2014/main" id="{E83578D4-979D-49A9-8BC7-6169D95026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359327</xdr:colOff>
      <xdr:row>95</xdr:row>
      <xdr:rowOff>10215</xdr:rowOff>
    </xdr:from>
    <xdr:to>
      <xdr:col>11</xdr:col>
      <xdr:colOff>797891</xdr:colOff>
      <xdr:row>97</xdr:row>
      <xdr:rowOff>49051</xdr:rowOff>
    </xdr:to>
    <xdr:pic>
      <xdr:nvPicPr>
        <xdr:cNvPr id="2" name="Image 1">
          <a:extLst>
            <a:ext uri="{FF2B5EF4-FFF2-40B4-BE49-F238E27FC236}">
              <a16:creationId xmlns:a16="http://schemas.microsoft.com/office/drawing/2014/main" id="{8BABE9BA-BD21-50B9-167E-3160AC4B8355}"/>
            </a:ext>
          </a:extLst>
        </xdr:cNvPr>
        <xdr:cNvPicPr>
          <a:picLocks noChangeAspect="1"/>
        </xdr:cNvPicPr>
      </xdr:nvPicPr>
      <xdr:blipFill>
        <a:blip xmlns:r="http://schemas.openxmlformats.org/officeDocument/2006/relationships" r:embed="rId1"/>
        <a:stretch>
          <a:fillRect/>
        </a:stretch>
      </xdr:blipFill>
      <xdr:spPr>
        <a:xfrm>
          <a:off x="14075327" y="13013911"/>
          <a:ext cx="432214" cy="43538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828675</xdr:colOff>
      <xdr:row>52</xdr:row>
      <xdr:rowOff>123825</xdr:rowOff>
    </xdr:from>
    <xdr:to>
      <xdr:col>5</xdr:col>
      <xdr:colOff>190500</xdr:colOff>
      <xdr:row>57</xdr:row>
      <xdr:rowOff>111125</xdr:rowOff>
    </xdr:to>
    <xdr:sp macro="" textlink="">
      <xdr:nvSpPr>
        <xdr:cNvPr id="3" name="Rectangle 2">
          <a:extLst>
            <a:ext uri="{FF2B5EF4-FFF2-40B4-BE49-F238E27FC236}">
              <a16:creationId xmlns:a16="http://schemas.microsoft.com/office/drawing/2014/main" id="{34BDA0EA-202E-93DF-D1D6-0C03CE6E74C3}"/>
            </a:ext>
          </a:extLst>
        </xdr:cNvPr>
        <xdr:cNvSpPr/>
      </xdr:nvSpPr>
      <xdr:spPr>
        <a:xfrm>
          <a:off x="828675" y="13296900"/>
          <a:ext cx="6372225" cy="892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400" b="1"/>
            <a:t>Pourquoi convertir ? </a:t>
          </a:r>
          <a:r>
            <a:rPr lang="fr-FR" sz="1100"/>
            <a:t>Le but de tout rapporter en énergie primaire est de comparer les consommations des énergies entre elles, en prenant en compte les pertes liées à la transformation et à l’acheminement. Cela est particulièrement important, notamment pour la réglementation thermique, qui doit être égale pour tous les types d'énergie.</a:t>
          </a:r>
        </a:p>
      </xdr:txBody>
    </xdr:sp>
    <xdr:clientData/>
  </xdr:twoCellAnchor>
  <xdr:twoCellAnchor editAs="oneCell">
    <xdr:from>
      <xdr:col>6</xdr:col>
      <xdr:colOff>358775</xdr:colOff>
      <xdr:row>6</xdr:row>
      <xdr:rowOff>75820</xdr:rowOff>
    </xdr:from>
    <xdr:to>
      <xdr:col>10</xdr:col>
      <xdr:colOff>730671</xdr:colOff>
      <xdr:row>15</xdr:row>
      <xdr:rowOff>104034</xdr:rowOff>
    </xdr:to>
    <xdr:pic>
      <xdr:nvPicPr>
        <xdr:cNvPr id="4" name="Image 3">
          <a:extLst>
            <a:ext uri="{FF2B5EF4-FFF2-40B4-BE49-F238E27FC236}">
              <a16:creationId xmlns:a16="http://schemas.microsoft.com/office/drawing/2014/main" id="{C225E929-A09D-7231-9AAF-41CFDFF4B782}"/>
            </a:ext>
          </a:extLst>
        </xdr:cNvPr>
        <xdr:cNvPicPr>
          <a:picLocks noChangeAspect="1"/>
        </xdr:cNvPicPr>
      </xdr:nvPicPr>
      <xdr:blipFill>
        <a:blip xmlns:r="http://schemas.openxmlformats.org/officeDocument/2006/relationships" r:embed="rId1"/>
        <a:stretch>
          <a:fillRect/>
        </a:stretch>
      </xdr:blipFill>
      <xdr:spPr>
        <a:xfrm>
          <a:off x="11645900" y="1609345"/>
          <a:ext cx="5489996" cy="32284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247651</xdr:colOff>
      <xdr:row>2</xdr:row>
      <xdr:rowOff>161925</xdr:rowOff>
    </xdr:from>
    <xdr:to>
      <xdr:col>1</xdr:col>
      <xdr:colOff>723901</xdr:colOff>
      <xdr:row>3</xdr:row>
      <xdr:rowOff>363001</xdr:rowOff>
    </xdr:to>
    <xdr:pic>
      <xdr:nvPicPr>
        <xdr:cNvPr id="2" name="Image 1">
          <a:extLst>
            <a:ext uri="{FF2B5EF4-FFF2-40B4-BE49-F238E27FC236}">
              <a16:creationId xmlns:a16="http://schemas.microsoft.com/office/drawing/2014/main" id="{BEDC7BA0-1C30-A224-1018-6C7B4BCE5155}"/>
            </a:ext>
          </a:extLst>
        </xdr:cNvPr>
        <xdr:cNvPicPr>
          <a:picLocks noChangeAspect="1"/>
        </xdr:cNvPicPr>
      </xdr:nvPicPr>
      <xdr:blipFill>
        <a:blip xmlns:r="http://schemas.openxmlformats.org/officeDocument/2006/relationships" r:embed="rId1"/>
        <a:stretch>
          <a:fillRect/>
        </a:stretch>
      </xdr:blipFill>
      <xdr:spPr>
        <a:xfrm>
          <a:off x="1057276" y="571500"/>
          <a:ext cx="476250" cy="382051"/>
        </a:xfrm>
        <a:prstGeom prst="rect">
          <a:avLst/>
        </a:prstGeom>
      </xdr:spPr>
    </xdr:pic>
    <xdr:clientData/>
  </xdr:twoCellAnchor>
  <xdr:twoCellAnchor editAs="oneCell">
    <xdr:from>
      <xdr:col>1</xdr:col>
      <xdr:colOff>247650</xdr:colOff>
      <xdr:row>5</xdr:row>
      <xdr:rowOff>31261</xdr:rowOff>
    </xdr:from>
    <xdr:to>
      <xdr:col>1</xdr:col>
      <xdr:colOff>666888</xdr:colOff>
      <xdr:row>6</xdr:row>
      <xdr:rowOff>9639</xdr:rowOff>
    </xdr:to>
    <xdr:pic>
      <xdr:nvPicPr>
        <xdr:cNvPr id="3" name="Image 2">
          <a:extLst>
            <a:ext uri="{FF2B5EF4-FFF2-40B4-BE49-F238E27FC236}">
              <a16:creationId xmlns:a16="http://schemas.microsoft.com/office/drawing/2014/main" id="{C7397B53-BEEE-43A5-5E4F-1D394E885589}"/>
            </a:ext>
          </a:extLst>
        </xdr:cNvPr>
        <xdr:cNvPicPr>
          <a:picLocks noChangeAspect="1"/>
        </xdr:cNvPicPr>
      </xdr:nvPicPr>
      <xdr:blipFill>
        <a:blip xmlns:r="http://schemas.openxmlformats.org/officeDocument/2006/relationships" r:embed="rId2"/>
        <a:stretch>
          <a:fillRect/>
        </a:stretch>
      </xdr:blipFill>
      <xdr:spPr>
        <a:xfrm>
          <a:off x="1057275" y="1364761"/>
          <a:ext cx="419238" cy="349853"/>
        </a:xfrm>
        <a:prstGeom prst="rect">
          <a:avLst/>
        </a:prstGeom>
      </xdr:spPr>
    </xdr:pic>
    <xdr:clientData/>
  </xdr:twoCellAnchor>
  <xdr:twoCellAnchor editAs="oneCell">
    <xdr:from>
      <xdr:col>1</xdr:col>
      <xdr:colOff>228058</xdr:colOff>
      <xdr:row>3</xdr:row>
      <xdr:rowOff>339725</xdr:rowOff>
    </xdr:from>
    <xdr:to>
      <xdr:col>1</xdr:col>
      <xdr:colOff>666630</xdr:colOff>
      <xdr:row>5</xdr:row>
      <xdr:rowOff>125</xdr:rowOff>
    </xdr:to>
    <xdr:pic>
      <xdr:nvPicPr>
        <xdr:cNvPr id="4" name="Image 3">
          <a:extLst>
            <a:ext uri="{FF2B5EF4-FFF2-40B4-BE49-F238E27FC236}">
              <a16:creationId xmlns:a16="http://schemas.microsoft.com/office/drawing/2014/main" id="{5B3AB0A8-0C4F-4045-FD1B-CBB42FE13276}"/>
            </a:ext>
          </a:extLst>
        </xdr:cNvPr>
        <xdr:cNvPicPr>
          <a:picLocks noChangeAspect="1"/>
        </xdr:cNvPicPr>
      </xdr:nvPicPr>
      <xdr:blipFill>
        <a:blip xmlns:r="http://schemas.openxmlformats.org/officeDocument/2006/relationships" r:embed="rId3"/>
        <a:stretch>
          <a:fillRect/>
        </a:stretch>
      </xdr:blipFill>
      <xdr:spPr>
        <a:xfrm>
          <a:off x="1037683" y="930275"/>
          <a:ext cx="438572" cy="403350"/>
        </a:xfrm>
        <a:prstGeom prst="rect">
          <a:avLst/>
        </a:prstGeom>
      </xdr:spPr>
    </xdr:pic>
    <xdr:clientData/>
  </xdr:twoCellAnchor>
  <xdr:twoCellAnchor editAs="oneCell">
    <xdr:from>
      <xdr:col>1</xdr:col>
      <xdr:colOff>285750</xdr:colOff>
      <xdr:row>7</xdr:row>
      <xdr:rowOff>349683</xdr:rowOff>
    </xdr:from>
    <xdr:to>
      <xdr:col>1</xdr:col>
      <xdr:colOff>685917</xdr:colOff>
      <xdr:row>9</xdr:row>
      <xdr:rowOff>19170</xdr:rowOff>
    </xdr:to>
    <xdr:pic>
      <xdr:nvPicPr>
        <xdr:cNvPr id="5" name="Image 4">
          <a:extLst>
            <a:ext uri="{FF2B5EF4-FFF2-40B4-BE49-F238E27FC236}">
              <a16:creationId xmlns:a16="http://schemas.microsoft.com/office/drawing/2014/main" id="{10D6C7C6-9AD8-C4DB-28D1-B3BD06E3193E}"/>
            </a:ext>
          </a:extLst>
        </xdr:cNvPr>
        <xdr:cNvPicPr>
          <a:picLocks noChangeAspect="1"/>
        </xdr:cNvPicPr>
      </xdr:nvPicPr>
      <xdr:blipFill>
        <a:blip xmlns:r="http://schemas.openxmlformats.org/officeDocument/2006/relationships" r:embed="rId4"/>
        <a:stretch>
          <a:fillRect/>
        </a:stretch>
      </xdr:blipFill>
      <xdr:spPr>
        <a:xfrm>
          <a:off x="1095375" y="2426133"/>
          <a:ext cx="400167" cy="412437"/>
        </a:xfrm>
        <a:prstGeom prst="rect">
          <a:avLst/>
        </a:prstGeom>
      </xdr:spPr>
    </xdr:pic>
    <xdr:clientData/>
  </xdr:twoCellAnchor>
  <xdr:twoCellAnchor editAs="oneCell">
    <xdr:from>
      <xdr:col>1</xdr:col>
      <xdr:colOff>276225</xdr:colOff>
      <xdr:row>6</xdr:row>
      <xdr:rowOff>312964</xdr:rowOff>
    </xdr:from>
    <xdr:to>
      <xdr:col>1</xdr:col>
      <xdr:colOff>685900</xdr:colOff>
      <xdr:row>7</xdr:row>
      <xdr:rowOff>362052</xdr:rowOff>
    </xdr:to>
    <xdr:pic>
      <xdr:nvPicPr>
        <xdr:cNvPr id="6" name="Image 5">
          <a:extLst>
            <a:ext uri="{FF2B5EF4-FFF2-40B4-BE49-F238E27FC236}">
              <a16:creationId xmlns:a16="http://schemas.microsoft.com/office/drawing/2014/main" id="{DF2AC5D4-1442-B130-254D-B109062A1C98}"/>
            </a:ext>
          </a:extLst>
        </xdr:cNvPr>
        <xdr:cNvPicPr>
          <a:picLocks noChangeAspect="1"/>
        </xdr:cNvPicPr>
      </xdr:nvPicPr>
      <xdr:blipFill>
        <a:blip xmlns:r="http://schemas.openxmlformats.org/officeDocument/2006/relationships" r:embed="rId5"/>
        <a:stretch>
          <a:fillRect/>
        </a:stretch>
      </xdr:blipFill>
      <xdr:spPr>
        <a:xfrm>
          <a:off x="1085850" y="2017939"/>
          <a:ext cx="409675" cy="420563"/>
        </a:xfrm>
        <a:prstGeom prst="rect">
          <a:avLst/>
        </a:prstGeom>
      </xdr:spPr>
    </xdr:pic>
    <xdr:clientData/>
  </xdr:twoCellAnchor>
  <xdr:twoCellAnchor editAs="oneCell">
    <xdr:from>
      <xdr:col>1</xdr:col>
      <xdr:colOff>301625</xdr:colOff>
      <xdr:row>9</xdr:row>
      <xdr:rowOff>40091</xdr:rowOff>
    </xdr:from>
    <xdr:to>
      <xdr:col>1</xdr:col>
      <xdr:colOff>647805</xdr:colOff>
      <xdr:row>10</xdr:row>
      <xdr:rowOff>101</xdr:rowOff>
    </xdr:to>
    <xdr:pic>
      <xdr:nvPicPr>
        <xdr:cNvPr id="7" name="Image 6">
          <a:extLst>
            <a:ext uri="{FF2B5EF4-FFF2-40B4-BE49-F238E27FC236}">
              <a16:creationId xmlns:a16="http://schemas.microsoft.com/office/drawing/2014/main" id="{F0C9EA22-8CCA-75BC-A17C-06E6F7987CEB}"/>
            </a:ext>
          </a:extLst>
        </xdr:cNvPr>
        <xdr:cNvPicPr>
          <a:picLocks noChangeAspect="1"/>
        </xdr:cNvPicPr>
      </xdr:nvPicPr>
      <xdr:blipFill>
        <a:blip xmlns:r="http://schemas.openxmlformats.org/officeDocument/2006/relationships" r:embed="rId6"/>
        <a:stretch>
          <a:fillRect/>
        </a:stretch>
      </xdr:blipFill>
      <xdr:spPr>
        <a:xfrm>
          <a:off x="1111250" y="2859491"/>
          <a:ext cx="346180" cy="331485"/>
        </a:xfrm>
        <a:prstGeom prst="rect">
          <a:avLst/>
        </a:prstGeom>
      </xdr:spPr>
    </xdr:pic>
    <xdr:clientData/>
  </xdr:twoCellAnchor>
  <xdr:twoCellAnchor editAs="oneCell">
    <xdr:from>
      <xdr:col>1</xdr:col>
      <xdr:colOff>327024</xdr:colOff>
      <xdr:row>6</xdr:row>
      <xdr:rowOff>12135</xdr:rowOff>
    </xdr:from>
    <xdr:to>
      <xdr:col>1</xdr:col>
      <xdr:colOff>666857</xdr:colOff>
      <xdr:row>6</xdr:row>
      <xdr:rowOff>314419</xdr:rowOff>
    </xdr:to>
    <xdr:pic>
      <xdr:nvPicPr>
        <xdr:cNvPr id="8" name="Image 7">
          <a:extLst>
            <a:ext uri="{FF2B5EF4-FFF2-40B4-BE49-F238E27FC236}">
              <a16:creationId xmlns:a16="http://schemas.microsoft.com/office/drawing/2014/main" id="{ED14F9E5-D7DC-DE9B-9048-711B59651269}"/>
            </a:ext>
          </a:extLst>
        </xdr:cNvPr>
        <xdr:cNvPicPr>
          <a:picLocks noChangeAspect="1"/>
        </xdr:cNvPicPr>
      </xdr:nvPicPr>
      <xdr:blipFill>
        <a:blip xmlns:r="http://schemas.openxmlformats.org/officeDocument/2006/relationships" r:embed="rId7"/>
        <a:stretch>
          <a:fillRect/>
        </a:stretch>
      </xdr:blipFill>
      <xdr:spPr>
        <a:xfrm>
          <a:off x="1136649" y="1717110"/>
          <a:ext cx="339833" cy="302284"/>
        </a:xfrm>
        <a:prstGeom prst="rect">
          <a:avLst/>
        </a:prstGeom>
      </xdr:spPr>
    </xdr:pic>
    <xdr:clientData/>
  </xdr:twoCellAnchor>
  <xdr:twoCellAnchor editAs="oneCell">
    <xdr:from>
      <xdr:col>1</xdr:col>
      <xdr:colOff>326561</xdr:colOff>
      <xdr:row>10</xdr:row>
      <xdr:rowOff>95250</xdr:rowOff>
    </xdr:from>
    <xdr:to>
      <xdr:col>1</xdr:col>
      <xdr:colOff>638349</xdr:colOff>
      <xdr:row>10</xdr:row>
      <xdr:rowOff>362096</xdr:rowOff>
    </xdr:to>
    <xdr:pic>
      <xdr:nvPicPr>
        <xdr:cNvPr id="10" name="Image 9">
          <a:extLst>
            <a:ext uri="{FF2B5EF4-FFF2-40B4-BE49-F238E27FC236}">
              <a16:creationId xmlns:a16="http://schemas.microsoft.com/office/drawing/2014/main" id="{365F0EED-0745-135B-FB16-40BEB5A14671}"/>
            </a:ext>
          </a:extLst>
        </xdr:cNvPr>
        <xdr:cNvPicPr>
          <a:picLocks noChangeAspect="1"/>
        </xdr:cNvPicPr>
      </xdr:nvPicPr>
      <xdr:blipFill>
        <a:blip xmlns:r="http://schemas.openxmlformats.org/officeDocument/2006/relationships" r:embed="rId8"/>
        <a:stretch>
          <a:fillRect/>
        </a:stretch>
      </xdr:blipFill>
      <xdr:spPr>
        <a:xfrm>
          <a:off x="1136186" y="3286125"/>
          <a:ext cx="311788" cy="26684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485775</xdr:colOff>
      <xdr:row>6</xdr:row>
      <xdr:rowOff>3174</xdr:rowOff>
    </xdr:from>
    <xdr:to>
      <xdr:col>1</xdr:col>
      <xdr:colOff>720725</xdr:colOff>
      <xdr:row>7</xdr:row>
      <xdr:rowOff>31749</xdr:rowOff>
    </xdr:to>
    <xdr:sp macro="" textlink="">
      <xdr:nvSpPr>
        <xdr:cNvPr id="2" name="Rectangle 1">
          <a:extLst>
            <a:ext uri="{FF2B5EF4-FFF2-40B4-BE49-F238E27FC236}">
              <a16:creationId xmlns:a16="http://schemas.microsoft.com/office/drawing/2014/main" id="{9283D377-E536-4679-85A9-AA3AC927D58A}"/>
            </a:ext>
          </a:extLst>
        </xdr:cNvPr>
        <xdr:cNvSpPr/>
      </xdr:nvSpPr>
      <xdr:spPr>
        <a:xfrm rot="19956842">
          <a:off x="485775" y="860424"/>
          <a:ext cx="1044575" cy="2095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t>exemple</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11</xdr:col>
      <xdr:colOff>148851</xdr:colOff>
      <xdr:row>30</xdr:row>
      <xdr:rowOff>35788</xdr:rowOff>
    </xdr:from>
    <xdr:to>
      <xdr:col>14</xdr:col>
      <xdr:colOff>25587</xdr:colOff>
      <xdr:row>33</xdr:row>
      <xdr:rowOff>232148</xdr:rowOff>
    </xdr:to>
    <xdr:sp macro="" textlink="">
      <xdr:nvSpPr>
        <xdr:cNvPr id="6" name="Rectangle 5">
          <a:extLst>
            <a:ext uri="{FF2B5EF4-FFF2-40B4-BE49-F238E27FC236}">
              <a16:creationId xmlns:a16="http://schemas.microsoft.com/office/drawing/2014/main" id="{B980F0DE-9868-4974-BDC9-093427B0C31D}"/>
            </a:ext>
          </a:extLst>
        </xdr:cNvPr>
        <xdr:cNvSpPr/>
      </xdr:nvSpPr>
      <xdr:spPr>
        <a:xfrm>
          <a:off x="17159380" y="5896464"/>
          <a:ext cx="5535707" cy="846302"/>
        </a:xfrm>
        <a:prstGeom prst="rect">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i="1">
              <a:solidFill>
                <a:sysClr val="windowText" lastClr="000000"/>
              </a:solidFill>
              <a:latin typeface="Amasis MT Pro Black" panose="02040A04050005020304" pitchFamily="18" charset="0"/>
            </a:rPr>
            <a:t>i</a:t>
          </a:r>
          <a:r>
            <a:rPr lang="fr-FR" sz="2000" i="1">
              <a:solidFill>
                <a:sysClr val="windowText" lastClr="000000"/>
              </a:solidFill>
            </a:rPr>
            <a:t> </a:t>
          </a:r>
          <a:r>
            <a:rPr lang="fr-FR" sz="1100">
              <a:solidFill>
                <a:sysClr val="windowText" lastClr="000000"/>
              </a:solidFill>
            </a:rPr>
            <a:t>Le % de gain énergétique</a:t>
          </a:r>
          <a:r>
            <a:rPr lang="fr-FR" sz="1100" baseline="0">
              <a:solidFill>
                <a:sysClr val="windowText" lastClr="000000"/>
              </a:solidFill>
            </a:rPr>
            <a:t> </a:t>
          </a:r>
          <a:r>
            <a:rPr lang="fr-FR" sz="1100">
              <a:solidFill>
                <a:sysClr val="windowText" lastClr="000000"/>
              </a:solidFill>
            </a:rPr>
            <a:t>est</a:t>
          </a:r>
          <a:r>
            <a:rPr lang="fr-FR" sz="1100" baseline="0">
              <a:solidFill>
                <a:sysClr val="windowText" lastClr="000000"/>
              </a:solidFill>
            </a:rPr>
            <a:t> calculé </a:t>
          </a:r>
          <a:r>
            <a:rPr lang="fr-FR" sz="1100" b="1" baseline="0">
              <a:solidFill>
                <a:sysClr val="windowText" lastClr="000000"/>
              </a:solidFill>
            </a:rPr>
            <a:t>sur la base de données moyennes. </a:t>
          </a:r>
          <a:r>
            <a:rPr lang="fr-FR" sz="1100" b="0" baseline="0">
              <a:solidFill>
                <a:sysClr val="windowText" lastClr="000000"/>
              </a:solidFill>
            </a:rPr>
            <a:t>Un gain énergétique personnalisé peut être saisi par le commercial, ce qui aura donc un impact sur le gain CO2.</a:t>
          </a:r>
          <a:endParaRPr lang="fr-FR" sz="1100" b="0">
            <a:solidFill>
              <a:sysClr val="windowText" lastClr="000000"/>
            </a:solidFill>
          </a:endParaRPr>
        </a:p>
      </xdr:txBody>
    </xdr:sp>
    <xdr:clientData/>
  </xdr:twoCellAnchor>
  <xdr:twoCellAnchor>
    <xdr:from>
      <xdr:col>8</xdr:col>
      <xdr:colOff>1441177</xdr:colOff>
      <xdr:row>22</xdr:row>
      <xdr:rowOff>112059</xdr:rowOff>
    </xdr:from>
    <xdr:to>
      <xdr:col>12</xdr:col>
      <xdr:colOff>121770</xdr:colOff>
      <xdr:row>29</xdr:row>
      <xdr:rowOff>30442</xdr:rowOff>
    </xdr:to>
    <xdr:sp macro="" textlink="">
      <xdr:nvSpPr>
        <xdr:cNvPr id="15" name="Rectangle 14">
          <a:extLst>
            <a:ext uri="{FF2B5EF4-FFF2-40B4-BE49-F238E27FC236}">
              <a16:creationId xmlns:a16="http://schemas.microsoft.com/office/drawing/2014/main" id="{603174A4-813D-45DA-8919-6F9A11B1811A}"/>
            </a:ext>
          </a:extLst>
        </xdr:cNvPr>
        <xdr:cNvSpPr/>
      </xdr:nvSpPr>
      <xdr:spPr>
        <a:xfrm>
          <a:off x="14193471" y="4381500"/>
          <a:ext cx="6423858" cy="1352736"/>
        </a:xfrm>
        <a:prstGeom prst="rect">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i="1">
              <a:solidFill>
                <a:sysClr val="windowText" lastClr="000000"/>
              </a:solidFill>
              <a:latin typeface="Amasis MT Pro Black" panose="02040A04050005020304" pitchFamily="18" charset="0"/>
            </a:rPr>
            <a:t>i</a:t>
          </a:r>
          <a:r>
            <a:rPr lang="fr-FR" sz="2000" i="1">
              <a:solidFill>
                <a:sysClr val="windowText" lastClr="000000"/>
              </a:solidFill>
            </a:rPr>
            <a:t> </a:t>
          </a:r>
          <a:r>
            <a:rPr lang="fr-FR" sz="1100" i="0">
              <a:solidFill>
                <a:sysClr val="windowText" lastClr="000000"/>
              </a:solidFill>
            </a:rPr>
            <a:t>Le gain énergétique lié à</a:t>
          </a:r>
          <a:r>
            <a:rPr lang="fr-FR" sz="1100" i="0" baseline="0">
              <a:solidFill>
                <a:sysClr val="windowText" lastClr="000000"/>
              </a:solidFill>
            </a:rPr>
            <a:t> la pose d'une solution </a:t>
          </a:r>
          <a:r>
            <a:rPr lang="fr-FR" sz="1100" b="1" i="0" baseline="0">
              <a:solidFill>
                <a:sysClr val="windowText" lastClr="000000"/>
              </a:solidFill>
            </a:rPr>
            <a:t>hybride</a:t>
          </a:r>
          <a:r>
            <a:rPr lang="fr-FR" sz="1100" i="0" baseline="0">
              <a:solidFill>
                <a:sysClr val="windowText" lastClr="000000"/>
              </a:solidFill>
            </a:rPr>
            <a:t> est calculé en </a:t>
          </a:r>
          <a:r>
            <a:rPr lang="fr-FR" sz="1100" b="1" i="0" baseline="0">
              <a:solidFill>
                <a:sysClr val="windowText" lastClr="000000"/>
              </a:solidFill>
            </a:rPr>
            <a:t>énergie primaire </a:t>
          </a:r>
          <a:r>
            <a:rPr lang="fr-FR" sz="1100" b="0" i="0" baseline="0">
              <a:solidFill>
                <a:sysClr val="windowText" lastClr="000000"/>
              </a:solidFill>
            </a:rPr>
            <a:t>(afin de comparer des consommations gaz et élec dans le cas de solution hybride).</a:t>
          </a:r>
        </a:p>
        <a:p>
          <a:pPr algn="l"/>
          <a:r>
            <a:rPr lang="fr-FR" sz="1100" i="0" baseline="0">
              <a:solidFill>
                <a:sysClr val="windowText" lastClr="000000"/>
              </a:solidFill>
            </a:rPr>
            <a:t>Le gain énergétique est donc exprimé en </a:t>
          </a:r>
          <a:r>
            <a:rPr lang="fr-FR" sz="1100" b="1" i="0" baseline="0">
              <a:solidFill>
                <a:sysClr val="windowText" lastClr="000000"/>
              </a:solidFill>
            </a:rPr>
            <a:t>kWh EP. Sinon, la valeur est donnée en kWh PCI.</a:t>
          </a:r>
        </a:p>
        <a:p>
          <a:pPr algn="l"/>
          <a:r>
            <a:rPr lang="fr-FR" sz="1100" i="0" baseline="0">
              <a:solidFill>
                <a:sysClr val="windowText" lastClr="000000"/>
              </a:solidFill>
            </a:rPr>
            <a:t> </a:t>
          </a:r>
        </a:p>
        <a:p>
          <a:pPr algn="l"/>
          <a:r>
            <a:rPr lang="fr-FR" sz="1100" b="1" i="0" baseline="0">
              <a:solidFill>
                <a:sysClr val="windowText" lastClr="000000"/>
              </a:solidFill>
            </a:rPr>
            <a:t>Calcul </a:t>
          </a:r>
          <a:r>
            <a:rPr lang="fr-FR" sz="1100" i="0" baseline="0">
              <a:solidFill>
                <a:sysClr val="windowText" lastClr="000000"/>
              </a:solidFill>
            </a:rPr>
            <a:t>: </a:t>
          </a:r>
        </a:p>
        <a:p>
          <a:pPr algn="l"/>
          <a:r>
            <a:rPr lang="fr-FR" sz="1100" i="0" baseline="0">
              <a:solidFill>
                <a:sysClr val="windowText" lastClr="000000"/>
              </a:solidFill>
            </a:rPr>
            <a:t>- Conversion des conso d'élec en énergie primaire en </a:t>
          </a:r>
          <a:r>
            <a:rPr lang="fr-FR" sz="1200" b="1" i="0" baseline="0">
              <a:solidFill>
                <a:sysClr val="windowText" lastClr="000000"/>
              </a:solidFill>
            </a:rPr>
            <a:t>x2,3</a:t>
          </a:r>
        </a:p>
        <a:p>
          <a:pPr algn="l"/>
          <a:endParaRPr lang="fr-FR" sz="1100" i="0" baseline="0">
            <a:solidFill>
              <a:sysClr val="windowText" lastClr="000000"/>
            </a:solidFill>
          </a:endParaRPr>
        </a:p>
      </xdr:txBody>
    </xdr:sp>
    <xdr:clientData/>
  </xdr:twoCellAnchor>
  <xdr:twoCellAnchor>
    <xdr:from>
      <xdr:col>8</xdr:col>
      <xdr:colOff>49689</xdr:colOff>
      <xdr:row>60</xdr:row>
      <xdr:rowOff>35457</xdr:rowOff>
    </xdr:from>
    <xdr:to>
      <xdr:col>13</xdr:col>
      <xdr:colOff>2511426</xdr:colOff>
      <xdr:row>64</xdr:row>
      <xdr:rowOff>92822</xdr:rowOff>
    </xdr:to>
    <xdr:sp macro="" textlink="">
      <xdr:nvSpPr>
        <xdr:cNvPr id="3" name="Rectangle 2">
          <a:extLst>
            <a:ext uri="{FF2B5EF4-FFF2-40B4-BE49-F238E27FC236}">
              <a16:creationId xmlns:a16="http://schemas.microsoft.com/office/drawing/2014/main" id="{E0B8C131-05CE-47FC-93A4-765896695E5C}"/>
            </a:ext>
          </a:extLst>
        </xdr:cNvPr>
        <xdr:cNvSpPr/>
      </xdr:nvSpPr>
      <xdr:spPr>
        <a:xfrm>
          <a:off x="12803664" y="12341757"/>
          <a:ext cx="11939112" cy="781265"/>
        </a:xfrm>
        <a:prstGeom prst="rect">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i="1">
              <a:solidFill>
                <a:sysClr val="windowText" lastClr="000000"/>
              </a:solidFill>
              <a:latin typeface="Amasis MT Pro Black" panose="02040A04050005020304" pitchFamily="18" charset="0"/>
            </a:rPr>
            <a:t>i</a:t>
          </a:r>
          <a:r>
            <a:rPr lang="fr-FR" sz="2000" i="1">
              <a:solidFill>
                <a:sysClr val="windowText" lastClr="000000"/>
              </a:solidFill>
            </a:rPr>
            <a:t> </a:t>
          </a:r>
          <a:r>
            <a:rPr lang="fr-FR" sz="1100" i="0">
              <a:solidFill>
                <a:sysClr val="windowText" lastClr="000000"/>
              </a:solidFill>
            </a:rPr>
            <a:t>La</a:t>
          </a:r>
          <a:r>
            <a:rPr lang="fr-FR" sz="2000" i="1" baseline="0">
              <a:solidFill>
                <a:sysClr val="windowText" lastClr="000000"/>
              </a:solidFill>
            </a:rPr>
            <a:t> </a:t>
          </a:r>
          <a:r>
            <a:rPr lang="fr-FR" sz="1100" i="0" baseline="0">
              <a:solidFill>
                <a:sysClr val="windowText" lastClr="000000"/>
              </a:solidFill>
            </a:rPr>
            <a:t>répartition entre la part de gaz et d'élec dans une solution hybride est basée sur la</a:t>
          </a:r>
          <a:r>
            <a:rPr lang="fr-FR" sz="1100" b="1" i="0" baseline="0">
              <a:solidFill>
                <a:sysClr val="windowText" lastClr="000000"/>
              </a:solidFill>
            </a:rPr>
            <a:t> consommation finale d'une PAC hybride </a:t>
          </a:r>
          <a:r>
            <a:rPr lang="fr-FR" sz="1100" i="0" baseline="0">
              <a:solidFill>
                <a:sysClr val="windowText" lastClr="000000"/>
              </a:solidFill>
            </a:rPr>
            <a:t>(autrement dit en kWh PCI de gaz et en kWhe d'électricité). Une formule est prévue pour calculer la consommation finale d'une PAC hybride à partir de cette répartition (et donc les gains CO2). Ici, en cellule M52. </a:t>
          </a:r>
        </a:p>
        <a:p>
          <a:pPr algn="l"/>
          <a:endParaRPr lang="fr-FR" sz="1100" i="0" baseline="0">
            <a:solidFill>
              <a:sysClr val="windowText" lastClr="000000"/>
            </a:solidFill>
          </a:endParaRPr>
        </a:p>
        <a:p>
          <a:pPr algn="l"/>
          <a:endParaRPr lang="fr-FR" sz="1100" i="0" baseline="0">
            <a:solidFill>
              <a:sysClr val="windowText" lastClr="000000"/>
            </a:solidFill>
          </a:endParaRPr>
        </a:p>
        <a:p>
          <a:pPr algn="l"/>
          <a:endParaRPr lang="fr-FR" sz="1100" i="0" baseline="0">
            <a:solidFill>
              <a:sysClr val="windowText" lastClr="000000"/>
            </a:solidFill>
          </a:endParaRPr>
        </a:p>
      </xdr:txBody>
    </xdr:sp>
    <xdr:clientData/>
  </xdr:twoCellAnchor>
  <xdr:twoCellAnchor>
    <xdr:from>
      <xdr:col>6</xdr:col>
      <xdr:colOff>275764</xdr:colOff>
      <xdr:row>26</xdr:row>
      <xdr:rowOff>173947</xdr:rowOff>
    </xdr:from>
    <xdr:to>
      <xdr:col>7</xdr:col>
      <xdr:colOff>0</xdr:colOff>
      <xdr:row>29</xdr:row>
      <xdr:rowOff>99359</xdr:rowOff>
    </xdr:to>
    <xdr:sp macro="" textlink="">
      <xdr:nvSpPr>
        <xdr:cNvPr id="2" name="Rectangle 1">
          <a:extLst>
            <a:ext uri="{FF2B5EF4-FFF2-40B4-BE49-F238E27FC236}">
              <a16:creationId xmlns:a16="http://schemas.microsoft.com/office/drawing/2014/main" id="{05E1E84D-D392-4054-95C6-BDCC1604A8BE}"/>
            </a:ext>
          </a:extLst>
        </xdr:cNvPr>
        <xdr:cNvSpPr/>
      </xdr:nvSpPr>
      <xdr:spPr>
        <a:xfrm>
          <a:off x="6013176" y="5250212"/>
          <a:ext cx="3444589" cy="552941"/>
        </a:xfrm>
        <a:prstGeom prst="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1" i="0" u="sng">
              <a:solidFill>
                <a:schemeClr val="bg1"/>
              </a:solidFill>
              <a:latin typeface="+mn-lt"/>
            </a:rPr>
            <a:t>Attention</a:t>
          </a:r>
          <a:r>
            <a:rPr lang="fr-FR" sz="1200" b="1" i="0" u="none">
              <a:solidFill>
                <a:schemeClr val="bg1"/>
              </a:solidFill>
              <a:latin typeface="+mn-lt"/>
            </a:rPr>
            <a:t> : </a:t>
          </a:r>
          <a:r>
            <a:rPr lang="fr-FR" sz="1200" i="0">
              <a:solidFill>
                <a:schemeClr val="bg1"/>
              </a:solidFill>
              <a:latin typeface="+mn-lt"/>
            </a:rPr>
            <a:t>les consommations de</a:t>
          </a:r>
          <a:r>
            <a:rPr lang="fr-FR" sz="1200" i="0" baseline="0">
              <a:solidFill>
                <a:schemeClr val="bg1"/>
              </a:solidFill>
              <a:latin typeface="+mn-lt"/>
            </a:rPr>
            <a:t> gaz et de fioul doivent être saisies en PCI !</a:t>
          </a:r>
          <a:endParaRPr lang="fr-FR" sz="800" i="0" baseline="0">
            <a:solidFill>
              <a:schemeClr val="bg1"/>
            </a:solidFill>
            <a:latin typeface="+mn-lt"/>
          </a:endParaRPr>
        </a:p>
        <a:p>
          <a:pPr algn="l"/>
          <a:endParaRPr lang="fr-FR" sz="800" i="0" baseline="0">
            <a:solidFill>
              <a:schemeClr val="bg1"/>
            </a:solidFill>
          </a:endParaRPr>
        </a:p>
      </xdr:txBody>
    </xdr:sp>
    <xdr:clientData/>
  </xdr:twoCellAnchor>
  <xdr:twoCellAnchor>
    <xdr:from>
      <xdr:col>6</xdr:col>
      <xdr:colOff>427604</xdr:colOff>
      <xdr:row>110</xdr:row>
      <xdr:rowOff>126440</xdr:rowOff>
    </xdr:from>
    <xdr:to>
      <xdr:col>6</xdr:col>
      <xdr:colOff>3705973</xdr:colOff>
      <xdr:row>113</xdr:row>
      <xdr:rowOff>78441</xdr:rowOff>
    </xdr:to>
    <xdr:sp macro="" textlink="">
      <xdr:nvSpPr>
        <xdr:cNvPr id="19" name="Rectangle 18">
          <a:extLst>
            <a:ext uri="{FF2B5EF4-FFF2-40B4-BE49-F238E27FC236}">
              <a16:creationId xmlns:a16="http://schemas.microsoft.com/office/drawing/2014/main" id="{2D2AFFE0-6958-4958-92F3-1CE985C99786}"/>
            </a:ext>
          </a:extLst>
        </xdr:cNvPr>
        <xdr:cNvSpPr/>
      </xdr:nvSpPr>
      <xdr:spPr>
        <a:xfrm>
          <a:off x="6165016" y="21361587"/>
          <a:ext cx="3278369" cy="534707"/>
        </a:xfrm>
        <a:prstGeom prst="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1" i="0" u="sng">
              <a:solidFill>
                <a:schemeClr val="bg1"/>
              </a:solidFill>
              <a:latin typeface="+mn-lt"/>
            </a:rPr>
            <a:t>Attention</a:t>
          </a:r>
          <a:r>
            <a:rPr lang="fr-FR" sz="1200" b="1" i="0" u="none">
              <a:solidFill>
                <a:schemeClr val="bg1"/>
              </a:solidFill>
              <a:latin typeface="+mn-lt"/>
            </a:rPr>
            <a:t> : </a:t>
          </a:r>
          <a:r>
            <a:rPr lang="fr-FR" sz="1200" i="0">
              <a:solidFill>
                <a:schemeClr val="bg1"/>
              </a:solidFill>
              <a:latin typeface="+mn-lt"/>
            </a:rPr>
            <a:t>toutes les consommations de</a:t>
          </a:r>
          <a:r>
            <a:rPr lang="fr-FR" sz="1200" i="0" baseline="0">
              <a:solidFill>
                <a:schemeClr val="bg1"/>
              </a:solidFill>
              <a:latin typeface="+mn-lt"/>
            </a:rPr>
            <a:t> gaz et de fioul doivent être saisies en PCI !</a:t>
          </a:r>
          <a:endParaRPr lang="fr-FR" sz="800" i="0" baseline="0">
            <a:solidFill>
              <a:schemeClr val="bg1"/>
            </a:solidFill>
            <a:latin typeface="+mn-lt"/>
          </a:endParaRPr>
        </a:p>
        <a:p>
          <a:pPr algn="l"/>
          <a:endParaRPr lang="fr-FR" sz="800" i="0" baseline="0">
            <a:solidFill>
              <a:schemeClr val="bg1"/>
            </a:solidFill>
          </a:endParaRPr>
        </a:p>
      </xdr:txBody>
    </xdr:sp>
    <xdr:clientData/>
  </xdr:twoCellAnchor>
  <xdr:twoCellAnchor>
    <xdr:from>
      <xdr:col>6</xdr:col>
      <xdr:colOff>456366</xdr:colOff>
      <xdr:row>150</xdr:row>
      <xdr:rowOff>70410</xdr:rowOff>
    </xdr:from>
    <xdr:to>
      <xdr:col>7</xdr:col>
      <xdr:colOff>8032</xdr:colOff>
      <xdr:row>152</xdr:row>
      <xdr:rowOff>128119</xdr:rowOff>
    </xdr:to>
    <xdr:sp macro="" textlink="">
      <xdr:nvSpPr>
        <xdr:cNvPr id="22" name="Rectangle 21">
          <a:extLst>
            <a:ext uri="{FF2B5EF4-FFF2-40B4-BE49-F238E27FC236}">
              <a16:creationId xmlns:a16="http://schemas.microsoft.com/office/drawing/2014/main" id="{AAA1EA11-CBA0-47EE-8BE7-F7EF15D03EAA}"/>
            </a:ext>
          </a:extLst>
        </xdr:cNvPr>
        <xdr:cNvSpPr/>
      </xdr:nvSpPr>
      <xdr:spPr>
        <a:xfrm>
          <a:off x="7213513" y="30247851"/>
          <a:ext cx="3272019" cy="528356"/>
        </a:xfrm>
        <a:prstGeom prst="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1" i="0" u="sng">
              <a:solidFill>
                <a:schemeClr val="bg1"/>
              </a:solidFill>
              <a:latin typeface="+mn-lt"/>
            </a:rPr>
            <a:t>Attention</a:t>
          </a:r>
          <a:r>
            <a:rPr lang="fr-FR" sz="1200" b="1" i="0" u="none">
              <a:solidFill>
                <a:schemeClr val="bg1"/>
              </a:solidFill>
              <a:latin typeface="+mn-lt"/>
            </a:rPr>
            <a:t> : </a:t>
          </a:r>
          <a:r>
            <a:rPr lang="fr-FR" sz="1200" i="0">
              <a:solidFill>
                <a:schemeClr val="bg1"/>
              </a:solidFill>
              <a:latin typeface="+mn-lt"/>
            </a:rPr>
            <a:t>toutes les consommations de</a:t>
          </a:r>
          <a:r>
            <a:rPr lang="fr-FR" sz="1200" i="0" baseline="0">
              <a:solidFill>
                <a:schemeClr val="bg1"/>
              </a:solidFill>
              <a:latin typeface="+mn-lt"/>
            </a:rPr>
            <a:t> gaz et de fioul doivent être saisies en PCI !</a:t>
          </a:r>
          <a:endParaRPr lang="fr-FR" sz="800" i="0" baseline="0">
            <a:solidFill>
              <a:schemeClr val="bg1"/>
            </a:solidFill>
            <a:latin typeface="+mn-lt"/>
          </a:endParaRPr>
        </a:p>
        <a:p>
          <a:pPr algn="l"/>
          <a:endParaRPr lang="fr-FR" sz="800" i="0" baseline="0">
            <a:solidFill>
              <a:schemeClr val="bg1"/>
            </a:solidFill>
          </a:endParaRPr>
        </a:p>
      </xdr:txBody>
    </xdr:sp>
    <xdr:clientData/>
  </xdr:twoCellAnchor>
  <xdr:twoCellAnchor>
    <xdr:from>
      <xdr:col>6</xdr:col>
      <xdr:colOff>369794</xdr:colOff>
      <xdr:row>69</xdr:row>
      <xdr:rowOff>78441</xdr:rowOff>
    </xdr:from>
    <xdr:to>
      <xdr:col>7</xdr:col>
      <xdr:colOff>90855</xdr:colOff>
      <xdr:row>73</xdr:row>
      <xdr:rowOff>170260</xdr:rowOff>
    </xdr:to>
    <xdr:sp macro="" textlink="">
      <xdr:nvSpPr>
        <xdr:cNvPr id="23" name="Rectangle 22">
          <a:extLst>
            <a:ext uri="{FF2B5EF4-FFF2-40B4-BE49-F238E27FC236}">
              <a16:creationId xmlns:a16="http://schemas.microsoft.com/office/drawing/2014/main" id="{85E4D911-768C-44E3-9DF4-54325D35A595}"/>
            </a:ext>
          </a:extLst>
        </xdr:cNvPr>
        <xdr:cNvSpPr/>
      </xdr:nvSpPr>
      <xdr:spPr>
        <a:xfrm>
          <a:off x="7126941" y="14018559"/>
          <a:ext cx="3441414" cy="562466"/>
        </a:xfrm>
        <a:prstGeom prst="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1" i="0" u="sng">
              <a:solidFill>
                <a:schemeClr val="bg1"/>
              </a:solidFill>
              <a:latin typeface="+mn-lt"/>
            </a:rPr>
            <a:t>Attention</a:t>
          </a:r>
          <a:r>
            <a:rPr lang="fr-FR" sz="1200" b="1" i="0" u="none">
              <a:solidFill>
                <a:schemeClr val="bg1"/>
              </a:solidFill>
              <a:latin typeface="+mn-lt"/>
            </a:rPr>
            <a:t> : </a:t>
          </a:r>
          <a:r>
            <a:rPr lang="fr-FR" sz="1200" i="0">
              <a:solidFill>
                <a:schemeClr val="bg1"/>
              </a:solidFill>
              <a:latin typeface="+mn-lt"/>
            </a:rPr>
            <a:t>les consommations de</a:t>
          </a:r>
          <a:r>
            <a:rPr lang="fr-FR" sz="1200" i="0" baseline="0">
              <a:solidFill>
                <a:schemeClr val="bg1"/>
              </a:solidFill>
              <a:latin typeface="+mn-lt"/>
            </a:rPr>
            <a:t> gaz et de fioul doivent être saisies en PCI !</a:t>
          </a:r>
          <a:endParaRPr lang="fr-FR" sz="800" i="0" baseline="0">
            <a:solidFill>
              <a:schemeClr val="bg1"/>
            </a:solidFill>
            <a:latin typeface="+mn-lt"/>
          </a:endParaRPr>
        </a:p>
        <a:p>
          <a:pPr algn="l"/>
          <a:endParaRPr lang="fr-FR" sz="800" i="0" baseline="0">
            <a:solidFill>
              <a:schemeClr val="bg1"/>
            </a:solidFill>
          </a:endParaRPr>
        </a:p>
      </xdr:txBody>
    </xdr:sp>
    <xdr:clientData/>
  </xdr:twoCellAnchor>
  <xdr:twoCellAnchor>
    <xdr:from>
      <xdr:col>11</xdr:col>
      <xdr:colOff>148850</xdr:colOff>
      <xdr:row>34</xdr:row>
      <xdr:rowOff>80611</xdr:rowOff>
    </xdr:from>
    <xdr:to>
      <xdr:col>14</xdr:col>
      <xdr:colOff>35111</xdr:colOff>
      <xdr:row>37</xdr:row>
      <xdr:rowOff>112058</xdr:rowOff>
    </xdr:to>
    <xdr:sp macro="" textlink="">
      <xdr:nvSpPr>
        <xdr:cNvPr id="24" name="Rectangle 23">
          <a:extLst>
            <a:ext uri="{FF2B5EF4-FFF2-40B4-BE49-F238E27FC236}">
              <a16:creationId xmlns:a16="http://schemas.microsoft.com/office/drawing/2014/main" id="{2A9DF62F-F929-4824-B66A-3A73EE67DD89}"/>
            </a:ext>
          </a:extLst>
        </xdr:cNvPr>
        <xdr:cNvSpPr/>
      </xdr:nvSpPr>
      <xdr:spPr>
        <a:xfrm>
          <a:off x="18179115" y="6826552"/>
          <a:ext cx="5545231" cy="849477"/>
        </a:xfrm>
        <a:prstGeom prst="rect">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i="1">
              <a:solidFill>
                <a:sysClr val="windowText" lastClr="000000"/>
              </a:solidFill>
              <a:latin typeface="Amasis MT Pro Black" panose="02040A04050005020304" pitchFamily="18" charset="0"/>
            </a:rPr>
            <a:t>i</a:t>
          </a:r>
          <a:r>
            <a:rPr lang="fr-FR" sz="2000" i="1">
              <a:solidFill>
                <a:sysClr val="windowText" lastClr="000000"/>
              </a:solidFill>
            </a:rPr>
            <a:t> </a:t>
          </a:r>
          <a:r>
            <a:rPr lang="fr-FR" sz="1100">
              <a:solidFill>
                <a:sysClr val="windowText" lastClr="000000"/>
              </a:solidFill>
            </a:rPr>
            <a:t>Certain scénarios</a:t>
          </a:r>
          <a:r>
            <a:rPr lang="fr-FR" sz="1100" baseline="0">
              <a:solidFill>
                <a:sysClr val="windowText" lastClr="000000"/>
              </a:solidFill>
            </a:rPr>
            <a:t> peuvent entraîner une consommation supplémentaire (en kWh) mais permettre des gains CO2 tout de même (ex: fioul --&gt; gaz dans certains cas)</a:t>
          </a:r>
          <a:endParaRPr lang="fr-FR" sz="1100" b="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15</xdr:col>
      <xdr:colOff>265767</xdr:colOff>
      <xdr:row>30</xdr:row>
      <xdr:rowOff>5346</xdr:rowOff>
    </xdr:from>
    <xdr:to>
      <xdr:col>20</xdr:col>
      <xdr:colOff>126441</xdr:colOff>
      <xdr:row>33</xdr:row>
      <xdr:rowOff>198531</xdr:rowOff>
    </xdr:to>
    <xdr:sp macro="" textlink="">
      <xdr:nvSpPr>
        <xdr:cNvPr id="2" name="Rectangle 1">
          <a:extLst>
            <a:ext uri="{FF2B5EF4-FFF2-40B4-BE49-F238E27FC236}">
              <a16:creationId xmlns:a16="http://schemas.microsoft.com/office/drawing/2014/main" id="{6BC327D8-A722-449D-AA3C-0A3826D25F7F}"/>
            </a:ext>
          </a:extLst>
        </xdr:cNvPr>
        <xdr:cNvSpPr/>
      </xdr:nvSpPr>
      <xdr:spPr>
        <a:xfrm>
          <a:off x="24347208" y="5888434"/>
          <a:ext cx="5542057" cy="843126"/>
        </a:xfrm>
        <a:prstGeom prst="rect">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i="1">
              <a:solidFill>
                <a:sysClr val="windowText" lastClr="000000"/>
              </a:solidFill>
              <a:latin typeface="Amasis MT Pro Black" panose="02040A04050005020304" pitchFamily="18" charset="0"/>
            </a:rPr>
            <a:t>i</a:t>
          </a:r>
          <a:r>
            <a:rPr lang="fr-FR" sz="2000" i="1">
              <a:solidFill>
                <a:sysClr val="windowText" lastClr="000000"/>
              </a:solidFill>
            </a:rPr>
            <a:t> </a:t>
          </a:r>
          <a:r>
            <a:rPr lang="fr-FR" sz="1100">
              <a:solidFill>
                <a:sysClr val="windowText" lastClr="000000"/>
              </a:solidFill>
            </a:rPr>
            <a:t>Le % de gain énergétique</a:t>
          </a:r>
          <a:r>
            <a:rPr lang="fr-FR" sz="1100" baseline="0">
              <a:solidFill>
                <a:sysClr val="windowText" lastClr="000000"/>
              </a:solidFill>
            </a:rPr>
            <a:t> </a:t>
          </a:r>
          <a:r>
            <a:rPr lang="fr-FR" sz="1100">
              <a:solidFill>
                <a:sysClr val="windowText" lastClr="000000"/>
              </a:solidFill>
            </a:rPr>
            <a:t>est</a:t>
          </a:r>
          <a:r>
            <a:rPr lang="fr-FR" sz="1100" baseline="0">
              <a:solidFill>
                <a:sysClr val="windowText" lastClr="000000"/>
              </a:solidFill>
            </a:rPr>
            <a:t> calculé </a:t>
          </a:r>
          <a:r>
            <a:rPr lang="fr-FR" sz="1100" b="1" baseline="0">
              <a:solidFill>
                <a:sysClr val="windowText" lastClr="000000"/>
              </a:solidFill>
            </a:rPr>
            <a:t>sur la base de données moyennes. </a:t>
          </a:r>
          <a:r>
            <a:rPr lang="fr-FR" sz="1100" b="0" baseline="0">
              <a:solidFill>
                <a:sysClr val="windowText" lastClr="000000"/>
              </a:solidFill>
            </a:rPr>
            <a:t>Un gain énergétique personnalisé peut être saisi par le commercial, ce qui aura donc un impact sur le gain CO2.</a:t>
          </a:r>
          <a:endParaRPr lang="fr-FR" sz="1100" b="0">
            <a:solidFill>
              <a:sysClr val="windowText" lastClr="000000"/>
            </a:solidFill>
          </a:endParaRPr>
        </a:p>
      </xdr:txBody>
    </xdr:sp>
    <xdr:clientData/>
  </xdr:twoCellAnchor>
  <xdr:twoCellAnchor>
    <xdr:from>
      <xdr:col>8</xdr:col>
      <xdr:colOff>1441177</xdr:colOff>
      <xdr:row>22</xdr:row>
      <xdr:rowOff>112059</xdr:rowOff>
    </xdr:from>
    <xdr:to>
      <xdr:col>12</xdr:col>
      <xdr:colOff>121770</xdr:colOff>
      <xdr:row>29</xdr:row>
      <xdr:rowOff>30442</xdr:rowOff>
    </xdr:to>
    <xdr:sp macro="" textlink="">
      <xdr:nvSpPr>
        <xdr:cNvPr id="3" name="Rectangle 2">
          <a:extLst>
            <a:ext uri="{FF2B5EF4-FFF2-40B4-BE49-F238E27FC236}">
              <a16:creationId xmlns:a16="http://schemas.microsoft.com/office/drawing/2014/main" id="{CF0A4B33-2C4D-4E57-8F64-23DD7CFD91F6}"/>
            </a:ext>
          </a:extLst>
        </xdr:cNvPr>
        <xdr:cNvSpPr/>
      </xdr:nvSpPr>
      <xdr:spPr>
        <a:xfrm>
          <a:off x="12648927" y="4388784"/>
          <a:ext cx="6421243" cy="1343958"/>
        </a:xfrm>
        <a:prstGeom prst="rect">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i="1">
              <a:solidFill>
                <a:sysClr val="windowText" lastClr="000000"/>
              </a:solidFill>
              <a:latin typeface="Amasis MT Pro Black" panose="02040A04050005020304" pitchFamily="18" charset="0"/>
            </a:rPr>
            <a:t>i</a:t>
          </a:r>
          <a:r>
            <a:rPr lang="fr-FR" sz="2000" i="1">
              <a:solidFill>
                <a:sysClr val="windowText" lastClr="000000"/>
              </a:solidFill>
            </a:rPr>
            <a:t> </a:t>
          </a:r>
          <a:r>
            <a:rPr lang="fr-FR" sz="1100" i="0">
              <a:solidFill>
                <a:sysClr val="windowText" lastClr="000000"/>
              </a:solidFill>
            </a:rPr>
            <a:t>Le gain énergétique lié à</a:t>
          </a:r>
          <a:r>
            <a:rPr lang="fr-FR" sz="1100" i="0" baseline="0">
              <a:solidFill>
                <a:sysClr val="windowText" lastClr="000000"/>
              </a:solidFill>
            </a:rPr>
            <a:t> la pose d'une solution </a:t>
          </a:r>
          <a:r>
            <a:rPr lang="fr-FR" sz="1100" b="1" i="0" baseline="0">
              <a:solidFill>
                <a:sysClr val="windowText" lastClr="000000"/>
              </a:solidFill>
            </a:rPr>
            <a:t>hybride</a:t>
          </a:r>
          <a:r>
            <a:rPr lang="fr-FR" sz="1100" i="0" baseline="0">
              <a:solidFill>
                <a:sysClr val="windowText" lastClr="000000"/>
              </a:solidFill>
            </a:rPr>
            <a:t> est calculé en </a:t>
          </a:r>
          <a:r>
            <a:rPr lang="fr-FR" sz="1100" b="1" i="0" baseline="0">
              <a:solidFill>
                <a:sysClr val="windowText" lastClr="000000"/>
              </a:solidFill>
            </a:rPr>
            <a:t>énergie primaire </a:t>
          </a:r>
          <a:r>
            <a:rPr lang="fr-FR" sz="1100" b="0" i="0" baseline="0">
              <a:solidFill>
                <a:sysClr val="windowText" lastClr="000000"/>
              </a:solidFill>
            </a:rPr>
            <a:t>(afin de comparer des consommations gaz et élec dans le cas de solution hybride).</a:t>
          </a:r>
        </a:p>
        <a:p>
          <a:pPr algn="l"/>
          <a:r>
            <a:rPr lang="fr-FR" sz="1100" i="0" baseline="0">
              <a:solidFill>
                <a:sysClr val="windowText" lastClr="000000"/>
              </a:solidFill>
            </a:rPr>
            <a:t>Le gain énergétique est donc exprimé en </a:t>
          </a:r>
          <a:r>
            <a:rPr lang="fr-FR" sz="1100" b="1" i="0" baseline="0">
              <a:solidFill>
                <a:sysClr val="windowText" lastClr="000000"/>
              </a:solidFill>
            </a:rPr>
            <a:t>kWh EP. Sinon, la valeur est donnée en kWh PCI.</a:t>
          </a:r>
        </a:p>
        <a:p>
          <a:pPr algn="l"/>
          <a:r>
            <a:rPr lang="fr-FR" sz="1100" i="0" baseline="0">
              <a:solidFill>
                <a:sysClr val="windowText" lastClr="000000"/>
              </a:solidFill>
            </a:rPr>
            <a:t> </a:t>
          </a:r>
        </a:p>
        <a:p>
          <a:pPr algn="l"/>
          <a:r>
            <a:rPr lang="fr-FR" sz="1100" b="1" i="0" baseline="0">
              <a:solidFill>
                <a:sysClr val="windowText" lastClr="000000"/>
              </a:solidFill>
            </a:rPr>
            <a:t>Calcul </a:t>
          </a:r>
          <a:r>
            <a:rPr lang="fr-FR" sz="1100" i="0" baseline="0">
              <a:solidFill>
                <a:sysClr val="windowText" lastClr="000000"/>
              </a:solidFill>
            </a:rPr>
            <a:t>: </a:t>
          </a:r>
        </a:p>
        <a:p>
          <a:pPr algn="l"/>
          <a:r>
            <a:rPr lang="fr-FR" sz="1100" i="0" baseline="0">
              <a:solidFill>
                <a:sysClr val="windowText" lastClr="000000"/>
              </a:solidFill>
            </a:rPr>
            <a:t>- Conversion des conso d'élec en énergie primaire en </a:t>
          </a:r>
          <a:r>
            <a:rPr lang="fr-FR" sz="1200" b="1" i="0" baseline="0">
              <a:solidFill>
                <a:sysClr val="windowText" lastClr="000000"/>
              </a:solidFill>
            </a:rPr>
            <a:t>x2,3</a:t>
          </a:r>
        </a:p>
        <a:p>
          <a:pPr algn="l"/>
          <a:endParaRPr lang="fr-FR" sz="1100" i="0" baseline="0">
            <a:solidFill>
              <a:sysClr val="windowText" lastClr="000000"/>
            </a:solidFill>
          </a:endParaRPr>
        </a:p>
      </xdr:txBody>
    </xdr:sp>
    <xdr:clientData/>
  </xdr:twoCellAnchor>
  <xdr:twoCellAnchor>
    <xdr:from>
      <xdr:col>8</xdr:col>
      <xdr:colOff>12897</xdr:colOff>
      <xdr:row>73</xdr:row>
      <xdr:rowOff>46664</xdr:rowOff>
    </xdr:from>
    <xdr:to>
      <xdr:col>13</xdr:col>
      <xdr:colOff>2477809</xdr:colOff>
      <xdr:row>77</xdr:row>
      <xdr:rowOff>104029</xdr:rowOff>
    </xdr:to>
    <xdr:sp macro="" textlink="">
      <xdr:nvSpPr>
        <xdr:cNvPr id="4" name="Rectangle 3">
          <a:extLst>
            <a:ext uri="{FF2B5EF4-FFF2-40B4-BE49-F238E27FC236}">
              <a16:creationId xmlns:a16="http://schemas.microsoft.com/office/drawing/2014/main" id="{DC54C856-BB68-4B63-8DCB-66B50C7447DE}"/>
            </a:ext>
          </a:extLst>
        </xdr:cNvPr>
        <xdr:cNvSpPr/>
      </xdr:nvSpPr>
      <xdr:spPr>
        <a:xfrm>
          <a:off x="11218779" y="14311752"/>
          <a:ext cx="11956295" cy="774542"/>
        </a:xfrm>
        <a:prstGeom prst="rect">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i="1">
              <a:solidFill>
                <a:sysClr val="windowText" lastClr="000000"/>
              </a:solidFill>
              <a:latin typeface="Amasis MT Pro Black" panose="02040A04050005020304" pitchFamily="18" charset="0"/>
            </a:rPr>
            <a:t>i</a:t>
          </a:r>
          <a:r>
            <a:rPr lang="fr-FR" sz="2000" i="1">
              <a:solidFill>
                <a:sysClr val="windowText" lastClr="000000"/>
              </a:solidFill>
            </a:rPr>
            <a:t> </a:t>
          </a:r>
          <a:r>
            <a:rPr lang="fr-FR" sz="1100" i="0">
              <a:solidFill>
                <a:sysClr val="windowText" lastClr="000000"/>
              </a:solidFill>
            </a:rPr>
            <a:t>La</a:t>
          </a:r>
          <a:r>
            <a:rPr lang="fr-FR" sz="2000" i="1" baseline="0">
              <a:solidFill>
                <a:sysClr val="windowText" lastClr="000000"/>
              </a:solidFill>
            </a:rPr>
            <a:t> </a:t>
          </a:r>
          <a:r>
            <a:rPr lang="fr-FR" sz="1100" i="0" baseline="0">
              <a:solidFill>
                <a:sysClr val="windowText" lastClr="000000"/>
              </a:solidFill>
            </a:rPr>
            <a:t>répartition entre la part de gaz et d'élec dans une solution hybride est basée sur la</a:t>
          </a:r>
          <a:r>
            <a:rPr lang="fr-FR" sz="1100" b="1" i="0" baseline="0">
              <a:solidFill>
                <a:sysClr val="windowText" lastClr="000000"/>
              </a:solidFill>
            </a:rPr>
            <a:t> consommation finale d'une PAC hybride </a:t>
          </a:r>
          <a:r>
            <a:rPr lang="fr-FR" sz="1100" i="0" baseline="0">
              <a:solidFill>
                <a:sysClr val="windowText" lastClr="000000"/>
              </a:solidFill>
            </a:rPr>
            <a:t>(autrement dit en kWh PCI de gaz et en kWhe d'électricité). Une formule est prévue pour calculer la consommation finale d'une PAC hybride à partir de cette répartition (et donc les gains CO2). Ici, en cellule M52. </a:t>
          </a:r>
        </a:p>
        <a:p>
          <a:pPr algn="l"/>
          <a:endParaRPr lang="fr-FR" sz="1100" i="0" baseline="0">
            <a:solidFill>
              <a:sysClr val="windowText" lastClr="000000"/>
            </a:solidFill>
          </a:endParaRPr>
        </a:p>
        <a:p>
          <a:pPr algn="l"/>
          <a:endParaRPr lang="fr-FR" sz="1100" i="0" baseline="0">
            <a:solidFill>
              <a:sysClr val="windowText" lastClr="000000"/>
            </a:solidFill>
          </a:endParaRPr>
        </a:p>
        <a:p>
          <a:pPr algn="l"/>
          <a:endParaRPr lang="fr-FR" sz="1100" i="0" baseline="0">
            <a:solidFill>
              <a:sysClr val="windowText" lastClr="000000"/>
            </a:solidFill>
          </a:endParaRPr>
        </a:p>
      </xdr:txBody>
    </xdr:sp>
    <xdr:clientData/>
  </xdr:twoCellAnchor>
  <xdr:twoCellAnchor>
    <xdr:from>
      <xdr:col>6</xdr:col>
      <xdr:colOff>275763</xdr:colOff>
      <xdr:row>26</xdr:row>
      <xdr:rowOff>46947</xdr:rowOff>
    </xdr:from>
    <xdr:to>
      <xdr:col>8</xdr:col>
      <xdr:colOff>481852</xdr:colOff>
      <xdr:row>28</xdr:row>
      <xdr:rowOff>131109</xdr:rowOff>
    </xdr:to>
    <xdr:sp macro="" textlink="">
      <xdr:nvSpPr>
        <xdr:cNvPr id="5" name="Rectangle 4">
          <a:extLst>
            <a:ext uri="{FF2B5EF4-FFF2-40B4-BE49-F238E27FC236}">
              <a16:creationId xmlns:a16="http://schemas.microsoft.com/office/drawing/2014/main" id="{DB65D5CF-DFB8-42EF-9229-DD08887768F5}"/>
            </a:ext>
          </a:extLst>
        </xdr:cNvPr>
        <xdr:cNvSpPr/>
      </xdr:nvSpPr>
      <xdr:spPr>
        <a:xfrm>
          <a:off x="6035587" y="5145623"/>
          <a:ext cx="3366147" cy="554810"/>
        </a:xfrm>
        <a:prstGeom prst="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1" i="0" u="sng">
              <a:solidFill>
                <a:schemeClr val="bg1"/>
              </a:solidFill>
              <a:latin typeface="+mn-lt"/>
            </a:rPr>
            <a:t>Attention</a:t>
          </a:r>
          <a:r>
            <a:rPr lang="fr-FR" sz="1200" b="1" i="0" u="none">
              <a:solidFill>
                <a:schemeClr val="bg1"/>
              </a:solidFill>
              <a:latin typeface="+mn-lt"/>
            </a:rPr>
            <a:t> : </a:t>
          </a:r>
          <a:r>
            <a:rPr lang="fr-FR" sz="1200" i="0">
              <a:solidFill>
                <a:schemeClr val="bg1"/>
              </a:solidFill>
              <a:latin typeface="+mn-lt"/>
            </a:rPr>
            <a:t>les consommations de</a:t>
          </a:r>
          <a:r>
            <a:rPr lang="fr-FR" sz="1200" i="0" baseline="0">
              <a:solidFill>
                <a:schemeClr val="bg1"/>
              </a:solidFill>
              <a:latin typeface="+mn-lt"/>
            </a:rPr>
            <a:t> gaz et de fioul doivent être saisies en PCI !</a:t>
          </a:r>
          <a:endParaRPr lang="fr-FR" sz="800" i="0" baseline="0">
            <a:solidFill>
              <a:schemeClr val="bg1"/>
            </a:solidFill>
            <a:latin typeface="+mn-lt"/>
          </a:endParaRPr>
        </a:p>
        <a:p>
          <a:pPr algn="l"/>
          <a:endParaRPr lang="fr-FR" sz="800" i="0" baseline="0">
            <a:solidFill>
              <a:schemeClr val="bg1"/>
            </a:solidFill>
          </a:endParaRPr>
        </a:p>
      </xdr:txBody>
    </xdr:sp>
    <xdr:clientData/>
  </xdr:twoCellAnchor>
  <xdr:twoCellAnchor>
    <xdr:from>
      <xdr:col>6</xdr:col>
      <xdr:colOff>427604</xdr:colOff>
      <xdr:row>152</xdr:row>
      <xdr:rowOff>126440</xdr:rowOff>
    </xdr:from>
    <xdr:to>
      <xdr:col>6</xdr:col>
      <xdr:colOff>3705973</xdr:colOff>
      <xdr:row>155</xdr:row>
      <xdr:rowOff>78441</xdr:rowOff>
    </xdr:to>
    <xdr:sp macro="" textlink="">
      <xdr:nvSpPr>
        <xdr:cNvPr id="6" name="Rectangle 5">
          <a:extLst>
            <a:ext uri="{FF2B5EF4-FFF2-40B4-BE49-F238E27FC236}">
              <a16:creationId xmlns:a16="http://schemas.microsoft.com/office/drawing/2014/main" id="{19EE0B4C-25FB-43E0-9A2A-877008C18D8C}"/>
            </a:ext>
          </a:extLst>
        </xdr:cNvPr>
        <xdr:cNvSpPr/>
      </xdr:nvSpPr>
      <xdr:spPr>
        <a:xfrm>
          <a:off x="7193529" y="21773590"/>
          <a:ext cx="3272019" cy="545726"/>
        </a:xfrm>
        <a:prstGeom prst="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1" i="0" u="sng">
              <a:solidFill>
                <a:schemeClr val="bg1"/>
              </a:solidFill>
              <a:latin typeface="+mn-lt"/>
            </a:rPr>
            <a:t>Attention</a:t>
          </a:r>
          <a:r>
            <a:rPr lang="fr-FR" sz="1200" b="1" i="0" u="none">
              <a:solidFill>
                <a:schemeClr val="bg1"/>
              </a:solidFill>
              <a:latin typeface="+mn-lt"/>
            </a:rPr>
            <a:t> : </a:t>
          </a:r>
          <a:r>
            <a:rPr lang="fr-FR" sz="1200" i="0">
              <a:solidFill>
                <a:schemeClr val="bg1"/>
              </a:solidFill>
              <a:latin typeface="+mn-lt"/>
            </a:rPr>
            <a:t>toutes les consommations de</a:t>
          </a:r>
          <a:r>
            <a:rPr lang="fr-FR" sz="1200" i="0" baseline="0">
              <a:solidFill>
                <a:schemeClr val="bg1"/>
              </a:solidFill>
              <a:latin typeface="+mn-lt"/>
            </a:rPr>
            <a:t> gaz et de fioul doivent être saisies en PCI !</a:t>
          </a:r>
          <a:endParaRPr lang="fr-FR" sz="800" i="0" baseline="0">
            <a:solidFill>
              <a:schemeClr val="bg1"/>
            </a:solidFill>
            <a:latin typeface="+mn-lt"/>
          </a:endParaRPr>
        </a:p>
        <a:p>
          <a:pPr algn="l"/>
          <a:endParaRPr lang="fr-FR" sz="800" i="0" baseline="0">
            <a:solidFill>
              <a:schemeClr val="bg1"/>
            </a:solidFill>
          </a:endParaRPr>
        </a:p>
      </xdr:txBody>
    </xdr:sp>
    <xdr:clientData/>
  </xdr:twoCellAnchor>
  <xdr:twoCellAnchor>
    <xdr:from>
      <xdr:col>6</xdr:col>
      <xdr:colOff>456366</xdr:colOff>
      <xdr:row>208</xdr:row>
      <xdr:rowOff>70410</xdr:rowOff>
    </xdr:from>
    <xdr:to>
      <xdr:col>7</xdr:col>
      <xdr:colOff>8032</xdr:colOff>
      <xdr:row>210</xdr:row>
      <xdr:rowOff>128119</xdr:rowOff>
    </xdr:to>
    <xdr:sp macro="" textlink="">
      <xdr:nvSpPr>
        <xdr:cNvPr id="7" name="Rectangle 6">
          <a:extLst>
            <a:ext uri="{FF2B5EF4-FFF2-40B4-BE49-F238E27FC236}">
              <a16:creationId xmlns:a16="http://schemas.microsoft.com/office/drawing/2014/main" id="{1B0FDF31-D1C4-40A4-9DC1-5A0D1FEFE507}"/>
            </a:ext>
          </a:extLst>
        </xdr:cNvPr>
        <xdr:cNvSpPr/>
      </xdr:nvSpPr>
      <xdr:spPr>
        <a:xfrm>
          <a:off x="7219116" y="30413885"/>
          <a:ext cx="3279116" cy="533959"/>
        </a:xfrm>
        <a:prstGeom prst="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1" i="0" u="sng">
              <a:solidFill>
                <a:schemeClr val="bg1"/>
              </a:solidFill>
              <a:latin typeface="+mn-lt"/>
            </a:rPr>
            <a:t>Attention</a:t>
          </a:r>
          <a:r>
            <a:rPr lang="fr-FR" sz="1200" b="1" i="0" u="none">
              <a:solidFill>
                <a:schemeClr val="bg1"/>
              </a:solidFill>
              <a:latin typeface="+mn-lt"/>
            </a:rPr>
            <a:t> : </a:t>
          </a:r>
          <a:r>
            <a:rPr lang="fr-FR" sz="1200" i="0">
              <a:solidFill>
                <a:schemeClr val="bg1"/>
              </a:solidFill>
              <a:latin typeface="+mn-lt"/>
            </a:rPr>
            <a:t>toutes les consommations de</a:t>
          </a:r>
          <a:r>
            <a:rPr lang="fr-FR" sz="1200" i="0" baseline="0">
              <a:solidFill>
                <a:schemeClr val="bg1"/>
              </a:solidFill>
              <a:latin typeface="+mn-lt"/>
            </a:rPr>
            <a:t> gaz et de fioul doivent être saisies en PCI !</a:t>
          </a:r>
          <a:endParaRPr lang="fr-FR" sz="800" i="0" baseline="0">
            <a:solidFill>
              <a:schemeClr val="bg1"/>
            </a:solidFill>
            <a:latin typeface="+mn-lt"/>
          </a:endParaRPr>
        </a:p>
        <a:p>
          <a:pPr algn="l"/>
          <a:endParaRPr lang="fr-FR" sz="800" i="0" baseline="0">
            <a:solidFill>
              <a:schemeClr val="bg1"/>
            </a:solidFill>
          </a:endParaRPr>
        </a:p>
      </xdr:txBody>
    </xdr:sp>
    <xdr:clientData/>
  </xdr:twoCellAnchor>
  <xdr:twoCellAnchor>
    <xdr:from>
      <xdr:col>4</xdr:col>
      <xdr:colOff>2483410</xdr:colOff>
      <xdr:row>85</xdr:row>
      <xdr:rowOff>85912</xdr:rowOff>
    </xdr:from>
    <xdr:to>
      <xdr:col>6</xdr:col>
      <xdr:colOff>2412440</xdr:colOff>
      <xdr:row>89</xdr:row>
      <xdr:rowOff>89647</xdr:rowOff>
    </xdr:to>
    <xdr:sp macro="" textlink="">
      <xdr:nvSpPr>
        <xdr:cNvPr id="8" name="Rectangle 7">
          <a:extLst>
            <a:ext uri="{FF2B5EF4-FFF2-40B4-BE49-F238E27FC236}">
              <a16:creationId xmlns:a16="http://schemas.microsoft.com/office/drawing/2014/main" id="{0348B2C2-FF6E-418A-8D90-10BCE9B61C9A}"/>
            </a:ext>
          </a:extLst>
        </xdr:cNvPr>
        <xdr:cNvSpPr/>
      </xdr:nvSpPr>
      <xdr:spPr>
        <a:xfrm>
          <a:off x="7526057" y="16805088"/>
          <a:ext cx="4478618" cy="474383"/>
        </a:xfrm>
        <a:prstGeom prst="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1" i="0" u="sng">
              <a:solidFill>
                <a:schemeClr val="bg1"/>
              </a:solidFill>
              <a:latin typeface="+mn-lt"/>
            </a:rPr>
            <a:t>Attention</a:t>
          </a:r>
          <a:r>
            <a:rPr lang="fr-FR" sz="1200" b="1" i="0" u="none">
              <a:solidFill>
                <a:schemeClr val="bg1"/>
              </a:solidFill>
              <a:latin typeface="+mn-lt"/>
            </a:rPr>
            <a:t> : </a:t>
          </a:r>
          <a:r>
            <a:rPr lang="fr-FR" sz="1200" i="0">
              <a:solidFill>
                <a:schemeClr val="bg1"/>
              </a:solidFill>
              <a:latin typeface="+mn-lt"/>
            </a:rPr>
            <a:t>les consommations de</a:t>
          </a:r>
          <a:r>
            <a:rPr lang="fr-FR" sz="1200" i="0" baseline="0">
              <a:solidFill>
                <a:schemeClr val="bg1"/>
              </a:solidFill>
              <a:latin typeface="+mn-lt"/>
            </a:rPr>
            <a:t> gaz et de fioul doivent être saisies en PCI !</a:t>
          </a:r>
          <a:endParaRPr lang="fr-FR" sz="800" i="0" baseline="0">
            <a:solidFill>
              <a:schemeClr val="bg1"/>
            </a:solidFill>
            <a:latin typeface="+mn-lt"/>
          </a:endParaRPr>
        </a:p>
        <a:p>
          <a:pPr algn="l"/>
          <a:endParaRPr lang="fr-FR" sz="800" i="0" baseline="0">
            <a:solidFill>
              <a:schemeClr val="bg1"/>
            </a:solidFill>
          </a:endParaRPr>
        </a:p>
      </xdr:txBody>
    </xdr:sp>
    <xdr:clientData/>
  </xdr:twoCellAnchor>
  <xdr:twoCellAnchor>
    <xdr:from>
      <xdr:col>15</xdr:col>
      <xdr:colOff>280145</xdr:colOff>
      <xdr:row>34</xdr:row>
      <xdr:rowOff>106198</xdr:rowOff>
    </xdr:from>
    <xdr:to>
      <xdr:col>20</xdr:col>
      <xdr:colOff>147169</xdr:colOff>
      <xdr:row>40</xdr:row>
      <xdr:rowOff>134470</xdr:rowOff>
    </xdr:to>
    <xdr:sp macro="" textlink="">
      <xdr:nvSpPr>
        <xdr:cNvPr id="9" name="Rectangle 8">
          <a:extLst>
            <a:ext uri="{FF2B5EF4-FFF2-40B4-BE49-F238E27FC236}">
              <a16:creationId xmlns:a16="http://schemas.microsoft.com/office/drawing/2014/main" id="{91A9F94D-4D20-4345-9B00-F6831CF7F71B}"/>
            </a:ext>
          </a:extLst>
        </xdr:cNvPr>
        <xdr:cNvSpPr/>
      </xdr:nvSpPr>
      <xdr:spPr>
        <a:xfrm>
          <a:off x="24361586" y="6874551"/>
          <a:ext cx="5548407" cy="846301"/>
        </a:xfrm>
        <a:prstGeom prst="rect">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i="1">
              <a:solidFill>
                <a:sysClr val="windowText" lastClr="000000"/>
              </a:solidFill>
              <a:latin typeface="Amasis MT Pro Black" panose="02040A04050005020304" pitchFamily="18" charset="0"/>
            </a:rPr>
            <a:t>i</a:t>
          </a:r>
          <a:r>
            <a:rPr lang="fr-FR" sz="2000" i="1">
              <a:solidFill>
                <a:sysClr val="windowText" lastClr="000000"/>
              </a:solidFill>
            </a:rPr>
            <a:t> </a:t>
          </a:r>
          <a:r>
            <a:rPr lang="fr-FR" sz="1100">
              <a:solidFill>
                <a:sysClr val="windowText" lastClr="000000"/>
              </a:solidFill>
            </a:rPr>
            <a:t>Certain scénarios</a:t>
          </a:r>
          <a:r>
            <a:rPr lang="fr-FR" sz="1100" baseline="0">
              <a:solidFill>
                <a:sysClr val="windowText" lastClr="000000"/>
              </a:solidFill>
            </a:rPr>
            <a:t> peuvent entraîner une consommation supplémentaire (en kWh) mais permettre des gains CO2 tout de même (ex: fioul --&gt; gaz dans certains cas)</a:t>
          </a:r>
          <a:endParaRPr lang="fr-FR" sz="1100" b="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247650</xdr:colOff>
      <xdr:row>1</xdr:row>
      <xdr:rowOff>0</xdr:rowOff>
    </xdr:from>
    <xdr:to>
      <xdr:col>11</xdr:col>
      <xdr:colOff>67768</xdr:colOff>
      <xdr:row>15</xdr:row>
      <xdr:rowOff>158750</xdr:rowOff>
    </xdr:to>
    <xdr:pic>
      <xdr:nvPicPr>
        <xdr:cNvPr id="2" name="Image 1" descr="Une image contenant texte, carte, Police, atlas&#10;&#10;Le contenu généré par l’IA peut être incorrect.">
          <a:extLst>
            <a:ext uri="{FF2B5EF4-FFF2-40B4-BE49-F238E27FC236}">
              <a16:creationId xmlns:a16="http://schemas.microsoft.com/office/drawing/2014/main" id="{FDF9F139-F48B-30C5-2BB9-F933C3EE5D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48350" y="219075"/>
          <a:ext cx="5487493" cy="3492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11</xdr:col>
      <xdr:colOff>1751344</xdr:colOff>
      <xdr:row>52</xdr:row>
      <xdr:rowOff>19724</xdr:rowOff>
    </xdr:from>
    <xdr:to>
      <xdr:col>15</xdr:col>
      <xdr:colOff>117938</xdr:colOff>
      <xdr:row>56</xdr:row>
      <xdr:rowOff>142501</xdr:rowOff>
    </xdr:to>
    <xdr:sp macro="" textlink="">
      <xdr:nvSpPr>
        <xdr:cNvPr id="2" name="Rectangle 1">
          <a:extLst>
            <a:ext uri="{FF2B5EF4-FFF2-40B4-BE49-F238E27FC236}">
              <a16:creationId xmlns:a16="http://schemas.microsoft.com/office/drawing/2014/main" id="{18592FD4-E43F-4A10-9B98-C49A8E2C13EB}"/>
            </a:ext>
          </a:extLst>
        </xdr:cNvPr>
        <xdr:cNvSpPr/>
      </xdr:nvSpPr>
      <xdr:spPr>
        <a:xfrm>
          <a:off x="27099050" y="9981753"/>
          <a:ext cx="5303035" cy="839954"/>
        </a:xfrm>
        <a:prstGeom prst="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i="1">
              <a:solidFill>
                <a:sysClr val="windowText" lastClr="000000"/>
              </a:solidFill>
              <a:latin typeface="Amasis MT Pro Black" panose="02040A04050005020304" pitchFamily="18" charset="0"/>
            </a:rPr>
            <a:t>i</a:t>
          </a:r>
          <a:r>
            <a:rPr lang="fr-FR" sz="2000" i="1">
              <a:solidFill>
                <a:sysClr val="windowText" lastClr="000000"/>
              </a:solidFill>
            </a:rPr>
            <a:t> </a:t>
          </a:r>
          <a:r>
            <a:rPr lang="fr-FR" sz="1100">
              <a:solidFill>
                <a:sysClr val="windowText" lastClr="000000"/>
              </a:solidFill>
            </a:rPr>
            <a:t>Le % de gain énergétique</a:t>
          </a:r>
          <a:r>
            <a:rPr lang="fr-FR" sz="1100" baseline="0">
              <a:solidFill>
                <a:sysClr val="windowText" lastClr="000000"/>
              </a:solidFill>
            </a:rPr>
            <a:t> </a:t>
          </a:r>
          <a:r>
            <a:rPr lang="fr-FR" sz="1100">
              <a:solidFill>
                <a:sysClr val="windowText" lastClr="000000"/>
              </a:solidFill>
            </a:rPr>
            <a:t>et le</a:t>
          </a:r>
          <a:r>
            <a:rPr lang="fr-FR" sz="1100" baseline="0">
              <a:solidFill>
                <a:sysClr val="windowText" lastClr="000000"/>
              </a:solidFill>
            </a:rPr>
            <a:t> % de gain CO2 par solutions sont </a:t>
          </a:r>
          <a:r>
            <a:rPr lang="fr-FR" sz="1100" b="1" baseline="0">
              <a:solidFill>
                <a:sysClr val="windowText" lastClr="000000"/>
              </a:solidFill>
            </a:rPr>
            <a:t>calculés sur la base de données moyennes. </a:t>
          </a:r>
          <a:r>
            <a:rPr lang="fr-FR" sz="1100" b="0" baseline="0">
              <a:solidFill>
                <a:sysClr val="windowText" lastClr="000000"/>
              </a:solidFill>
            </a:rPr>
            <a:t>Un gain énergétique personnalisé peut être saisi par le commercial, ce qui impactera le gain CO2.</a:t>
          </a:r>
          <a:endParaRPr lang="fr-FR" sz="1100" b="0">
            <a:solidFill>
              <a:sysClr val="windowText" lastClr="000000"/>
            </a:solidFill>
          </a:endParaRPr>
        </a:p>
      </xdr:txBody>
    </xdr:sp>
    <xdr:clientData/>
  </xdr:twoCellAnchor>
  <xdr:twoCellAnchor>
    <xdr:from>
      <xdr:col>11</xdr:col>
      <xdr:colOff>168088</xdr:colOff>
      <xdr:row>43</xdr:row>
      <xdr:rowOff>44824</xdr:rowOff>
    </xdr:from>
    <xdr:to>
      <xdr:col>11</xdr:col>
      <xdr:colOff>1751344</xdr:colOff>
      <xdr:row>54</xdr:row>
      <xdr:rowOff>82700</xdr:rowOff>
    </xdr:to>
    <xdr:cxnSp macro="">
      <xdr:nvCxnSpPr>
        <xdr:cNvPr id="3" name="Connecteur droit 2">
          <a:extLst>
            <a:ext uri="{FF2B5EF4-FFF2-40B4-BE49-F238E27FC236}">
              <a16:creationId xmlns:a16="http://schemas.microsoft.com/office/drawing/2014/main" id="{995BEB7D-957E-479A-82F8-DA4AADB13BF2}"/>
            </a:ext>
          </a:extLst>
        </xdr:cNvPr>
        <xdr:cNvCxnSpPr>
          <a:stCxn id="2" idx="1"/>
        </xdr:cNvCxnSpPr>
      </xdr:nvCxnSpPr>
      <xdr:spPr>
        <a:xfrm flipH="1" flipV="1">
          <a:off x="25515794" y="8393206"/>
          <a:ext cx="1583256" cy="2010112"/>
        </a:xfrm>
        <a:prstGeom prst="line">
          <a:avLst/>
        </a:prstGeom>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15</xdr:col>
      <xdr:colOff>121113</xdr:colOff>
      <xdr:row>43</xdr:row>
      <xdr:rowOff>89647</xdr:rowOff>
    </xdr:from>
    <xdr:to>
      <xdr:col>16</xdr:col>
      <xdr:colOff>549088</xdr:colOff>
      <xdr:row>54</xdr:row>
      <xdr:rowOff>82700</xdr:rowOff>
    </xdr:to>
    <xdr:cxnSp macro="">
      <xdr:nvCxnSpPr>
        <xdr:cNvPr id="4" name="Connecteur droit 3">
          <a:extLst>
            <a:ext uri="{FF2B5EF4-FFF2-40B4-BE49-F238E27FC236}">
              <a16:creationId xmlns:a16="http://schemas.microsoft.com/office/drawing/2014/main" id="{BA0A77F8-5717-44ED-A436-DD8674AEED5D}"/>
            </a:ext>
          </a:extLst>
        </xdr:cNvPr>
        <xdr:cNvCxnSpPr>
          <a:stCxn id="2" idx="3"/>
        </xdr:cNvCxnSpPr>
      </xdr:nvCxnSpPr>
      <xdr:spPr>
        <a:xfrm flipV="1">
          <a:off x="32405260" y="8438029"/>
          <a:ext cx="730534" cy="1965289"/>
        </a:xfrm>
        <a:prstGeom prst="line">
          <a:avLst/>
        </a:prstGeom>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11</xdr:col>
      <xdr:colOff>563943</xdr:colOff>
      <xdr:row>21</xdr:row>
      <xdr:rowOff>69918</xdr:rowOff>
    </xdr:from>
    <xdr:to>
      <xdr:col>13</xdr:col>
      <xdr:colOff>2858224</xdr:colOff>
      <xdr:row>28</xdr:row>
      <xdr:rowOff>191726</xdr:rowOff>
    </xdr:to>
    <xdr:sp macro="" textlink="">
      <xdr:nvSpPr>
        <xdr:cNvPr id="5" name="Rectangle 4">
          <a:extLst>
            <a:ext uri="{FF2B5EF4-FFF2-40B4-BE49-F238E27FC236}">
              <a16:creationId xmlns:a16="http://schemas.microsoft.com/office/drawing/2014/main" id="{5E824C4B-AC7C-4359-A715-058C802E7971}"/>
            </a:ext>
          </a:extLst>
        </xdr:cNvPr>
        <xdr:cNvSpPr/>
      </xdr:nvSpPr>
      <xdr:spPr>
        <a:xfrm>
          <a:off x="18172493" y="3876743"/>
          <a:ext cx="5250206" cy="1591833"/>
        </a:xfrm>
        <a:prstGeom prst="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600" i="1">
              <a:solidFill>
                <a:sysClr val="windowText" lastClr="000000"/>
              </a:solidFill>
              <a:latin typeface="Amasis MT Pro Black" panose="02040A04050005020304" pitchFamily="18" charset="0"/>
            </a:rPr>
            <a:t>i</a:t>
          </a:r>
          <a:r>
            <a:rPr lang="fr-FR" sz="1600" i="1">
              <a:solidFill>
                <a:sysClr val="windowText" lastClr="000000"/>
              </a:solidFill>
            </a:rPr>
            <a:t> </a:t>
          </a:r>
          <a:r>
            <a:rPr lang="fr-FR" sz="1000" i="0">
              <a:solidFill>
                <a:sysClr val="windowText" lastClr="000000"/>
              </a:solidFill>
            </a:rPr>
            <a:t>Le gain énergétique lié à</a:t>
          </a:r>
          <a:r>
            <a:rPr lang="fr-FR" sz="1000" i="0" baseline="0">
              <a:solidFill>
                <a:sysClr val="windowText" lastClr="000000"/>
              </a:solidFill>
            </a:rPr>
            <a:t> la pose d'une solution </a:t>
          </a:r>
          <a:r>
            <a:rPr lang="fr-FR" sz="1000" b="1" i="0" baseline="0">
              <a:solidFill>
                <a:sysClr val="windowText" lastClr="000000"/>
              </a:solidFill>
            </a:rPr>
            <a:t>hybride</a:t>
          </a:r>
          <a:r>
            <a:rPr lang="fr-FR" sz="1000" i="0" baseline="0">
              <a:solidFill>
                <a:sysClr val="windowText" lastClr="000000"/>
              </a:solidFill>
            </a:rPr>
            <a:t> est calculé en </a:t>
          </a:r>
          <a:r>
            <a:rPr lang="fr-FR" sz="1000" b="1" i="0" baseline="0">
              <a:solidFill>
                <a:sysClr val="windowText" lastClr="000000"/>
              </a:solidFill>
            </a:rPr>
            <a:t>énergie primaire </a:t>
          </a:r>
          <a:r>
            <a:rPr lang="fr-FR" sz="1000" b="0" i="0" baseline="0">
              <a:solidFill>
                <a:sysClr val="windowText" lastClr="000000"/>
              </a:solidFill>
            </a:rPr>
            <a:t>(unité commune pour pouvoir comparer des consommations gaz et élec).</a:t>
          </a:r>
        </a:p>
        <a:p>
          <a:pPr algn="l"/>
          <a:r>
            <a:rPr lang="fr-FR" sz="1000" i="0" baseline="0">
              <a:solidFill>
                <a:sysClr val="windowText" lastClr="000000"/>
              </a:solidFill>
            </a:rPr>
            <a:t>Le gain énergétique est donc exprimé en </a:t>
          </a:r>
          <a:r>
            <a:rPr lang="fr-FR" sz="1000" b="1" i="0" baseline="0">
              <a:solidFill>
                <a:sysClr val="windowText" lastClr="000000"/>
              </a:solidFill>
            </a:rPr>
            <a:t>kWh EP.</a:t>
          </a:r>
        </a:p>
        <a:p>
          <a:pPr algn="l"/>
          <a:r>
            <a:rPr lang="fr-FR" sz="1000" i="0" baseline="0">
              <a:solidFill>
                <a:sysClr val="windowText" lastClr="000000"/>
              </a:solidFill>
            </a:rPr>
            <a:t> </a:t>
          </a:r>
        </a:p>
        <a:p>
          <a:pPr algn="l"/>
          <a:r>
            <a:rPr lang="fr-FR" sz="1000" b="1" i="0" baseline="0">
              <a:solidFill>
                <a:sysClr val="windowText" lastClr="000000"/>
              </a:solidFill>
            </a:rPr>
            <a:t>Calculs </a:t>
          </a:r>
          <a:r>
            <a:rPr lang="fr-FR" sz="1000" i="0" baseline="0">
              <a:solidFill>
                <a:sysClr val="windowText" lastClr="000000"/>
              </a:solidFill>
            </a:rPr>
            <a:t>: </a:t>
          </a:r>
        </a:p>
        <a:p>
          <a:pPr algn="l"/>
          <a:r>
            <a:rPr lang="fr-FR" sz="1000" i="0" baseline="0">
              <a:solidFill>
                <a:sysClr val="windowText" lastClr="000000"/>
              </a:solidFill>
            </a:rPr>
            <a:t>- Conversion des conso de gaz PCI --&gt; PCS en x1,11</a:t>
          </a:r>
        </a:p>
        <a:p>
          <a:pPr algn="l"/>
          <a:r>
            <a:rPr lang="fr-FR" sz="1000" i="0" baseline="0">
              <a:solidFill>
                <a:sysClr val="windowText" lastClr="000000"/>
              </a:solidFill>
            </a:rPr>
            <a:t>- Conversion des conso d'élec en énergie primaire en x2,3</a:t>
          </a:r>
        </a:p>
        <a:p>
          <a:pPr algn="l"/>
          <a:endParaRPr lang="fr-FR" sz="1000" i="0" baseline="0">
            <a:solidFill>
              <a:sysClr val="windowText" lastClr="000000"/>
            </a:solidFill>
          </a:endParaRPr>
        </a:p>
      </xdr:txBody>
    </xdr:sp>
    <xdr:clientData/>
  </xdr:twoCellAnchor>
  <xdr:twoCellAnchor>
    <xdr:from>
      <xdr:col>16</xdr:col>
      <xdr:colOff>52617</xdr:colOff>
      <xdr:row>30</xdr:row>
      <xdr:rowOff>164879</xdr:rowOff>
    </xdr:from>
    <xdr:to>
      <xdr:col>22</xdr:col>
      <xdr:colOff>120088</xdr:colOff>
      <xdr:row>34</xdr:row>
      <xdr:rowOff>176353</xdr:rowOff>
    </xdr:to>
    <xdr:sp macro="" textlink="">
      <xdr:nvSpPr>
        <xdr:cNvPr id="6" name="Rectangle 5">
          <a:extLst>
            <a:ext uri="{FF2B5EF4-FFF2-40B4-BE49-F238E27FC236}">
              <a16:creationId xmlns:a16="http://schemas.microsoft.com/office/drawing/2014/main" id="{E55D0368-3C33-4F61-B79E-E982055022CF}"/>
            </a:ext>
          </a:extLst>
        </xdr:cNvPr>
        <xdr:cNvSpPr/>
      </xdr:nvSpPr>
      <xdr:spPr>
        <a:xfrm>
          <a:off x="24890642" y="5971954"/>
          <a:ext cx="5350671" cy="856024"/>
        </a:xfrm>
        <a:prstGeom prst="rect">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i="1">
              <a:solidFill>
                <a:sysClr val="windowText" lastClr="000000"/>
              </a:solidFill>
              <a:latin typeface="Amasis MT Pro Black" panose="02040A04050005020304" pitchFamily="18" charset="0"/>
            </a:rPr>
            <a:t>i</a:t>
          </a:r>
          <a:r>
            <a:rPr lang="fr-FR" sz="2000" i="1">
              <a:solidFill>
                <a:sysClr val="windowText" lastClr="000000"/>
              </a:solidFill>
            </a:rPr>
            <a:t> </a:t>
          </a:r>
          <a:r>
            <a:rPr lang="fr-FR" sz="1100" i="0">
              <a:solidFill>
                <a:sysClr val="windowText" lastClr="000000"/>
              </a:solidFill>
              <a:latin typeface="+mn-lt"/>
              <a:ea typeface="+mn-ea"/>
              <a:cs typeface="+mn-cs"/>
            </a:rPr>
            <a:t>Dans le cas d'une solution hybride, l</a:t>
          </a:r>
          <a:r>
            <a:rPr lang="fr-FR" sz="1100" i="0">
              <a:solidFill>
                <a:sysClr val="windowText" lastClr="000000"/>
              </a:solidFill>
            </a:rPr>
            <a:t>e gain CO2 </a:t>
          </a:r>
          <a:r>
            <a:rPr lang="fr-FR" sz="1100" i="0" baseline="0">
              <a:solidFill>
                <a:sysClr val="windowText" lastClr="000000"/>
              </a:solidFill>
            </a:rPr>
            <a:t>est calculé en fonction de répartition de la consommation finale entre gaz et électricité, en appliquant les facteurs d'émissions pour chaque énergie. </a:t>
          </a:r>
          <a:endParaRPr lang="fr-FR" sz="1100">
            <a:solidFill>
              <a:sysClr val="windowText" lastClr="000000"/>
            </a:solidFill>
          </a:endParaRPr>
        </a:p>
      </xdr:txBody>
    </xdr:sp>
    <xdr:clientData/>
  </xdr:twoCellAnchor>
  <xdr:twoCellAnchor>
    <xdr:from>
      <xdr:col>9</xdr:col>
      <xdr:colOff>2129117</xdr:colOff>
      <xdr:row>28</xdr:row>
      <xdr:rowOff>191726</xdr:rowOff>
    </xdr:from>
    <xdr:to>
      <xdr:col>13</xdr:col>
      <xdr:colOff>230320</xdr:colOff>
      <xdr:row>39</xdr:row>
      <xdr:rowOff>56029</xdr:rowOff>
    </xdr:to>
    <xdr:cxnSp macro="">
      <xdr:nvCxnSpPr>
        <xdr:cNvPr id="7" name="Connecteur droit 6">
          <a:extLst>
            <a:ext uri="{FF2B5EF4-FFF2-40B4-BE49-F238E27FC236}">
              <a16:creationId xmlns:a16="http://schemas.microsoft.com/office/drawing/2014/main" id="{D11CB8C0-9E89-4171-B609-B4CF43597E17}"/>
            </a:ext>
          </a:extLst>
        </xdr:cNvPr>
        <xdr:cNvCxnSpPr>
          <a:stCxn id="5" idx="2"/>
        </xdr:cNvCxnSpPr>
      </xdr:nvCxnSpPr>
      <xdr:spPr>
        <a:xfrm flipH="1">
          <a:off x="17432617" y="5468576"/>
          <a:ext cx="3362178" cy="2255078"/>
        </a:xfrm>
        <a:prstGeom prst="line">
          <a:avLst/>
        </a:prstGeom>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12</xdr:col>
      <xdr:colOff>757795</xdr:colOff>
      <xdr:row>34</xdr:row>
      <xdr:rowOff>8642</xdr:rowOff>
    </xdr:from>
    <xdr:to>
      <xdr:col>14</xdr:col>
      <xdr:colOff>281214</xdr:colOff>
      <xdr:row>38</xdr:row>
      <xdr:rowOff>117465</xdr:rowOff>
    </xdr:to>
    <xdr:sp macro="" textlink="">
      <xdr:nvSpPr>
        <xdr:cNvPr id="8" name="Rectangle 7">
          <a:extLst>
            <a:ext uri="{FF2B5EF4-FFF2-40B4-BE49-F238E27FC236}">
              <a16:creationId xmlns:a16="http://schemas.microsoft.com/office/drawing/2014/main" id="{DADF3620-C4F2-49BD-8126-D274C0749479}"/>
            </a:ext>
          </a:extLst>
        </xdr:cNvPr>
        <xdr:cNvSpPr/>
      </xdr:nvSpPr>
      <xdr:spPr>
        <a:xfrm>
          <a:off x="20280870" y="6660267"/>
          <a:ext cx="3552494" cy="943848"/>
        </a:xfrm>
        <a:prstGeom prst="rect">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600" i="1">
              <a:solidFill>
                <a:sysClr val="windowText" lastClr="000000"/>
              </a:solidFill>
              <a:latin typeface="Amasis MT Pro Black" panose="02040A04050005020304" pitchFamily="18" charset="0"/>
            </a:rPr>
            <a:t>i</a:t>
          </a:r>
          <a:r>
            <a:rPr lang="fr-FR" sz="1600" i="1">
              <a:solidFill>
                <a:sysClr val="windowText" lastClr="000000"/>
              </a:solidFill>
            </a:rPr>
            <a:t> </a:t>
          </a:r>
          <a:r>
            <a:rPr lang="fr-FR" sz="1000" i="0">
              <a:solidFill>
                <a:sysClr val="windowText" lastClr="000000"/>
              </a:solidFill>
            </a:rPr>
            <a:t>La</a:t>
          </a:r>
          <a:r>
            <a:rPr lang="fr-FR" sz="1600" i="1" baseline="0">
              <a:solidFill>
                <a:sysClr val="windowText" lastClr="000000"/>
              </a:solidFill>
            </a:rPr>
            <a:t> </a:t>
          </a:r>
          <a:r>
            <a:rPr lang="fr-FR" sz="1000" i="0" baseline="0">
              <a:solidFill>
                <a:sysClr val="windowText" lastClr="000000"/>
              </a:solidFill>
            </a:rPr>
            <a:t>consommation future annuelle est donnée en </a:t>
          </a:r>
          <a:r>
            <a:rPr lang="fr-FR" sz="1000" b="1" i="0" baseline="0">
              <a:solidFill>
                <a:sysClr val="windowText" lastClr="000000"/>
              </a:solidFill>
            </a:rPr>
            <a:t>kWh EP </a:t>
          </a:r>
          <a:r>
            <a:rPr lang="fr-FR" sz="1000" i="0" baseline="0">
              <a:solidFill>
                <a:sysClr val="windowText" lastClr="000000"/>
              </a:solidFill>
            </a:rPr>
            <a:t>car cela permet de comparer des consommations gaz et élec dans le cas de solution hybride. Sinon, la valeur est donnée en kWh PCS.</a:t>
          </a:r>
        </a:p>
        <a:p>
          <a:pPr algn="l"/>
          <a:endParaRPr lang="fr-FR" sz="1000" i="0" baseline="0">
            <a:solidFill>
              <a:sysClr val="windowText" lastClr="000000"/>
            </a:solidFill>
          </a:endParaRPr>
        </a:p>
        <a:p>
          <a:pPr algn="l"/>
          <a:endParaRPr lang="fr-FR" sz="1000" i="0" baseline="0">
            <a:solidFill>
              <a:sysClr val="windowText" lastClr="000000"/>
            </a:solidFill>
          </a:endParaRPr>
        </a:p>
        <a:p>
          <a:pPr algn="l"/>
          <a:endParaRPr lang="fr-FR" sz="1000" i="0" baseline="0">
            <a:solidFill>
              <a:sysClr val="windowText" lastClr="000000"/>
            </a:solidFill>
          </a:endParaRPr>
        </a:p>
      </xdr:txBody>
    </xdr:sp>
    <xdr:clientData/>
  </xdr:twoCellAnchor>
  <xdr:twoCellAnchor>
    <xdr:from>
      <xdr:col>12</xdr:col>
      <xdr:colOff>350941</xdr:colOff>
      <xdr:row>44</xdr:row>
      <xdr:rowOff>24438</xdr:rowOff>
    </xdr:from>
    <xdr:to>
      <xdr:col>14</xdr:col>
      <xdr:colOff>867681</xdr:colOff>
      <xdr:row>48</xdr:row>
      <xdr:rowOff>157443</xdr:rowOff>
    </xdr:to>
    <xdr:sp macro="" textlink="">
      <xdr:nvSpPr>
        <xdr:cNvPr id="9" name="Rectangle 8">
          <a:extLst>
            <a:ext uri="{FF2B5EF4-FFF2-40B4-BE49-F238E27FC236}">
              <a16:creationId xmlns:a16="http://schemas.microsoft.com/office/drawing/2014/main" id="{784DD161-1242-4C6A-AFA5-C903E5BBD2B4}"/>
            </a:ext>
          </a:extLst>
        </xdr:cNvPr>
        <xdr:cNvSpPr/>
      </xdr:nvSpPr>
      <xdr:spPr>
        <a:xfrm>
          <a:off x="19880366" y="8619163"/>
          <a:ext cx="4539465" cy="856905"/>
        </a:xfrm>
        <a:prstGeom prst="rect">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600" i="1">
              <a:solidFill>
                <a:sysClr val="windowText" lastClr="000000"/>
              </a:solidFill>
              <a:latin typeface="Amasis MT Pro Black" panose="02040A04050005020304" pitchFamily="18" charset="0"/>
            </a:rPr>
            <a:t>i</a:t>
          </a:r>
          <a:r>
            <a:rPr lang="fr-FR" sz="1600" i="1">
              <a:solidFill>
                <a:sysClr val="windowText" lastClr="000000"/>
              </a:solidFill>
            </a:rPr>
            <a:t> </a:t>
          </a:r>
          <a:r>
            <a:rPr lang="fr-FR" sz="1000" i="0">
              <a:solidFill>
                <a:sysClr val="windowText" lastClr="000000"/>
              </a:solidFill>
            </a:rPr>
            <a:t>La</a:t>
          </a:r>
          <a:r>
            <a:rPr lang="fr-FR" sz="1600" i="1" baseline="0">
              <a:solidFill>
                <a:sysClr val="windowText" lastClr="000000"/>
              </a:solidFill>
            </a:rPr>
            <a:t> </a:t>
          </a:r>
          <a:r>
            <a:rPr lang="fr-FR" sz="1000" i="0" baseline="0">
              <a:solidFill>
                <a:sysClr val="windowText" lastClr="000000"/>
              </a:solidFill>
            </a:rPr>
            <a:t>répartition entre la part de gaz et d'élec dans une solution hybride est basée sur la consommation finale d'une PAC hybride (autrement dit en kWh PCI de gaz et en kWhe d'électricité) </a:t>
          </a:r>
        </a:p>
        <a:p>
          <a:pPr algn="l"/>
          <a:endParaRPr lang="fr-FR" sz="1000" i="0" baseline="0">
            <a:solidFill>
              <a:sysClr val="windowText" lastClr="000000"/>
            </a:solidFill>
          </a:endParaRPr>
        </a:p>
        <a:p>
          <a:pPr algn="l"/>
          <a:endParaRPr lang="fr-FR" sz="1000" i="0" baseline="0">
            <a:solidFill>
              <a:sysClr val="windowText" lastClr="000000"/>
            </a:solidFill>
          </a:endParaRPr>
        </a:p>
        <a:p>
          <a:pPr algn="l"/>
          <a:endParaRPr lang="fr-FR" sz="1000" i="0" baseline="0">
            <a:solidFill>
              <a:sysClr val="windowText" lastClr="000000"/>
            </a:solidFill>
          </a:endParaRPr>
        </a:p>
      </xdr:txBody>
    </xdr:sp>
    <xdr:clientData/>
  </xdr:twoCellAnchor>
  <xdr:twoCellAnchor>
    <xdr:from>
      <xdr:col>5</xdr:col>
      <xdr:colOff>123265</xdr:colOff>
      <xdr:row>82</xdr:row>
      <xdr:rowOff>156883</xdr:rowOff>
    </xdr:from>
    <xdr:to>
      <xdr:col>5</xdr:col>
      <xdr:colOff>3496235</xdr:colOff>
      <xdr:row>85</xdr:row>
      <xdr:rowOff>164913</xdr:rowOff>
    </xdr:to>
    <xdr:sp macro="" textlink="">
      <xdr:nvSpPr>
        <xdr:cNvPr id="12" name="Rectangle 11">
          <a:extLst>
            <a:ext uri="{FF2B5EF4-FFF2-40B4-BE49-F238E27FC236}">
              <a16:creationId xmlns:a16="http://schemas.microsoft.com/office/drawing/2014/main" id="{32B72FBD-6B06-49AF-6539-701381CF7715}"/>
            </a:ext>
          </a:extLst>
        </xdr:cNvPr>
        <xdr:cNvSpPr/>
      </xdr:nvSpPr>
      <xdr:spPr>
        <a:xfrm>
          <a:off x="9177618" y="15811501"/>
          <a:ext cx="3372970" cy="568324"/>
        </a:xfrm>
        <a:prstGeom prst="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a:t>/!\ Attention : toutes les</a:t>
          </a:r>
          <a:r>
            <a:rPr lang="fr-FR" sz="1200" baseline="0"/>
            <a:t> consommations (pré-remplies ou saisies) sont ici en énergie finale !</a:t>
          </a:r>
          <a:endParaRPr lang="fr-FR" sz="12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grdf-my.sharepoint.com/personal/pa2003_grdf_fr/Documents/Documents/4%20-%20R&#233;novation/5%20-%20Etudes/2022%20-%20DPE%20-%20&#233;tude%20guillemard%202022/6%20-%20Analyse%20r&#233;sultats%20DPE%2020230523%20outil%20DPE%20-%20hpo%20pour%20outil%20d&#233;carbo.xlsm" TargetMode="External"/><Relationship Id="rId1" Type="http://schemas.openxmlformats.org/officeDocument/2006/relationships/externalLinkPath" Target="https://grdf-my.sharepoint.com/personal/pa2003_grdf_fr/Documents/Documents/4%20-%20R&#233;novation/5%20-%20Etudes/2022%20-%20DPE%20-%20&#233;tude%20guillemard%202022/6%20-%20Analyse%20r&#233;sultats%20DPE%2020230523%20outil%20DPE%20-%20hpo%20pour%20outil%20d&#233;carbo.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grdf-my.sharepoint.com/personal/pa2003_grdf_fr/Documents/Documents/4%20-%20R&#233;novation/5%20-%20Etudes/2022%20-%20DPE%20-%20&#233;tude%20guillemard%202022/6%20-%20Analyse%20r&#233;sultats%20DPE%2020230523%20outil%20DPE%20-%20hpo%20pour%20outil%20d&#233;carbo.xlsm" TargetMode="External"/><Relationship Id="rId1" Type="http://schemas.openxmlformats.org/officeDocument/2006/relationships/externalLinkPath" Target="https://grdf.sharepoint.com/personal/pa2003_grdf_fr/Documents/Documents/4%20-%20R&#233;novation/5%20-%20Etudes/2022%20-%20DPE%20-%20&#233;tude%20guillemard%202022/6%20-%20Analyse%20r&#233;sultats%20DPE%2020230523%20outil%20DPE%20-%20hpo%20pour%20outil%20d&#233;carb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ituations initiales"/>
      <sheetName val="Travaux et solutions techniques"/>
      <sheetName val="Tirs et résultats"/>
      <sheetName val="Données outil décarbo"/>
      <sheetName val="Feuil2"/>
      <sheetName val="Erreurs identifiées"/>
      <sheetName val="Tirs et résultats (2)"/>
      <sheetName val="Feuil6"/>
      <sheetName val="tabdyn travail"/>
      <sheetName val="tabgraph travail"/>
      <sheetName val="outil"/>
      <sheetName val="Exercice"/>
      <sheetName val="Correction"/>
      <sheetName val="tabdyn travail2"/>
      <sheetName val="datas travail"/>
      <sheetName val="Etudes de sensibilité"/>
      <sheetName val="Tabl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ituations initiales"/>
      <sheetName val="Travaux et solutions techniques"/>
      <sheetName val="Tirs et résultats"/>
      <sheetName val="Données outil décarbo"/>
      <sheetName val="Feuil2"/>
      <sheetName val="Erreurs identifiées"/>
      <sheetName val="Tirs et résultats (2)"/>
      <sheetName val="Feuil6"/>
      <sheetName val="tabdyn travail"/>
      <sheetName val="tabgraph travail"/>
      <sheetName val="outil"/>
      <sheetName val="Exercice"/>
      <sheetName val="Correction"/>
      <sheetName val="tabdyn travail2"/>
      <sheetName val="datas travail"/>
      <sheetName val="Etudes de sensibilité"/>
      <sheetName val="Tabl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7">
          <cell r="C7"/>
          <cell r="D7"/>
        </row>
        <row r="8">
          <cell r="C8" t="str">
            <v>Petit collectif</v>
          </cell>
          <cell r="D8" t="str">
            <v>Chaudière individuelle</v>
          </cell>
        </row>
        <row r="9">
          <cell r="C9" t="str">
            <v>Grand collectif</v>
          </cell>
          <cell r="D9" t="str">
            <v>Chaudière collective</v>
          </cell>
        </row>
        <row r="10">
          <cell r="C10" t="str">
            <v>HBM</v>
          </cell>
          <cell r="D10" t="str">
            <v>PAC hybride individuelle</v>
          </cell>
        </row>
        <row r="11">
          <cell r="C11" t="str">
            <v>Reconstruction</v>
          </cell>
          <cell r="D11" t="str">
            <v>PAC hybride collective</v>
          </cell>
        </row>
        <row r="12">
          <cell r="C12" t="str">
            <v>Tours</v>
          </cell>
          <cell r="D12" t="str">
            <v>PAC hybride collective avec chaudière existante</v>
          </cell>
        </row>
        <row r="13">
          <cell r="D13" t="str">
            <v>PAC hybride collective avec PAC géothermique</v>
          </cell>
        </row>
        <row r="14">
          <cell r="D14" t="str">
            <v>Chaudière THPE individuelle + CET sur air extérieur</v>
          </cell>
        </row>
        <row r="15">
          <cell r="D15" t="str">
            <v>Chaudière THPE individuelle + solaire thermique</v>
          </cell>
        </row>
        <row r="16">
          <cell r="D16" t="str">
            <v>CESC</v>
          </cell>
        </row>
        <row r="17">
          <cell r="D17" t="str">
            <v>EJ + ballon élec (indiv)</v>
          </cell>
        </row>
        <row r="18">
          <cell r="D18" t="str">
            <v>EJ + CET sur air extérieur (indiv)</v>
          </cell>
        </row>
        <row r="19">
          <cell r="D19" t="str">
            <v>PAC élec A/A (indiv)</v>
          </cell>
        </row>
        <row r="20">
          <cell r="D20" t="str">
            <v>PAC élec A/E (indiv)</v>
          </cell>
        </row>
        <row r="21">
          <cell r="D21" t="str">
            <v>Solution composite (EJ / Split / CET)</v>
          </cell>
        </row>
        <row r="22">
          <cell r="D22" t="str">
            <v>Chaudière fioul</v>
          </cell>
        </row>
        <row r="23">
          <cell r="D23" t="str">
            <v>Chaufferie bois</v>
          </cell>
        </row>
        <row r="24">
          <cell r="D24" t="str">
            <v>PAC élec A/A (collective)</v>
          </cell>
        </row>
        <row r="25">
          <cell r="D25" t="str">
            <v>PAC élec A/E (collective)</v>
          </cell>
        </row>
        <row r="26">
          <cell r="D26" t="str">
            <v>PAC élec géo (collective)</v>
          </cell>
        </row>
        <row r="27">
          <cell r="D27" t="str">
            <v>RCU</v>
          </cell>
        </row>
      </sheetData>
    </sheetDataSet>
  </externalBook>
</externalLink>
</file>

<file path=xl/persons/person.xml><?xml version="1.0" encoding="utf-8"?>
<personList xmlns="http://schemas.microsoft.com/office/spreadsheetml/2018/threadedcomments" xmlns:x="http://schemas.openxmlformats.org/spreadsheetml/2006/main">
  <person displayName="ANDRE Alaïs (GRDF)" id="{D7FACAC8-76AB-4D3E-9A30-09921A54EFF9}" userId="S::QJ6619@grdf.fr::3201de8d-702f-4bfe-aad1-ed7dc03bd07e"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ALAÏS" refreshedDate="45790.585860300926" createdVersion="8" refreshedVersion="8" minRefreshableVersion="3" recordCount="210" xr:uid="{2B9865F2-7018-4227-BAA5-9F30C4BDAEFD}">
  <cacheSource type="worksheet">
    <worksheetSource ref="A4:AH214" sheet="Données outil décarbo"/>
  </cacheSource>
  <cacheFields count="34">
    <cacheField name="Ref" numFmtId="0">
      <sharedItems containsBlank="1" containsMixedTypes="1" containsNumber="1" containsInteger="1" minValue="2" maxValue="1736"/>
    </cacheField>
    <cacheField name="Typologie bâtiment" numFmtId="0">
      <sharedItems count="5">
        <s v="HBM"/>
        <s v="Reconstruction"/>
        <s v="Petit collectif"/>
        <s v="Grand collectif"/>
        <s v="Tour"/>
      </sharedItems>
    </cacheField>
    <cacheField name="Zone climatique" numFmtId="0">
      <sharedItems count="3">
        <s v="H1a (78)"/>
        <s v="H2b (37)"/>
        <s v="H3 (13)"/>
      </sharedItems>
    </cacheField>
    <cacheField name="Surface (m²)" numFmtId="0">
      <sharedItems containsSemiMixedTypes="0" containsString="0" containsNumber="1" containsInteger="1" minValue="240" maxValue="6530"/>
    </cacheField>
    <cacheField name="Murs" numFmtId="0">
      <sharedItems/>
    </cacheField>
    <cacheField name="Plafond" numFmtId="0">
      <sharedItems/>
    </cacheField>
    <cacheField name="Plancher" numFmtId="0">
      <sharedItems/>
    </cacheField>
    <cacheField name="Menuiseries" numFmtId="0">
      <sharedItems/>
    </cacheField>
    <cacheField name="Ventilation" numFmtId="0">
      <sharedItems/>
    </cacheField>
    <cacheField name="Chauffage &amp; ECS avant travaux" numFmtId="0">
      <sharedItems count="2">
        <s v="Chaudière individuelle"/>
        <s v="Chaudière collective"/>
      </sharedItems>
    </cacheField>
    <cacheField name="Système indiv/collectif" numFmtId="0">
      <sharedItems/>
    </cacheField>
    <cacheField name="Système neuf / existant" numFmtId="0">
      <sharedItems/>
    </cacheField>
    <cacheField name="Conso NRJ kWhEP/m².an" numFmtId="0">
      <sharedItems containsSemiMixedTypes="0" containsString="0" containsNumber="1" containsInteger="1" minValue="102" maxValue="537"/>
    </cacheField>
    <cacheField name="Etiquette NRJ avant travaux" numFmtId="0">
      <sharedItems/>
    </cacheField>
    <cacheField name="Emissions GES(kgeqCO2/m².an) avant travaux" numFmtId="0">
      <sharedItems containsSemiMixedTypes="0" containsString="0" containsNumber="1" containsInteger="1" minValue="21" maxValue="119"/>
    </cacheField>
    <cacheField name="Etiquette GES avant travaux" numFmtId="0">
      <sharedItems/>
    </cacheField>
    <cacheField name="Etiquette DPE avant travaux" numFmtId="0">
      <sharedItems containsBlank="1"/>
    </cacheField>
    <cacheField name="Facture en € avant travaux" numFmtId="0">
      <sharedItems containsSemiMixedTypes="0" containsString="0" containsNumber="1" containsInteger="1" minValue="5911" maxValue="143747"/>
    </cacheField>
    <cacheField name="Murs2" numFmtId="0">
      <sharedItems count="2">
        <s v=" -"/>
        <s v="x"/>
      </sharedItems>
    </cacheField>
    <cacheField name="Plafond2" numFmtId="0">
      <sharedItems count="2">
        <s v=" -"/>
        <s v="x"/>
      </sharedItems>
    </cacheField>
    <cacheField name="Plancher2" numFmtId="0">
      <sharedItems count="2">
        <s v=" -"/>
        <s v="x"/>
      </sharedItems>
    </cacheField>
    <cacheField name="Menuiseries2" numFmtId="0">
      <sharedItems count="2">
        <s v=" -"/>
        <s v="x"/>
      </sharedItems>
    </cacheField>
    <cacheField name="Ventilation2" numFmtId="0">
      <sharedItems count="2">
        <s v=" -"/>
        <s v="x"/>
      </sharedItems>
    </cacheField>
    <cacheField name="Chauffage &amp; ECS après travaux" numFmtId="0">
      <sharedItems count="8">
        <s v="Chaudière individuelle"/>
        <s v="Chaudière THPE individuelle + CET sur air extérieur"/>
        <s v="Chaudière collective"/>
        <s v="CD Coll + CESC"/>
        <s v="PAC hybride collective - PAC hybride (ECS 50/50) RECALCULEE"/>
        <s v="PAC élec A/E (collective)"/>
        <s v="PAC hybride collective -  (ECS 50/50)"/>
        <s v="PAC hybride collective - PAC hybride (ECS gaz)"/>
      </sharedItems>
    </cacheField>
    <cacheField name="Système indiv/collectif2" numFmtId="0">
      <sharedItems/>
    </cacheField>
    <cacheField name="Système neuf / existant2" numFmtId="0">
      <sharedItems count="2">
        <s v="Neuf"/>
        <s v="Existant"/>
      </sharedItems>
    </cacheField>
    <cacheField name="Conso NRJ kWhEP/m².an2" numFmtId="1">
      <sharedItems containsMixedTypes="1" containsNumber="1" minValue="32" maxValue="456"/>
    </cacheField>
    <cacheField name="Etiquette NRJ après travaux" numFmtId="0">
      <sharedItems/>
    </cacheField>
    <cacheField name="Emissions GES(kgeqCO2/m².an)  après travaux" numFmtId="0">
      <sharedItems containsMixedTypes="1" containsNumber="1" minValue="1" maxValue="101"/>
    </cacheField>
    <cacheField name="Etiquette GES  après travaux" numFmtId="0">
      <sharedItems/>
    </cacheField>
    <cacheField name="Facture en €  après travaux" numFmtId="0">
      <sharedItems containsMixedTypes="1" containsNumber="1" minValue="1324" maxValue="123566"/>
    </cacheField>
    <cacheField name="% d'économie d'énergie en EP" numFmtId="9">
      <sharedItems containsMixedTypes="1" containsNumber="1" minValue="0.1043956043956044" maxValue="0.84444444444444444"/>
    </cacheField>
    <cacheField name="% d'économie de CO2" numFmtId="9">
      <sharedItems containsMixedTypes="1" containsNumber="1" minValue="0.10256410256410256" maxValue="0.97674418604651159" count="188">
        <n v="0.17307692307692307"/>
        <n v="0.25961538461538464"/>
        <n v="0.76923076923076927"/>
        <n v="0.70192307692307687"/>
        <n v="0.86538461538461542"/>
        <n v="0.16842105263157894"/>
        <n v="0.26315789473684209"/>
        <n v="0.77894736842105261"/>
        <n v="0.69473684210526321"/>
        <n v="0.87368421052631584"/>
        <n v="0.17647058823529413"/>
        <n v="0.29411764705882354"/>
        <n v="0.76470588235294112"/>
        <n v="0.69117647058823528"/>
        <n v="0.88235294117647056"/>
        <n v="0.67226890756302526"/>
        <n v="0.15126050420168066"/>
        <n v="0.3949579831932773"/>
        <n v="0.71148836134453775"/>
        <n v="0.89915966386554624"/>
        <n v="0.78991596638655459"/>
        <n v="0.82352941176470584"/>
        <n v="0.8902209803921568"/>
        <n v="0.97478991596638653"/>
        <n v="0.66972477064220182"/>
        <n v="0.15596330275229359"/>
        <n v="0.23853211009174313"/>
        <n v="0.71008871177370014"/>
        <n v="0.8990825688073395"/>
        <n v="0.79816513761467889"/>
        <n v="0.84403669724770647"/>
        <n v="0.88882582951070332"/>
        <n v="0.97247706422018354"/>
        <n v="0.64556962025316456"/>
        <n v="0.15189873417721519"/>
        <n v="0.27848101265822783"/>
        <n v="0.71196553797468354"/>
        <n v="0.91139240506329111"/>
        <n v="0.810126582278481"/>
        <n v="0.87341772151898733"/>
        <n v="0.87650384493670885"/>
        <n v="0.97468354430379744"/>
        <n v="0.34615384615384615"/>
        <n v="0.69230769230769229"/>
        <n v="0.59615384615384615"/>
        <n v="0.1875"/>
        <n v="0.375"/>
        <n v="0.6875"/>
        <n v="0.58333333333333337"/>
        <n v="0.875"/>
        <n v="0.2"/>
        <n v="0.4"/>
        <n v="0.68571428571428572"/>
        <n v="0.5714285714285714"/>
        <n v="0.88571428571428568"/>
        <n v="0.5892857142857143"/>
        <n v="0.14285714285714285"/>
        <n v="0.21428571428571427"/>
        <n v="0.68417638232165012"/>
        <n v="0.8928571428571429"/>
        <n v="0.6607142857142857"/>
        <n v="0.7321428571428571"/>
        <n v="0.83923019534251431"/>
        <n v="0.9642857142857143"/>
        <n v="0.58823529411764708"/>
        <n v="0.15686274509803921"/>
        <n v="0.23529411764705882"/>
        <n v="0.68219930800619788"/>
        <n v="0.90196078431372551"/>
        <n v="0.6470588235294118"/>
        <n v="0.74509803921568629"/>
        <n v="0.87947142868732109"/>
        <n v="0.96078431372549022"/>
        <n v="0.56756756756756754"/>
        <n v="0.16216216216216217"/>
        <n v="0.29729729729729731"/>
        <n v="0.68128504511959209"/>
        <n v="0.91891891891891897"/>
        <n v="0.64864864864864868"/>
        <n v="0.78378378378378377"/>
        <n v="0.88689762828612639"/>
        <n v="0.97297297297297303"/>
        <n v="0.2153846153846154"/>
        <n v="0.29230769230769232"/>
        <n v="0.67692307692307696"/>
        <n v="0.6"/>
        <n v="0.8"/>
        <n v="0.23333333333333334"/>
        <n v="0.68333333333333335"/>
        <n v="0.81666666666666665"/>
        <n v="0.20512820512820512"/>
        <n v="0.4358974358974359"/>
        <n v="0.66666666666666663"/>
        <n v="0.58974358974358976"/>
        <n v="0.84615384615384615"/>
        <n v="0.59154929577464788"/>
        <n v="0.11267605633802817"/>
        <n v="0.16901408450704225"/>
        <n v="0.69476496793259557"/>
        <n v="0.88732394366197187"/>
        <n v="0.6619718309859155"/>
        <n v="0.71830985915492962"/>
        <n v="0.85495112990442657"/>
        <n v="0.95774647887323938"/>
        <n v="0.12307692307692308"/>
        <n v="0.66153846153846152"/>
        <n v="0.89230769230769236"/>
        <n v="0.7384615384615385"/>
        <n v="0.8530134958791209"/>
        <n v="0.96923076923076923"/>
        <n v="0.58139534883720934"/>
        <n v="0.13953488372093023"/>
        <n v="0.2558139534883721"/>
        <n v="0.67441860465116277"/>
        <n v="0.90697674418604646"/>
        <n v="0.65116279069767447"/>
        <n v="0.76744186046511631"/>
        <n v="0.83507958160299001"/>
        <n v="0.97674418604651159"/>
        <n v="0.17741935483870969"/>
        <n v="0.29032258064516131"/>
        <n v="0.69354838709677424"/>
        <n v="0.59677419354838712"/>
        <n v="0.82258064516129037"/>
        <n v="0.17857142857142858"/>
        <n v="0.30357142857142855"/>
        <n v="0.6964285714285714"/>
        <n v="0.8214285714285714"/>
        <n v="0.35135135135135137"/>
        <n v="0.70270270270270274"/>
        <n v="0.59459459459459463"/>
        <n v="0.86486486486486491"/>
        <n v="0.61290322580645162"/>
        <n v="0.11290322580645161"/>
        <n v="0.68585105863755369"/>
        <n v="0.88709677419354838"/>
        <n v="0.66129032258064513"/>
        <n v="0.70967741935483875"/>
        <n v="0.85292364348169747"/>
        <n v="0.95161290322580649"/>
        <n v="0.6071428571428571"/>
        <n v="0.125"/>
        <n v="0.19642857142857142"/>
        <n v="0.68471409784511039"/>
        <e v="#N/A"/>
        <n v="0.60526315789473684"/>
        <n v="0.13157894736842105"/>
        <n v="0.23684210526315788"/>
        <n v="0.68352038607237842"/>
        <n v="0.92105263157894735"/>
        <n v="0.65789473684210531"/>
        <n v="0.76315789473684215"/>
        <n v="0.83431150398968323"/>
        <n v="0.97368421052631582"/>
        <n v="0.37142857142857144"/>
        <n v="0.8571428571428571"/>
        <n v="0.19354838709677419"/>
        <n v="0.38709677419354838"/>
        <n v="0.67741935483870963"/>
        <n v="0.54838709677419351"/>
        <n v="0.87096774193548387"/>
        <n v="0.19047619047619047"/>
        <n v="0.47619047619047616"/>
        <n v="0.52380952380952384"/>
        <n v="0.90476190476190477"/>
        <n v="0.5641025641025641"/>
        <n v="0.12820512820512819"/>
        <n v="0.10256410256410256"/>
        <n v="0.66942627213184502"/>
        <n v="0.89743589743589747"/>
        <n v="0.61538461538461542"/>
        <n v="0.71794871794871795"/>
        <n v="0.82132493113898142"/>
        <n v="0.94871794871794868"/>
        <n v="0.54285714285714282"/>
        <n v="0.66684866369781837"/>
        <n v="0.62857142857142856"/>
        <n v="0.74285714285714288"/>
        <n v="0.81586462307371921"/>
        <n v="0.97142857142857142"/>
        <n v="0.54166666666666663"/>
        <n v="0.16666666666666666"/>
        <n v="0.20833333333333334"/>
        <n v="0.65998224190775212"/>
        <n v="0.91666666666666663"/>
        <n v="0.79166666666666663"/>
        <n v="0.79706119739104431"/>
        <n v="0.95833333333333337"/>
      </sharedItems>
    </cacheField>
    <cacheField name="% d'économie € sur facture" numFmtId="9">
      <sharedItems containsMixedTypes="1" containsNumber="1" minValue="9.8141927157471193E-2" maxValue="0.944644886961647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
  <r>
    <n v="600"/>
    <x v="0"/>
    <x v="0"/>
    <n v="240"/>
    <s v=" -"/>
    <s v=" -"/>
    <s v=" -"/>
    <s v=" -"/>
    <s v=" -"/>
    <x v="0"/>
    <s v="Indiv"/>
    <s v="Existant"/>
    <n v="473"/>
    <s v="G"/>
    <n v="104"/>
    <s v="G"/>
    <s v="G"/>
    <n v="8595"/>
    <x v="0"/>
    <x v="0"/>
    <x v="0"/>
    <x v="0"/>
    <x v="0"/>
    <x v="0"/>
    <s v="Indiv"/>
    <x v="0"/>
    <n v="394"/>
    <s v="F"/>
    <n v="86"/>
    <s v="F"/>
    <n v="7352"/>
    <n v="0.16701902748414377"/>
    <x v="0"/>
    <n v="0.14461896451425246"/>
  </r>
  <r>
    <n v="602"/>
    <x v="0"/>
    <x v="0"/>
    <n v="240"/>
    <s v=" -"/>
    <s v=" -"/>
    <s v=" -"/>
    <s v=" -"/>
    <s v=" -"/>
    <x v="0"/>
    <s v="Indiv"/>
    <s v="Existant"/>
    <n v="473"/>
    <s v="G"/>
    <n v="104"/>
    <s v="G"/>
    <s v="G"/>
    <n v="8595"/>
    <x v="0"/>
    <x v="0"/>
    <x v="0"/>
    <x v="0"/>
    <x v="0"/>
    <x v="1"/>
    <s v="Indiv"/>
    <x v="0"/>
    <n v="369"/>
    <s v="F"/>
    <n v="77"/>
    <s v="F"/>
    <n v="7216"/>
    <n v="0.21987315010570824"/>
    <x v="1"/>
    <n v="0.16044211751018034"/>
  </r>
  <r>
    <n v="601"/>
    <x v="0"/>
    <x v="0"/>
    <n v="240"/>
    <s v=" -"/>
    <s v=" -"/>
    <s v=" -"/>
    <s v=" -"/>
    <s v=" -"/>
    <x v="0"/>
    <s v="Indiv"/>
    <s v="Existant"/>
    <n v="473"/>
    <s v="G"/>
    <n v="104"/>
    <s v="G"/>
    <s v="G"/>
    <n v="8595"/>
    <x v="1"/>
    <x v="1"/>
    <x v="1"/>
    <x v="1"/>
    <x v="1"/>
    <x v="0"/>
    <s v="Indiv"/>
    <x v="0"/>
    <n v="123"/>
    <s v="C"/>
    <n v="24"/>
    <s v="C"/>
    <n v="3156"/>
    <n v="0.7399577167019028"/>
    <x v="2"/>
    <n v="0.63280977312390929"/>
  </r>
  <r>
    <n v="1725"/>
    <x v="0"/>
    <x v="0"/>
    <n v="240"/>
    <s v=" -"/>
    <s v=" -"/>
    <s v=" -"/>
    <s v=" -"/>
    <s v=" -"/>
    <x v="0"/>
    <s v="Indiv"/>
    <s v="Existant"/>
    <n v="473"/>
    <s v="G"/>
    <n v="104"/>
    <s v="G"/>
    <s v="G"/>
    <n v="8595"/>
    <x v="1"/>
    <x v="1"/>
    <x v="1"/>
    <x v="1"/>
    <x v="1"/>
    <x v="0"/>
    <s v="Indiv"/>
    <x v="1"/>
    <n v="156"/>
    <s v="C"/>
    <n v="31"/>
    <s v="D"/>
    <n v="3699"/>
    <n v="0.67019027484143767"/>
    <x v="3"/>
    <n v="0.56963350785340316"/>
  </r>
  <r>
    <n v="603"/>
    <x v="0"/>
    <x v="0"/>
    <n v="240"/>
    <s v=" -"/>
    <s v=" -"/>
    <s v=" -"/>
    <s v=" -"/>
    <s v=" -"/>
    <x v="0"/>
    <s v="Indiv"/>
    <s v="Existant"/>
    <n v="473"/>
    <s v="G"/>
    <n v="104"/>
    <s v="G"/>
    <s v="G"/>
    <n v="8595"/>
    <x v="1"/>
    <x v="1"/>
    <x v="1"/>
    <x v="1"/>
    <x v="1"/>
    <x v="1"/>
    <s v="Indiv"/>
    <x v="0"/>
    <n v="94"/>
    <s v="B"/>
    <n v="14"/>
    <s v="C"/>
    <n v="2460"/>
    <n v="0.80126849894291752"/>
    <x v="4"/>
    <n v="0.71378708551483416"/>
  </r>
  <r>
    <n v="676"/>
    <x v="0"/>
    <x v="1"/>
    <n v="240"/>
    <s v=" -"/>
    <s v=" -"/>
    <s v=" -"/>
    <s v=" -"/>
    <s v=" -"/>
    <x v="0"/>
    <s v="Indiv"/>
    <s v="Existant"/>
    <n v="434"/>
    <s v="G"/>
    <n v="95"/>
    <s v="F"/>
    <s v="G"/>
    <n v="7985"/>
    <x v="0"/>
    <x v="0"/>
    <x v="0"/>
    <x v="0"/>
    <x v="0"/>
    <x v="0"/>
    <s v="Indiv"/>
    <x v="0"/>
    <n v="361"/>
    <s v="F"/>
    <n v="79"/>
    <s v="F"/>
    <n v="6837"/>
    <n v="0.16820276497695852"/>
    <x v="5"/>
    <n v="0.14376956793988729"/>
  </r>
  <r>
    <n v="678"/>
    <x v="0"/>
    <x v="1"/>
    <n v="240"/>
    <s v=" -"/>
    <s v=" -"/>
    <s v=" -"/>
    <s v=" -"/>
    <s v=" -"/>
    <x v="0"/>
    <s v="Indiv"/>
    <s v="Existant"/>
    <n v="434"/>
    <s v="G"/>
    <n v="95"/>
    <s v="F"/>
    <s v="G"/>
    <n v="7985"/>
    <x v="0"/>
    <x v="0"/>
    <x v="0"/>
    <x v="0"/>
    <x v="0"/>
    <x v="1"/>
    <s v="Indiv"/>
    <x v="0"/>
    <n v="337"/>
    <s v="F"/>
    <n v="70"/>
    <s v="F"/>
    <n v="6700"/>
    <n v="0.22350230414746544"/>
    <x v="6"/>
    <n v="0.16092673763306198"/>
  </r>
  <r>
    <n v="677"/>
    <x v="0"/>
    <x v="1"/>
    <n v="240"/>
    <s v=" -"/>
    <s v=" -"/>
    <s v=" -"/>
    <s v=" -"/>
    <s v=" -"/>
    <x v="0"/>
    <s v="Indiv"/>
    <s v="Existant"/>
    <n v="434"/>
    <s v="G"/>
    <n v="95"/>
    <s v="F"/>
    <s v="G"/>
    <n v="7985"/>
    <x v="1"/>
    <x v="1"/>
    <x v="1"/>
    <x v="1"/>
    <x v="1"/>
    <x v="0"/>
    <s v="Indiv"/>
    <x v="0"/>
    <n v="111"/>
    <s v="C"/>
    <n v="21"/>
    <s v="C"/>
    <n v="2684"/>
    <n v="0.74423963133640558"/>
    <x v="7"/>
    <n v="0.66386975579211016"/>
  </r>
  <r>
    <n v="1726"/>
    <x v="0"/>
    <x v="1"/>
    <n v="240"/>
    <s v=" -"/>
    <s v=" -"/>
    <s v=" -"/>
    <s v=" -"/>
    <s v=" -"/>
    <x v="0"/>
    <s v="Indiv"/>
    <s v="Existant"/>
    <n v="434"/>
    <s v="G"/>
    <n v="95"/>
    <s v="F"/>
    <s v="G"/>
    <n v="7985"/>
    <x v="1"/>
    <x v="1"/>
    <x v="1"/>
    <x v="1"/>
    <x v="1"/>
    <x v="0"/>
    <s v="Indiv"/>
    <x v="1"/>
    <n v="145"/>
    <s v="C"/>
    <n v="29"/>
    <s v="C"/>
    <n v="3521"/>
    <n v="0.66589861751152069"/>
    <x v="8"/>
    <n v="0.55904821540388228"/>
  </r>
  <r>
    <n v="679"/>
    <x v="0"/>
    <x v="1"/>
    <n v="240"/>
    <s v=" -"/>
    <s v=" -"/>
    <s v=" -"/>
    <s v=" -"/>
    <s v=" -"/>
    <x v="0"/>
    <s v="Indiv"/>
    <s v="Existant"/>
    <n v="434"/>
    <s v="G"/>
    <n v="95"/>
    <s v="F"/>
    <s v="G"/>
    <n v="7985"/>
    <x v="1"/>
    <x v="1"/>
    <x v="1"/>
    <x v="1"/>
    <x v="1"/>
    <x v="1"/>
    <s v="Indiv"/>
    <x v="0"/>
    <n v="86"/>
    <s v="B"/>
    <n v="12"/>
    <s v="C"/>
    <n v="2245"/>
    <n v="0.8018433179723502"/>
    <x v="9"/>
    <n v="0.71884783969943644"/>
  </r>
  <r>
    <n v="733"/>
    <x v="0"/>
    <x v="2"/>
    <n v="240"/>
    <s v=" -"/>
    <s v=" -"/>
    <s v=" -"/>
    <s v=" -"/>
    <s v=" -"/>
    <x v="0"/>
    <s v="Indiv"/>
    <s v="Existant"/>
    <n v="312"/>
    <s v="E"/>
    <n v="68"/>
    <s v="E"/>
    <s v="E"/>
    <n v="6085"/>
    <x v="0"/>
    <x v="0"/>
    <x v="0"/>
    <x v="0"/>
    <x v="0"/>
    <x v="0"/>
    <s v="Indiv"/>
    <x v="0"/>
    <n v="259"/>
    <s v="E"/>
    <n v="56"/>
    <s v="E"/>
    <n v="5245"/>
    <n v="0.16987179487179488"/>
    <x v="10"/>
    <n v="0.13804437140509448"/>
  </r>
  <r>
    <n v="735"/>
    <x v="0"/>
    <x v="2"/>
    <n v="240"/>
    <s v=" -"/>
    <s v=" -"/>
    <s v=" -"/>
    <s v=" -"/>
    <s v=" -"/>
    <x v="0"/>
    <s v="Indiv"/>
    <s v="Existant"/>
    <n v="312"/>
    <s v="E"/>
    <n v="68"/>
    <s v="E"/>
    <s v="E"/>
    <n v="6085"/>
    <x v="0"/>
    <x v="0"/>
    <x v="0"/>
    <x v="0"/>
    <x v="0"/>
    <x v="1"/>
    <s v="Indiv"/>
    <x v="0"/>
    <n v="238"/>
    <s v="D"/>
    <n v="48"/>
    <s v="D"/>
    <n v="5132"/>
    <n v="0.23717948717948717"/>
    <x v="11"/>
    <n v="0.15661462612982743"/>
  </r>
  <r>
    <n v="734"/>
    <x v="0"/>
    <x v="2"/>
    <n v="240"/>
    <s v=" -"/>
    <s v=" -"/>
    <s v=" -"/>
    <s v=" -"/>
    <s v=" -"/>
    <x v="0"/>
    <s v="Indiv"/>
    <s v="Existant"/>
    <n v="312"/>
    <s v="E"/>
    <n v="68"/>
    <s v="E"/>
    <s v="E"/>
    <n v="6085"/>
    <x v="1"/>
    <x v="1"/>
    <x v="1"/>
    <x v="1"/>
    <x v="1"/>
    <x v="0"/>
    <s v="Indiv"/>
    <x v="0"/>
    <n v="86"/>
    <s v="B"/>
    <n v="16"/>
    <s v="C"/>
    <n v="2215"/>
    <n v="0.72435897435897434"/>
    <x v="12"/>
    <n v="0.63599013968775675"/>
  </r>
  <r>
    <n v="1727"/>
    <x v="0"/>
    <x v="2"/>
    <n v="240"/>
    <s v=" -"/>
    <s v=" -"/>
    <s v=" -"/>
    <s v=" -"/>
    <s v=" -"/>
    <x v="0"/>
    <s v="Indiv"/>
    <s v="Existant"/>
    <n v="312"/>
    <s v="E"/>
    <n v="68"/>
    <s v="E"/>
    <s v="E"/>
    <n v="6085"/>
    <x v="1"/>
    <x v="1"/>
    <x v="1"/>
    <x v="1"/>
    <x v="1"/>
    <x v="0"/>
    <s v="Indiv"/>
    <x v="1"/>
    <n v="110"/>
    <s v="C"/>
    <n v="21"/>
    <s v="C"/>
    <n v="2878"/>
    <n v="0.64743589743589747"/>
    <x v="13"/>
    <n v="0.52703368940016437"/>
  </r>
  <r>
    <n v="736"/>
    <x v="0"/>
    <x v="2"/>
    <n v="240"/>
    <s v=" -"/>
    <s v=" -"/>
    <s v=" -"/>
    <s v=" -"/>
    <s v=" -"/>
    <x v="0"/>
    <s v="Indiv"/>
    <s v="Existant"/>
    <n v="312"/>
    <s v="E"/>
    <n v="68"/>
    <s v="E"/>
    <s v="E"/>
    <n v="6085"/>
    <x v="1"/>
    <x v="1"/>
    <x v="1"/>
    <x v="1"/>
    <x v="1"/>
    <x v="1"/>
    <s v="Indiv"/>
    <x v="0"/>
    <n v="64"/>
    <s v="A"/>
    <n v="8"/>
    <s v="B"/>
    <n v="1681"/>
    <n v="0.79487179487179482"/>
    <x v="14"/>
    <n v="0.72374691865242402"/>
  </r>
  <r>
    <n v="1713"/>
    <x v="0"/>
    <x v="0"/>
    <n v="240"/>
    <s v=" -"/>
    <s v=" -"/>
    <s v=" -"/>
    <s v=" -"/>
    <s v=" -"/>
    <x v="1"/>
    <s v="collectif"/>
    <s v="Existant"/>
    <n v="537"/>
    <s v="G"/>
    <n v="119"/>
    <s v="G"/>
    <s v="G"/>
    <n v="8560"/>
    <x v="1"/>
    <x v="1"/>
    <x v="1"/>
    <x v="1"/>
    <x v="1"/>
    <x v="2"/>
    <s v="collectif"/>
    <x v="1"/>
    <n v="186"/>
    <s v="D"/>
    <n v="39"/>
    <s v="D"/>
    <n v="3378"/>
    <n v="0.65363128491620115"/>
    <x v="15"/>
    <n v="0.60537383177570092"/>
  </r>
  <r>
    <n v="753"/>
    <x v="0"/>
    <x v="0"/>
    <n v="240"/>
    <s v=" -"/>
    <s v=" -"/>
    <s v=" -"/>
    <s v=" -"/>
    <s v=" -"/>
    <x v="1"/>
    <s v="collectif"/>
    <s v="Existant"/>
    <n v="537"/>
    <s v="G"/>
    <n v="119"/>
    <s v="G"/>
    <s v="G"/>
    <n v="8560"/>
    <x v="0"/>
    <x v="0"/>
    <x v="0"/>
    <x v="0"/>
    <x v="0"/>
    <x v="2"/>
    <s v="collectif"/>
    <x v="0"/>
    <n v="456"/>
    <s v="G"/>
    <n v="101"/>
    <s v="G"/>
    <n v="7366"/>
    <n v="0.15083798882681565"/>
    <x v="16"/>
    <n v="0.13948598130841122"/>
  </r>
  <r>
    <n v="765"/>
    <x v="0"/>
    <x v="0"/>
    <n v="240"/>
    <s v=" -"/>
    <s v=" -"/>
    <s v=" -"/>
    <s v=" -"/>
    <s v=" -"/>
    <x v="1"/>
    <s v="collectif"/>
    <s v="Existant"/>
    <n v="537"/>
    <s v="G"/>
    <n v="119"/>
    <s v="G"/>
    <s v="G"/>
    <n v="8560"/>
    <x v="0"/>
    <x v="0"/>
    <x v="0"/>
    <x v="0"/>
    <x v="0"/>
    <x v="3"/>
    <s v="collectif"/>
    <x v="0"/>
    <n v="328"/>
    <s v="E"/>
    <n v="72"/>
    <s v="F"/>
    <n v="5490"/>
    <n v="0.38919925512104281"/>
    <x v="17"/>
    <n v="0.35864485981308414"/>
  </r>
  <r>
    <n v="763"/>
    <x v="0"/>
    <x v="0"/>
    <n v="240"/>
    <s v=" -"/>
    <s v=" -"/>
    <s v=" -"/>
    <s v=" -"/>
    <s v=" -"/>
    <x v="1"/>
    <s v="collectif"/>
    <s v="Existant"/>
    <n v="537"/>
    <s v="G"/>
    <n v="119"/>
    <s v="G"/>
    <s v="G"/>
    <n v="8560"/>
    <x v="0"/>
    <x v="0"/>
    <x v="0"/>
    <x v="0"/>
    <x v="0"/>
    <x v="4"/>
    <s v="collectif"/>
    <x v="0"/>
    <n v="400.34779166666669"/>
    <s v="F"/>
    <n v="34.332885000000005"/>
    <s v="D"/>
    <s v=" -"/>
    <n v="0.25447338609559272"/>
    <x v="18"/>
    <e v="#VALUE!"/>
  </r>
  <r>
    <n v="771"/>
    <x v="0"/>
    <x v="0"/>
    <n v="240"/>
    <s v=" -"/>
    <s v=" -"/>
    <s v=" -"/>
    <s v=" -"/>
    <s v=" -"/>
    <x v="1"/>
    <s v="collectif"/>
    <s v="Existant"/>
    <n v="537"/>
    <s v="G"/>
    <n v="119"/>
    <s v="G"/>
    <s v="G"/>
    <n v="8560"/>
    <x v="0"/>
    <x v="0"/>
    <x v="0"/>
    <x v="0"/>
    <x v="0"/>
    <x v="5"/>
    <s v="collectif"/>
    <x v="0"/>
    <n v="378"/>
    <s v="F"/>
    <n v="12"/>
    <s v="C"/>
    <n v="6529"/>
    <n v="0.29608938547486036"/>
    <x v="19"/>
    <n v="0.23726635514018693"/>
  </r>
  <r>
    <n v="754"/>
    <x v="0"/>
    <x v="0"/>
    <n v="240"/>
    <s v=" -"/>
    <s v=" -"/>
    <s v=" -"/>
    <s v=" -"/>
    <s v=" -"/>
    <x v="1"/>
    <s v="collectif"/>
    <s v="Existant"/>
    <n v="537"/>
    <s v="G"/>
    <n v="119"/>
    <s v="G"/>
    <s v="G"/>
    <n v="8560"/>
    <x v="1"/>
    <x v="1"/>
    <x v="1"/>
    <x v="1"/>
    <x v="1"/>
    <x v="2"/>
    <s v="collectif"/>
    <x v="0"/>
    <n v="126"/>
    <s v="C"/>
    <n v="25"/>
    <s v="C"/>
    <n v="2427"/>
    <n v="0.76536312849162014"/>
    <x v="20"/>
    <n v="0.71647196261682244"/>
  </r>
  <r>
    <n v="766"/>
    <x v="0"/>
    <x v="0"/>
    <n v="240"/>
    <s v=" -"/>
    <s v=" -"/>
    <s v=" -"/>
    <s v=" -"/>
    <s v=" -"/>
    <x v="1"/>
    <s v="collectif"/>
    <s v="Existant"/>
    <n v="537"/>
    <s v="G"/>
    <n v="119"/>
    <s v="G"/>
    <s v="G"/>
    <n v="8560"/>
    <x v="1"/>
    <x v="1"/>
    <x v="1"/>
    <x v="1"/>
    <x v="1"/>
    <x v="3"/>
    <s v="collectif"/>
    <x v="0"/>
    <n v="106"/>
    <s v="B"/>
    <n v="21"/>
    <s v="C"/>
    <n v="2129"/>
    <n v="0.8026070763500931"/>
    <x v="21"/>
    <n v="0.75128504672897201"/>
  </r>
  <r>
    <n v="764"/>
    <x v="0"/>
    <x v="0"/>
    <n v="240"/>
    <s v=" -"/>
    <s v=" -"/>
    <s v=" -"/>
    <s v=" -"/>
    <s v=" -"/>
    <x v="1"/>
    <s v="collectif"/>
    <s v="Existant"/>
    <n v="537"/>
    <s v="G"/>
    <n v="119"/>
    <s v="G"/>
    <s v="G"/>
    <n v="8560"/>
    <x v="1"/>
    <x v="1"/>
    <x v="1"/>
    <x v="1"/>
    <x v="1"/>
    <x v="4"/>
    <s v="collectif"/>
    <x v="0"/>
    <n v="129.08370833333336"/>
    <s v="C"/>
    <n v="13.063703333333335"/>
    <s v="C"/>
    <s v=" -"/>
    <n v="0.75962065487274988"/>
    <x v="22"/>
    <e v="#VALUE!"/>
  </r>
  <r>
    <n v="772"/>
    <x v="0"/>
    <x v="0"/>
    <n v="240"/>
    <s v=" -"/>
    <s v=" -"/>
    <s v=" -"/>
    <s v=" -"/>
    <s v=" -"/>
    <x v="1"/>
    <s v="collectif"/>
    <s v="Existant"/>
    <n v="537"/>
    <s v="G"/>
    <n v="119"/>
    <s v="G"/>
    <s v="G"/>
    <n v="8560"/>
    <x v="1"/>
    <x v="1"/>
    <x v="1"/>
    <x v="1"/>
    <x v="1"/>
    <x v="5"/>
    <s v="collectif"/>
    <x v="0"/>
    <n v="118"/>
    <s v="C"/>
    <n v="3"/>
    <s v="A"/>
    <n v="2257"/>
    <n v="0.78026070763500932"/>
    <x v="23"/>
    <n v="0.73633177570093455"/>
  </r>
  <r>
    <n v="1717"/>
    <x v="0"/>
    <x v="1"/>
    <n v="240"/>
    <s v=" -"/>
    <s v=" -"/>
    <s v=" -"/>
    <s v=" -"/>
    <s v=" -"/>
    <x v="1"/>
    <s v="collectif"/>
    <s v="Existant"/>
    <n v="493"/>
    <s v="G"/>
    <n v="109"/>
    <s v="G"/>
    <s v="G"/>
    <n v="7906"/>
    <x v="1"/>
    <x v="1"/>
    <x v="1"/>
    <x v="1"/>
    <x v="1"/>
    <x v="2"/>
    <s v="collectif"/>
    <x v="1"/>
    <n v="173"/>
    <s v="C"/>
    <n v="36"/>
    <s v="D"/>
    <n v="3172"/>
    <n v="0.64908722109533468"/>
    <x v="24"/>
    <n v="0.59878573235517329"/>
  </r>
  <r>
    <n v="891"/>
    <x v="0"/>
    <x v="1"/>
    <n v="240"/>
    <s v=" -"/>
    <s v=" -"/>
    <s v=" -"/>
    <s v=" -"/>
    <s v=" -"/>
    <x v="1"/>
    <s v="collectif"/>
    <s v="Existant"/>
    <n v="493"/>
    <s v="G"/>
    <n v="109"/>
    <s v="G"/>
    <s v="G"/>
    <n v="7906"/>
    <x v="0"/>
    <x v="0"/>
    <x v="0"/>
    <x v="0"/>
    <x v="0"/>
    <x v="2"/>
    <s v="collectif"/>
    <x v="0"/>
    <n v="417"/>
    <s v="F"/>
    <n v="92"/>
    <s v="F"/>
    <n v="6782"/>
    <n v="0.15415821501014199"/>
    <x v="25"/>
    <n v="0.14217050341512774"/>
  </r>
  <r>
    <n v="901"/>
    <x v="0"/>
    <x v="1"/>
    <n v="240"/>
    <s v=" -"/>
    <s v=" -"/>
    <s v=" -"/>
    <s v=" -"/>
    <s v=" -"/>
    <x v="1"/>
    <s v="collectif"/>
    <s v="Existant"/>
    <n v="493"/>
    <s v="G"/>
    <n v="109"/>
    <s v="G"/>
    <s v="G"/>
    <n v="7906"/>
    <x v="0"/>
    <x v="0"/>
    <x v="0"/>
    <x v="0"/>
    <x v="0"/>
    <x v="3"/>
    <s v="collectif"/>
    <x v="0"/>
    <n v="380"/>
    <s v="F"/>
    <n v="83"/>
    <s v="F"/>
    <n v="6270"/>
    <n v="0.22920892494929007"/>
    <x v="26"/>
    <n v="0.20693144447255249"/>
  </r>
  <r>
    <n v="963"/>
    <x v="0"/>
    <x v="1"/>
    <n v="240"/>
    <s v=" -"/>
    <s v=" -"/>
    <s v=" -"/>
    <s v=" -"/>
    <s v=" -"/>
    <x v="1"/>
    <s v="collectif"/>
    <s v="Existant"/>
    <n v="493"/>
    <s v="G"/>
    <n v="109"/>
    <s v="G"/>
    <s v="G"/>
    <n v="7906"/>
    <x v="0"/>
    <x v="0"/>
    <x v="0"/>
    <x v="0"/>
    <x v="0"/>
    <x v="4"/>
    <s v="collectif"/>
    <x v="0"/>
    <n v="366.36210416666665"/>
    <s v="F"/>
    <n v="31.600330416666672"/>
    <s v="D"/>
    <s v=" -"/>
    <n v="0.25687199966193375"/>
    <x v="27"/>
    <e v="#VALUE!"/>
  </r>
  <r>
    <n v="907"/>
    <x v="0"/>
    <x v="1"/>
    <n v="240"/>
    <s v=" -"/>
    <s v=" -"/>
    <s v=" -"/>
    <s v=" -"/>
    <s v=" -"/>
    <x v="1"/>
    <s v="collectif"/>
    <s v="Existant"/>
    <n v="493"/>
    <s v="G"/>
    <n v="109"/>
    <s v="G"/>
    <s v="G"/>
    <n v="7906"/>
    <x v="0"/>
    <x v="0"/>
    <x v="0"/>
    <x v="0"/>
    <x v="0"/>
    <x v="5"/>
    <s v="collectif"/>
    <x v="0"/>
    <n v="346"/>
    <s v="F"/>
    <n v="11"/>
    <s v="C"/>
    <n v="5981"/>
    <n v="0.29817444219066935"/>
    <x v="28"/>
    <n v="0.24348596003035669"/>
  </r>
  <r>
    <n v="892"/>
    <x v="0"/>
    <x v="1"/>
    <n v="240"/>
    <s v=" -"/>
    <s v=" -"/>
    <s v=" -"/>
    <s v=" -"/>
    <s v=" -"/>
    <x v="1"/>
    <s v="collectif"/>
    <s v="Existant"/>
    <n v="493"/>
    <s v="G"/>
    <n v="109"/>
    <s v="G"/>
    <s v="G"/>
    <n v="7906"/>
    <x v="1"/>
    <x v="1"/>
    <x v="1"/>
    <x v="1"/>
    <x v="1"/>
    <x v="2"/>
    <s v="collectif"/>
    <x v="0"/>
    <n v="111"/>
    <s v="C"/>
    <n v="22"/>
    <s v="C"/>
    <n v="2194"/>
    <n v="0.77484787018255574"/>
    <x v="29"/>
    <n v="0.72248924867189479"/>
  </r>
  <r>
    <n v="902"/>
    <x v="0"/>
    <x v="1"/>
    <n v="240"/>
    <s v=" -"/>
    <s v=" -"/>
    <s v=" -"/>
    <s v=" -"/>
    <s v=" -"/>
    <x v="1"/>
    <s v="collectif"/>
    <s v="Existant"/>
    <n v="493"/>
    <s v="G"/>
    <n v="109"/>
    <s v="G"/>
    <s v="G"/>
    <n v="7906"/>
    <x v="1"/>
    <x v="1"/>
    <x v="1"/>
    <x v="1"/>
    <x v="1"/>
    <x v="3"/>
    <s v="collectif"/>
    <x v="0"/>
    <n v="89"/>
    <s v="B"/>
    <n v="17"/>
    <s v="C"/>
    <n v="1848"/>
    <n v="0.81947261663286008"/>
    <x v="30"/>
    <n v="0.76625347837085755"/>
  </r>
  <r>
    <n v="965"/>
    <x v="0"/>
    <x v="1"/>
    <n v="240"/>
    <s v=" -"/>
    <s v=" -"/>
    <s v=" -"/>
    <s v=" -"/>
    <s v=" -"/>
    <x v="1"/>
    <s v="collectif"/>
    <s v="Existant"/>
    <n v="493"/>
    <s v="G"/>
    <n v="109"/>
    <s v="G"/>
    <s v="G"/>
    <n v="7906"/>
    <x v="1"/>
    <x v="1"/>
    <x v="1"/>
    <x v="1"/>
    <x v="1"/>
    <x v="4"/>
    <s v="collectif"/>
    <x v="0"/>
    <n v="118.09839583333334"/>
    <s v="C"/>
    <n v="12.117984583333332"/>
    <s v="C"/>
    <s v=" -"/>
    <n v="0.76044950135226497"/>
    <x v="31"/>
    <e v="#VALUE!"/>
  </r>
  <r>
    <n v="908"/>
    <x v="0"/>
    <x v="1"/>
    <n v="240"/>
    <s v=" -"/>
    <s v=" -"/>
    <s v=" -"/>
    <s v=" -"/>
    <s v=" -"/>
    <x v="1"/>
    <s v="collectif"/>
    <s v="Existant"/>
    <n v="493"/>
    <s v="G"/>
    <n v="109"/>
    <s v="G"/>
    <s v="G"/>
    <n v="7906"/>
    <x v="1"/>
    <x v="1"/>
    <x v="1"/>
    <x v="1"/>
    <x v="1"/>
    <x v="5"/>
    <s v="collectif"/>
    <x v="0"/>
    <n v="109"/>
    <s v="B"/>
    <n v="3"/>
    <s v="A"/>
    <n v="2106"/>
    <n v="0.77890466531440161"/>
    <x v="32"/>
    <n v="0.73362003541613963"/>
  </r>
  <r>
    <n v="1718"/>
    <x v="0"/>
    <x v="2"/>
    <n v="240"/>
    <s v=" -"/>
    <s v=" -"/>
    <s v=" -"/>
    <s v=" -"/>
    <s v=" -"/>
    <x v="1"/>
    <s v="collectif"/>
    <s v="Existant"/>
    <n v="360"/>
    <s v="F"/>
    <n v="79"/>
    <s v="F"/>
    <s v="F"/>
    <n v="5911"/>
    <x v="1"/>
    <x v="1"/>
    <x v="1"/>
    <x v="1"/>
    <x v="1"/>
    <x v="2"/>
    <s v="collectif"/>
    <x v="1"/>
    <n v="137"/>
    <s v="C"/>
    <n v="28"/>
    <s v="C"/>
    <n v="2598"/>
    <n v="0.61944444444444446"/>
    <x v="33"/>
    <n v="0.56048046015902553"/>
  </r>
  <r>
    <n v="959"/>
    <x v="0"/>
    <x v="2"/>
    <n v="240"/>
    <s v=" -"/>
    <s v=" -"/>
    <s v=" -"/>
    <s v=" -"/>
    <s v=" -"/>
    <x v="1"/>
    <s v="collectif"/>
    <s v="Existant"/>
    <n v="360"/>
    <s v="F"/>
    <n v="79"/>
    <s v="F"/>
    <s v="F"/>
    <n v="5911"/>
    <x v="0"/>
    <x v="0"/>
    <x v="0"/>
    <x v="0"/>
    <x v="0"/>
    <x v="2"/>
    <s v="collectif"/>
    <x v="0"/>
    <n v="303"/>
    <s v="E"/>
    <n v="67"/>
    <s v="E"/>
    <n v="5068"/>
    <n v="0.15833333333333333"/>
    <x v="34"/>
    <n v="0.14261546269666722"/>
  </r>
  <r>
    <n v="971"/>
    <x v="0"/>
    <x v="2"/>
    <n v="240"/>
    <s v=" -"/>
    <s v=" -"/>
    <s v=" -"/>
    <s v=" -"/>
    <s v=" -"/>
    <x v="1"/>
    <s v="collectif"/>
    <s v="Existant"/>
    <n v="360"/>
    <s v="F"/>
    <n v="79"/>
    <s v="F"/>
    <s v="F"/>
    <n v="5911"/>
    <x v="0"/>
    <x v="0"/>
    <x v="0"/>
    <x v="0"/>
    <x v="0"/>
    <x v="3"/>
    <s v="collectif"/>
    <x v="0"/>
    <n v="265"/>
    <s v="E"/>
    <n v="57"/>
    <s v="E"/>
    <n v="4526"/>
    <n v="0.2638888888888889"/>
    <x v="35"/>
    <n v="0.23430891558111994"/>
  </r>
  <r>
    <n v="999"/>
    <x v="0"/>
    <x v="2"/>
    <n v="240"/>
    <s v=" -"/>
    <s v=" -"/>
    <s v=" -"/>
    <s v=" -"/>
    <s v=" -"/>
    <x v="1"/>
    <s v="collectif"/>
    <s v="Existant"/>
    <n v="360"/>
    <s v="F"/>
    <n v="79"/>
    <s v="F"/>
    <s v="F"/>
    <n v="5911"/>
    <x v="0"/>
    <x v="0"/>
    <x v="0"/>
    <x v="0"/>
    <x v="0"/>
    <x v="6"/>
    <s v="collectif"/>
    <x v="0"/>
    <n v="243.42518749999999"/>
    <s v="D"/>
    <n v="22.754722500000003"/>
    <s v="C"/>
    <s v=" -"/>
    <n v="0.32381892361111114"/>
    <x v="36"/>
    <e v="#VALUE!"/>
  </r>
  <r>
    <n v="977"/>
    <x v="0"/>
    <x v="2"/>
    <n v="240"/>
    <s v=" -"/>
    <s v=" -"/>
    <s v=" -"/>
    <s v=" -"/>
    <s v=" -"/>
    <x v="1"/>
    <s v="collectif"/>
    <s v="Existant"/>
    <n v="360"/>
    <s v="F"/>
    <n v="79"/>
    <s v="F"/>
    <s v="F"/>
    <n v="5911"/>
    <x v="0"/>
    <x v="0"/>
    <x v="0"/>
    <x v="0"/>
    <x v="0"/>
    <x v="5"/>
    <s v="collectif"/>
    <x v="0"/>
    <n v="219"/>
    <s v="D"/>
    <n v="7"/>
    <s v="B"/>
    <n v="3848"/>
    <n v="0.39166666666666666"/>
    <x v="37"/>
    <n v="0.34901031974285229"/>
  </r>
  <r>
    <n v="960"/>
    <x v="0"/>
    <x v="2"/>
    <n v="240"/>
    <s v=" -"/>
    <s v=" -"/>
    <s v=" -"/>
    <s v=" -"/>
    <s v=" -"/>
    <x v="1"/>
    <s v="collectif"/>
    <s v="Existant"/>
    <n v="360"/>
    <s v="F"/>
    <n v="79"/>
    <s v="F"/>
    <s v="F"/>
    <n v="5911"/>
    <x v="1"/>
    <x v="1"/>
    <x v="1"/>
    <x v="1"/>
    <x v="1"/>
    <x v="2"/>
    <s v="collectif"/>
    <x v="0"/>
    <n v="79"/>
    <s v="B"/>
    <n v="15"/>
    <s v="C"/>
    <n v="1680"/>
    <n v="0.78055555555555556"/>
    <x v="38"/>
    <n v="0.71578413128066321"/>
  </r>
  <r>
    <n v="972"/>
    <x v="0"/>
    <x v="2"/>
    <n v="240"/>
    <s v=" -"/>
    <s v=" -"/>
    <s v=" -"/>
    <s v=" -"/>
    <s v=" -"/>
    <x v="1"/>
    <s v="collectif"/>
    <s v="Existant"/>
    <n v="360"/>
    <s v="F"/>
    <n v="79"/>
    <s v="F"/>
    <s v="F"/>
    <n v="5911"/>
    <x v="1"/>
    <x v="1"/>
    <x v="1"/>
    <x v="1"/>
    <x v="1"/>
    <x v="3"/>
    <s v="collectif"/>
    <x v="0"/>
    <n v="56"/>
    <s v="A"/>
    <n v="10"/>
    <s v="B"/>
    <n v="1324"/>
    <n v="0.84444444444444444"/>
    <x v="39"/>
    <n v="0.77601082727118931"/>
  </r>
  <r>
    <n v="1001"/>
    <x v="0"/>
    <x v="2"/>
    <n v="240"/>
    <s v=" -"/>
    <s v=" -"/>
    <s v=" -"/>
    <s v=" -"/>
    <s v=" -"/>
    <x v="1"/>
    <s v="collectif"/>
    <s v="Existant"/>
    <n v="360"/>
    <s v="F"/>
    <n v="79"/>
    <s v="F"/>
    <s v="F"/>
    <n v="5911"/>
    <x v="1"/>
    <x v="1"/>
    <x v="1"/>
    <x v="1"/>
    <x v="1"/>
    <x v="6"/>
    <s v="collectif"/>
    <x v="0"/>
    <n v="88.35293750000001"/>
    <s v="B"/>
    <n v="9.7561962499999986"/>
    <s v="B"/>
    <s v=" -"/>
    <n v="0.75457517361111115"/>
    <x v="40"/>
    <e v="#VALUE!"/>
  </r>
  <r>
    <n v="978"/>
    <x v="0"/>
    <x v="2"/>
    <n v="240"/>
    <s v=" -"/>
    <s v=" -"/>
    <s v=" -"/>
    <s v=" -"/>
    <s v=" -"/>
    <x v="1"/>
    <s v="collectif"/>
    <s v="Existant"/>
    <n v="360"/>
    <s v="F"/>
    <n v="79"/>
    <s v="F"/>
    <s v="F"/>
    <n v="5911"/>
    <x v="1"/>
    <x v="1"/>
    <x v="1"/>
    <x v="1"/>
    <x v="1"/>
    <x v="5"/>
    <s v="collectif"/>
    <x v="0"/>
    <n v="76"/>
    <s v="B"/>
    <n v="2"/>
    <s v="A"/>
    <n v="1558"/>
    <n v="0.78888888888888886"/>
    <x v="41"/>
    <n v="0.73642361698528169"/>
  </r>
  <r>
    <n v="444"/>
    <x v="1"/>
    <x v="0"/>
    <n v="2417"/>
    <s v=" -"/>
    <s v=" -"/>
    <s v=" -"/>
    <s v=" -"/>
    <s v=" -"/>
    <x v="0"/>
    <s v="Indiv"/>
    <s v="Existant"/>
    <n v="237"/>
    <s v="D"/>
    <n v="52"/>
    <s v="E"/>
    <m/>
    <n v="48457"/>
    <x v="0"/>
    <x v="0"/>
    <x v="0"/>
    <x v="0"/>
    <x v="0"/>
    <x v="0"/>
    <s v="Indiv"/>
    <x v="0"/>
    <n v="201"/>
    <s v="D"/>
    <n v="43"/>
    <s v="D"/>
    <n v="41786"/>
    <n v="0.15189873417721519"/>
    <x v="0"/>
    <n v="0.13766844831500094"/>
  </r>
  <r>
    <n v="446"/>
    <x v="1"/>
    <x v="0"/>
    <n v="2417"/>
    <s v=" -"/>
    <s v=" -"/>
    <s v=" -"/>
    <s v=" -"/>
    <s v=" -"/>
    <x v="0"/>
    <s v="Indiv"/>
    <s v="Existant"/>
    <n v="237"/>
    <s v="D"/>
    <n v="52"/>
    <s v="E"/>
    <m/>
    <n v="48457"/>
    <x v="0"/>
    <x v="0"/>
    <x v="0"/>
    <x v="0"/>
    <x v="0"/>
    <x v="1"/>
    <s v="Indiv"/>
    <x v="0"/>
    <n v="177"/>
    <s v="C"/>
    <n v="34"/>
    <s v="D"/>
    <n v="40412"/>
    <n v="0.25316455696202533"/>
    <x v="42"/>
    <n v="0.16602348473904699"/>
  </r>
  <r>
    <n v="445"/>
    <x v="1"/>
    <x v="0"/>
    <n v="2417"/>
    <s v=" -"/>
    <s v=" -"/>
    <s v=" -"/>
    <s v=" -"/>
    <s v=" -"/>
    <x v="0"/>
    <s v="Indiv"/>
    <s v="Existant"/>
    <n v="237"/>
    <s v="D"/>
    <n v="52"/>
    <s v="E"/>
    <m/>
    <n v="48457"/>
    <x v="1"/>
    <x v="1"/>
    <x v="1"/>
    <x v="1"/>
    <x v="1"/>
    <x v="0"/>
    <s v="Indiv"/>
    <x v="0"/>
    <n v="95"/>
    <s v="B"/>
    <n v="16"/>
    <s v="C"/>
    <n v="24224"/>
    <n v="0.59915611814345993"/>
    <x v="43"/>
    <n v="0.50009286583981671"/>
  </r>
  <r>
    <n v="1728"/>
    <x v="1"/>
    <x v="0"/>
    <n v="2417"/>
    <s v=" -"/>
    <s v=" -"/>
    <s v=" -"/>
    <s v=" -"/>
    <s v=" -"/>
    <x v="0"/>
    <s v="Indiv"/>
    <s v="Existant"/>
    <n v="237"/>
    <s v="D"/>
    <n v="52"/>
    <s v="E"/>
    <m/>
    <n v="48457"/>
    <x v="1"/>
    <x v="1"/>
    <x v="1"/>
    <x v="1"/>
    <x v="1"/>
    <x v="0"/>
    <s v="Indiv"/>
    <x v="1"/>
    <n v="117"/>
    <s v="C"/>
    <n v="21"/>
    <s v="C"/>
    <n v="30240"/>
    <n v="0.50632911392405067"/>
    <x v="44"/>
    <n v="0.37594155643147531"/>
  </r>
  <r>
    <n v="447"/>
    <x v="1"/>
    <x v="0"/>
    <n v="2417"/>
    <s v=" -"/>
    <s v=" -"/>
    <s v=" -"/>
    <s v=" -"/>
    <s v=" -"/>
    <x v="0"/>
    <s v="Indiv"/>
    <s v="Existant"/>
    <n v="237"/>
    <s v="D"/>
    <n v="52"/>
    <s v="E"/>
    <m/>
    <n v="48457"/>
    <x v="1"/>
    <x v="1"/>
    <x v="1"/>
    <x v="1"/>
    <x v="1"/>
    <x v="1"/>
    <s v="Indiv"/>
    <x v="0"/>
    <n v="70"/>
    <s v="B"/>
    <n v="7"/>
    <s v="B"/>
    <n v="18181"/>
    <n v="0.70464135021097052"/>
    <x v="4"/>
    <n v="0.62480137028705862"/>
  </r>
  <r>
    <n v="524"/>
    <x v="1"/>
    <x v="1"/>
    <n v="2417"/>
    <s v=" -"/>
    <s v=" -"/>
    <s v=" -"/>
    <s v=" -"/>
    <s v=" -"/>
    <x v="0"/>
    <s v="Indiv"/>
    <s v="Existant"/>
    <n v="223"/>
    <s v="D"/>
    <n v="48"/>
    <s v="D"/>
    <m/>
    <n v="45337"/>
    <x v="0"/>
    <x v="0"/>
    <x v="0"/>
    <x v="0"/>
    <x v="0"/>
    <x v="0"/>
    <s v="Indiv"/>
    <x v="0"/>
    <n v="184"/>
    <s v="D"/>
    <n v="39"/>
    <s v="D"/>
    <n v="39138"/>
    <n v="0.17488789237668162"/>
    <x v="45"/>
    <n v="0.1367315878862739"/>
  </r>
  <r>
    <n v="526"/>
    <x v="1"/>
    <x v="1"/>
    <n v="2417"/>
    <s v=" -"/>
    <s v=" -"/>
    <s v=" -"/>
    <s v=" -"/>
    <s v=" -"/>
    <x v="0"/>
    <s v="Indiv"/>
    <s v="Existant"/>
    <n v="223"/>
    <s v="D"/>
    <n v="48"/>
    <s v="D"/>
    <m/>
    <n v="45337"/>
    <x v="0"/>
    <x v="0"/>
    <x v="0"/>
    <x v="0"/>
    <x v="0"/>
    <x v="1"/>
    <s v="Indiv"/>
    <x v="0"/>
    <n v="161"/>
    <s v="C"/>
    <n v="30"/>
    <s v="D"/>
    <n v="37771"/>
    <n v="0.27802690582959644"/>
    <x v="46"/>
    <n v="0.16688356088845754"/>
  </r>
  <r>
    <n v="525"/>
    <x v="1"/>
    <x v="1"/>
    <n v="2417"/>
    <s v=" -"/>
    <s v=" -"/>
    <s v=" -"/>
    <s v=" -"/>
    <s v=" -"/>
    <x v="0"/>
    <s v="Indiv"/>
    <s v="Existant"/>
    <n v="223"/>
    <s v="D"/>
    <n v="48"/>
    <s v="D"/>
    <m/>
    <n v="45337"/>
    <x v="1"/>
    <x v="1"/>
    <x v="1"/>
    <x v="1"/>
    <x v="1"/>
    <x v="0"/>
    <s v="Indiv"/>
    <x v="0"/>
    <n v="88"/>
    <s v="B"/>
    <n v="15"/>
    <s v="C"/>
    <n v="22554"/>
    <n v="0.60538116591928248"/>
    <x v="47"/>
    <n v="0.50252553102322606"/>
  </r>
  <r>
    <n v="1729"/>
    <x v="1"/>
    <x v="1"/>
    <n v="2417"/>
    <s v=" -"/>
    <s v=" -"/>
    <s v=" -"/>
    <s v=" -"/>
    <s v=" -"/>
    <x v="0"/>
    <s v="Indiv"/>
    <s v="Existant"/>
    <n v="223"/>
    <s v="D"/>
    <n v="48"/>
    <s v="D"/>
    <m/>
    <n v="45337"/>
    <x v="1"/>
    <x v="1"/>
    <x v="1"/>
    <x v="1"/>
    <x v="1"/>
    <x v="0"/>
    <s v="Indiv"/>
    <x v="1"/>
    <n v="109"/>
    <s v="B"/>
    <n v="20"/>
    <s v="C"/>
    <n v="28091"/>
    <n v="0.5112107623318386"/>
    <x v="48"/>
    <n v="0.38039570328870459"/>
  </r>
  <r>
    <n v="527"/>
    <x v="1"/>
    <x v="1"/>
    <n v="2417"/>
    <s v=" -"/>
    <s v=" -"/>
    <s v=" -"/>
    <s v=" -"/>
    <s v=" -"/>
    <x v="0"/>
    <s v="Indiv"/>
    <s v="Existant"/>
    <n v="223"/>
    <s v="D"/>
    <n v="48"/>
    <s v="D"/>
    <m/>
    <n v="45337"/>
    <x v="1"/>
    <x v="1"/>
    <x v="1"/>
    <x v="1"/>
    <x v="1"/>
    <x v="1"/>
    <s v="Indiv"/>
    <x v="0"/>
    <n v="64"/>
    <s v="A"/>
    <n v="6"/>
    <s v="B"/>
    <n v="16697"/>
    <n v="0.71300448430493268"/>
    <x v="49"/>
    <n v="0.631713611399078"/>
  </r>
  <r>
    <n v="581"/>
    <x v="1"/>
    <x v="2"/>
    <n v="2417"/>
    <s v=" -"/>
    <s v=" -"/>
    <s v=" -"/>
    <s v=" -"/>
    <s v=" -"/>
    <x v="0"/>
    <s v="Indiv"/>
    <s v="Existant"/>
    <n v="163"/>
    <s v="C"/>
    <n v="35"/>
    <s v="D"/>
    <m/>
    <n v="36029"/>
    <x v="0"/>
    <x v="0"/>
    <x v="0"/>
    <x v="0"/>
    <x v="0"/>
    <x v="0"/>
    <s v="Indiv"/>
    <x v="0"/>
    <n v="134"/>
    <s v="C"/>
    <n v="28"/>
    <s v="C"/>
    <n v="31420"/>
    <n v="0.17791411042944785"/>
    <x v="50"/>
    <n v="0.12792472730300591"/>
  </r>
  <r>
    <n v="583"/>
    <x v="1"/>
    <x v="2"/>
    <n v="2417"/>
    <s v=" -"/>
    <s v=" -"/>
    <s v=" -"/>
    <s v=" -"/>
    <s v=" -"/>
    <x v="0"/>
    <s v="Indiv"/>
    <s v="Existant"/>
    <n v="163"/>
    <s v="C"/>
    <n v="35"/>
    <s v="D"/>
    <m/>
    <n v="36029"/>
    <x v="0"/>
    <x v="0"/>
    <x v="0"/>
    <x v="0"/>
    <x v="0"/>
    <x v="1"/>
    <s v="Indiv"/>
    <x v="0"/>
    <n v="114"/>
    <s v="C"/>
    <n v="21"/>
    <s v="C"/>
    <n v="29916"/>
    <n v="0.30061349693251532"/>
    <x v="51"/>
    <n v="0.1696688778483999"/>
  </r>
  <r>
    <n v="582"/>
    <x v="1"/>
    <x v="2"/>
    <n v="2417"/>
    <s v=" -"/>
    <s v=" -"/>
    <s v=" -"/>
    <s v=" -"/>
    <s v=" -"/>
    <x v="0"/>
    <s v="Indiv"/>
    <s v="Existant"/>
    <n v="163"/>
    <s v="C"/>
    <n v="35"/>
    <s v="D"/>
    <m/>
    <n v="36029"/>
    <x v="1"/>
    <x v="1"/>
    <x v="1"/>
    <x v="1"/>
    <x v="1"/>
    <x v="0"/>
    <s v="Indiv"/>
    <x v="0"/>
    <n v="70"/>
    <s v="B"/>
    <n v="11"/>
    <s v="C"/>
    <n v="18128"/>
    <n v="0.57055214723926384"/>
    <x v="52"/>
    <n v="0.49684975991562352"/>
  </r>
  <r>
    <n v="1730"/>
    <x v="1"/>
    <x v="2"/>
    <n v="2417"/>
    <s v=" -"/>
    <s v=" -"/>
    <s v=" -"/>
    <s v=" -"/>
    <s v=" -"/>
    <x v="0"/>
    <s v="Indiv"/>
    <s v="Existant"/>
    <n v="163"/>
    <s v="C"/>
    <n v="35"/>
    <s v="D"/>
    <m/>
    <n v="36029"/>
    <x v="1"/>
    <x v="1"/>
    <x v="1"/>
    <x v="1"/>
    <x v="1"/>
    <x v="0"/>
    <s v="Indiv"/>
    <x v="1"/>
    <n v="85"/>
    <s v="B"/>
    <n v="15"/>
    <s v="C"/>
    <n v="22249"/>
    <n v="0.4785276073619632"/>
    <x v="53"/>
    <n v="0.38246967720447417"/>
  </r>
  <r>
    <n v="584"/>
    <x v="1"/>
    <x v="2"/>
    <n v="2417"/>
    <s v=" -"/>
    <s v=" -"/>
    <s v=" -"/>
    <s v=" -"/>
    <s v=" -"/>
    <x v="0"/>
    <s v="Indiv"/>
    <s v="Existant"/>
    <n v="163"/>
    <s v="C"/>
    <n v="35"/>
    <s v="D"/>
    <m/>
    <n v="36029"/>
    <x v="1"/>
    <x v="1"/>
    <x v="1"/>
    <x v="1"/>
    <x v="1"/>
    <x v="1"/>
    <s v="Indiv"/>
    <x v="0"/>
    <n v="50"/>
    <s v="A"/>
    <n v="4"/>
    <s v="A"/>
    <n v="13129"/>
    <n v="0.69325153374233128"/>
    <x v="54"/>
    <n v="0.63559910072441639"/>
  </r>
  <r>
    <n v="1714"/>
    <x v="1"/>
    <x v="0"/>
    <n v="2417"/>
    <s v=" -"/>
    <s v=" -"/>
    <s v=" -"/>
    <s v=" -"/>
    <s v=" -"/>
    <x v="1"/>
    <s v="collectif"/>
    <s v="Existant"/>
    <n v="256"/>
    <s v="E"/>
    <n v="56"/>
    <s v="E"/>
    <m/>
    <n v="39938"/>
    <x v="1"/>
    <x v="1"/>
    <x v="1"/>
    <x v="1"/>
    <x v="1"/>
    <x v="2"/>
    <s v="collectif"/>
    <x v="1"/>
    <n v="120"/>
    <s v="C"/>
    <n v="23"/>
    <s v="C"/>
    <n v="21194"/>
    <n v="0.53125"/>
    <x v="55"/>
    <n v="0.46932745755921679"/>
  </r>
  <r>
    <n v="441"/>
    <x v="1"/>
    <x v="0"/>
    <n v="2417"/>
    <s v=" -"/>
    <s v=" -"/>
    <s v=" -"/>
    <s v=" -"/>
    <s v=" -"/>
    <x v="1"/>
    <s v="collectif"/>
    <s v="Existant"/>
    <n v="256"/>
    <s v="E"/>
    <n v="56"/>
    <s v="E"/>
    <m/>
    <n v="39938"/>
    <x v="0"/>
    <x v="0"/>
    <x v="0"/>
    <x v="0"/>
    <x v="0"/>
    <x v="2"/>
    <s v="collectif"/>
    <x v="0"/>
    <n v="221"/>
    <s v="D"/>
    <n v="48"/>
    <s v="D"/>
    <n v="34912"/>
    <n v="0.13671875"/>
    <x v="56"/>
    <n v="0.12584505984275626"/>
  </r>
  <r>
    <n v="1618"/>
    <x v="1"/>
    <x v="0"/>
    <n v="2417"/>
    <s v=" -"/>
    <s v=" -"/>
    <s v=" -"/>
    <s v=" -"/>
    <s v=" -"/>
    <x v="1"/>
    <s v="collectif"/>
    <s v="Existant"/>
    <n v="256"/>
    <s v="E"/>
    <n v="56"/>
    <s v="E"/>
    <m/>
    <n v="39938"/>
    <x v="0"/>
    <x v="0"/>
    <x v="0"/>
    <x v="0"/>
    <x v="0"/>
    <x v="3"/>
    <s v="collectif"/>
    <x v="0"/>
    <n v="203"/>
    <s v="D"/>
    <n v="44"/>
    <s v="D"/>
    <n v="32292"/>
    <n v="0.20703125"/>
    <x v="57"/>
    <n v="0.19144674245079873"/>
  </r>
  <r>
    <n v="1612"/>
    <x v="1"/>
    <x v="0"/>
    <n v="2417"/>
    <s v=" -"/>
    <s v=" -"/>
    <s v=" -"/>
    <s v=" -"/>
    <s v=" -"/>
    <x v="1"/>
    <s v="collectif"/>
    <s v="Existant"/>
    <n v="256"/>
    <s v="E"/>
    <n v="56"/>
    <s v="E"/>
    <m/>
    <n v="39938"/>
    <x v="0"/>
    <x v="0"/>
    <x v="0"/>
    <x v="0"/>
    <x v="0"/>
    <x v="4"/>
    <s v="collectif"/>
    <x v="0"/>
    <n v="198.70326023996688"/>
    <s v="D"/>
    <n v="17.686122589987587"/>
    <s v="C"/>
    <s v=" -"/>
    <n v="0.22381538968762937"/>
    <x v="58"/>
    <e v="#VALUE!"/>
  </r>
  <r>
    <n v="1624"/>
    <x v="1"/>
    <x v="0"/>
    <n v="2417"/>
    <s v=" -"/>
    <s v=" -"/>
    <s v=" -"/>
    <s v=" -"/>
    <s v=" -"/>
    <x v="1"/>
    <s v="collectif"/>
    <s v="Existant"/>
    <n v="256"/>
    <s v="E"/>
    <n v="56"/>
    <s v="E"/>
    <m/>
    <n v="39938"/>
    <x v="0"/>
    <x v="0"/>
    <x v="0"/>
    <x v="0"/>
    <x v="0"/>
    <x v="5"/>
    <s v="collectif"/>
    <x v="0"/>
    <n v="192"/>
    <s v="D"/>
    <n v="6"/>
    <s v="B"/>
    <n v="33500"/>
    <n v="0.25"/>
    <x v="59"/>
    <n v="0.16119985978266313"/>
  </r>
  <r>
    <n v="442"/>
    <x v="1"/>
    <x v="0"/>
    <n v="2417"/>
    <s v=" -"/>
    <s v=" -"/>
    <s v=" -"/>
    <s v=" -"/>
    <s v=" -"/>
    <x v="1"/>
    <s v="collectif"/>
    <s v="Existant"/>
    <n v="256"/>
    <s v="E"/>
    <n v="56"/>
    <s v="E"/>
    <m/>
    <n v="39938"/>
    <x v="1"/>
    <x v="1"/>
    <x v="1"/>
    <x v="1"/>
    <x v="1"/>
    <x v="2"/>
    <s v="collectif"/>
    <x v="0"/>
    <n v="103"/>
    <s v="B"/>
    <n v="19"/>
    <s v="C"/>
    <n v="18910"/>
    <n v="0.59765625"/>
    <x v="60"/>
    <n v="0.52651609995493009"/>
  </r>
  <r>
    <n v="1619"/>
    <x v="1"/>
    <x v="0"/>
    <n v="2417"/>
    <s v=" -"/>
    <s v=" -"/>
    <s v=" -"/>
    <s v=" -"/>
    <s v=" -"/>
    <x v="1"/>
    <s v="collectif"/>
    <s v="Existant"/>
    <n v="256"/>
    <s v="E"/>
    <n v="56"/>
    <s v="E"/>
    <m/>
    <n v="39938"/>
    <x v="1"/>
    <x v="1"/>
    <x v="1"/>
    <x v="1"/>
    <x v="1"/>
    <x v="3"/>
    <s v="collectif"/>
    <x v="0"/>
    <n v="86"/>
    <s v="B"/>
    <n v="15"/>
    <s v="C"/>
    <n v="16290"/>
    <n v="0.6640625"/>
    <x v="61"/>
    <n v="0.59211778256297265"/>
  </r>
  <r>
    <n v="1613"/>
    <x v="1"/>
    <x v="0"/>
    <n v="2417"/>
    <s v=" -"/>
    <s v=" -"/>
    <s v=" -"/>
    <s v=" -"/>
    <s v=" -"/>
    <x v="1"/>
    <s v="collectif"/>
    <s v="Existant"/>
    <n v="256"/>
    <s v="E"/>
    <n v="56"/>
    <s v="E"/>
    <m/>
    <n v="39938"/>
    <x v="1"/>
    <x v="1"/>
    <x v="1"/>
    <x v="1"/>
    <x v="1"/>
    <x v="4"/>
    <s v="collectif"/>
    <x v="0"/>
    <n v="96.821170872983046"/>
    <s v="B"/>
    <n v="9.0031090608191988"/>
    <s v="B"/>
    <s v=" -"/>
    <n v="0.62179230127741003"/>
    <x v="62"/>
    <e v="#VALUE!"/>
  </r>
  <r>
    <n v="1625"/>
    <x v="1"/>
    <x v="0"/>
    <n v="2417"/>
    <s v=" -"/>
    <s v=" -"/>
    <s v=" -"/>
    <s v=" -"/>
    <s v=" -"/>
    <x v="1"/>
    <s v="collectif"/>
    <s v="Existant"/>
    <n v="256"/>
    <s v="E"/>
    <n v="56"/>
    <s v="E"/>
    <m/>
    <n v="39938"/>
    <x v="1"/>
    <x v="1"/>
    <x v="1"/>
    <x v="1"/>
    <x v="1"/>
    <x v="5"/>
    <s v="collectif"/>
    <x v="0"/>
    <n v="93"/>
    <s v="B"/>
    <n v="2"/>
    <s v="A"/>
    <n v="18378"/>
    <n v="0.63671875"/>
    <x v="63"/>
    <n v="0.53983674695778461"/>
  </r>
  <r>
    <n v="1719"/>
    <x v="1"/>
    <x v="1"/>
    <n v="2417"/>
    <s v=" -"/>
    <s v=" -"/>
    <s v=" -"/>
    <s v=" -"/>
    <s v=" -"/>
    <x v="1"/>
    <s v="collectif"/>
    <s v="Existant"/>
    <n v="234"/>
    <s v="D"/>
    <n v="51"/>
    <s v="E"/>
    <m/>
    <n v="36542"/>
    <x v="1"/>
    <x v="1"/>
    <x v="1"/>
    <x v="1"/>
    <x v="1"/>
    <x v="2"/>
    <s v="collectif"/>
    <x v="1"/>
    <n v="111"/>
    <s v="C"/>
    <n v="21"/>
    <s v="C"/>
    <n v="19837"/>
    <n v="0.52564102564102566"/>
    <x v="64"/>
    <n v="0.4571452027803623"/>
  </r>
  <r>
    <n v="1642"/>
    <x v="1"/>
    <x v="1"/>
    <n v="2417"/>
    <s v=" -"/>
    <s v=" -"/>
    <s v=" -"/>
    <s v=" -"/>
    <s v=" -"/>
    <x v="1"/>
    <s v="collectif"/>
    <s v="Existant"/>
    <n v="234"/>
    <s v="D"/>
    <n v="51"/>
    <s v="E"/>
    <m/>
    <n v="36542"/>
    <x v="0"/>
    <x v="0"/>
    <x v="0"/>
    <x v="0"/>
    <x v="0"/>
    <x v="2"/>
    <s v="collectif"/>
    <x v="0"/>
    <n v="200"/>
    <s v="D"/>
    <n v="43"/>
    <s v="D"/>
    <n v="3185"/>
    <n v="0.14529914529914531"/>
    <x v="65"/>
    <n v="0.91284001970335504"/>
  </r>
  <r>
    <n v="1654"/>
    <x v="1"/>
    <x v="1"/>
    <n v="2417"/>
    <s v=" -"/>
    <s v=" -"/>
    <s v=" -"/>
    <s v=" -"/>
    <s v=" -"/>
    <x v="1"/>
    <s v="collectif"/>
    <s v="Existant"/>
    <n v="234"/>
    <s v="D"/>
    <n v="51"/>
    <s v="E"/>
    <m/>
    <n v="36542"/>
    <x v="0"/>
    <x v="0"/>
    <x v="0"/>
    <x v="0"/>
    <x v="0"/>
    <x v="3"/>
    <s v="collectif"/>
    <x v="0"/>
    <n v="180"/>
    <s v="D"/>
    <n v="39"/>
    <s v="D"/>
    <n v="28780"/>
    <n v="0.23076923076923078"/>
    <x v="66"/>
    <n v="0.21241311367741228"/>
  </r>
  <r>
    <n v="1650"/>
    <x v="1"/>
    <x v="1"/>
    <n v="2417"/>
    <s v=" -"/>
    <s v=" -"/>
    <s v=" -"/>
    <s v=" -"/>
    <s v=" -"/>
    <x v="1"/>
    <s v="collectif"/>
    <s v="Existant"/>
    <n v="234"/>
    <s v="D"/>
    <n v="51"/>
    <s v="E"/>
    <m/>
    <n v="36542"/>
    <x v="0"/>
    <x v="0"/>
    <x v="0"/>
    <x v="0"/>
    <x v="0"/>
    <x v="4"/>
    <s v="collectif"/>
    <x v="0"/>
    <n v="181.13145221348782"/>
    <s v="D"/>
    <n v="16.207835291683907"/>
    <s v="C"/>
    <s v=" -"/>
    <n v="0.2259339648996247"/>
    <x v="67"/>
    <e v="#VALUE!"/>
  </r>
  <r>
    <n v="1660"/>
    <x v="1"/>
    <x v="1"/>
    <n v="2417"/>
    <s v=" -"/>
    <s v=" -"/>
    <s v=" -"/>
    <s v=" -"/>
    <s v=" -"/>
    <x v="1"/>
    <s v="collectif"/>
    <s v="Existant"/>
    <n v="234"/>
    <s v="D"/>
    <n v="51"/>
    <s v="E"/>
    <m/>
    <n v="36542"/>
    <x v="0"/>
    <x v="0"/>
    <x v="0"/>
    <x v="0"/>
    <x v="0"/>
    <x v="5"/>
    <s v="collectif"/>
    <x v="0"/>
    <n v="175"/>
    <s v="C"/>
    <n v="5"/>
    <s v="A"/>
    <n v="30611"/>
    <n v="0.25213675213675213"/>
    <x v="68"/>
    <n v="0.1623063871709266"/>
  </r>
  <r>
    <n v="1643"/>
    <x v="1"/>
    <x v="1"/>
    <n v="2417"/>
    <s v=" -"/>
    <s v=" -"/>
    <s v=" -"/>
    <s v=" -"/>
    <s v=" -"/>
    <x v="1"/>
    <s v="collectif"/>
    <s v="Existant"/>
    <n v="234"/>
    <s v="D"/>
    <n v="51"/>
    <s v="E"/>
    <m/>
    <n v="36542"/>
    <x v="1"/>
    <x v="1"/>
    <x v="1"/>
    <x v="1"/>
    <x v="1"/>
    <x v="2"/>
    <s v="collectif"/>
    <x v="0"/>
    <n v="96"/>
    <s v="B"/>
    <n v="18"/>
    <s v="C"/>
    <n v="17799"/>
    <n v="0.58974358974358976"/>
    <x v="69"/>
    <n v="0.51291664386185754"/>
  </r>
  <r>
    <n v="1655"/>
    <x v="1"/>
    <x v="1"/>
    <n v="2417"/>
    <s v=" -"/>
    <s v=" -"/>
    <s v=" -"/>
    <s v=" -"/>
    <s v=" -"/>
    <x v="1"/>
    <s v="collectif"/>
    <s v="Existant"/>
    <n v="234"/>
    <s v="D"/>
    <n v="51"/>
    <s v="E"/>
    <m/>
    <n v="36542"/>
    <x v="1"/>
    <x v="1"/>
    <x v="1"/>
    <x v="1"/>
    <x v="1"/>
    <x v="3"/>
    <s v="collectif"/>
    <x v="0"/>
    <n v="75"/>
    <s v="B"/>
    <n v="13"/>
    <s v="C"/>
    <n v="14729"/>
    <n v="0.67948717948717952"/>
    <x v="70"/>
    <n v="0.59692956050571944"/>
  </r>
  <r>
    <n v="1652"/>
    <x v="1"/>
    <x v="1"/>
    <n v="2417"/>
    <s v=" -"/>
    <s v=" -"/>
    <s v=" -"/>
    <s v=" -"/>
    <s v=" -"/>
    <x v="1"/>
    <s v="collectif"/>
    <s v="Existant"/>
    <n v="234"/>
    <s v="D"/>
    <n v="51"/>
    <s v="E"/>
    <m/>
    <n v="36542"/>
    <x v="1"/>
    <x v="1"/>
    <x v="1"/>
    <x v="1"/>
    <x v="1"/>
    <x v="4"/>
    <s v="collectif"/>
    <x v="0"/>
    <n v="82.375953661563926"/>
    <s v="B"/>
    <n v="6.1469571369466287"/>
    <s v="B"/>
    <s v=" -"/>
    <n v="0.64796600999331655"/>
    <x v="71"/>
    <e v="#VALUE!"/>
  </r>
  <r>
    <n v="1661"/>
    <x v="1"/>
    <x v="1"/>
    <n v="2417"/>
    <s v=" -"/>
    <s v=" -"/>
    <s v=" -"/>
    <s v=" -"/>
    <s v=" -"/>
    <x v="1"/>
    <s v="collectif"/>
    <s v="Existant"/>
    <n v="234"/>
    <s v="D"/>
    <n v="51"/>
    <s v="E"/>
    <m/>
    <n v="36542"/>
    <x v="1"/>
    <x v="1"/>
    <x v="1"/>
    <x v="1"/>
    <x v="1"/>
    <x v="5"/>
    <s v="collectif"/>
    <x v="0"/>
    <n v="86"/>
    <s v="B"/>
    <n v="2"/>
    <s v="A"/>
    <n v="17280"/>
    <n v="0.63247863247863245"/>
    <x v="72"/>
    <n v="0.5271194789557222"/>
  </r>
  <r>
    <n v="1720"/>
    <x v="1"/>
    <x v="2"/>
    <n v="2417"/>
    <s v=" -"/>
    <s v=" -"/>
    <s v=" -"/>
    <s v=" -"/>
    <s v=" -"/>
    <x v="1"/>
    <s v="collectif"/>
    <s v="Existant"/>
    <n v="170"/>
    <s v="C"/>
    <n v="37"/>
    <s v="D"/>
    <m/>
    <n v="26900"/>
    <x v="1"/>
    <x v="1"/>
    <x v="1"/>
    <x v="1"/>
    <x v="1"/>
    <x v="2"/>
    <s v="collectif"/>
    <x v="1"/>
    <n v="87"/>
    <s v="B"/>
    <n v="16"/>
    <s v="C"/>
    <n v="16300"/>
    <n v="0.48823529411764705"/>
    <x v="73"/>
    <n v="0.39405204460966542"/>
  </r>
  <r>
    <n v="1678"/>
    <x v="1"/>
    <x v="2"/>
    <n v="2417"/>
    <s v=" -"/>
    <s v=" -"/>
    <s v=" -"/>
    <s v=" -"/>
    <s v=" -"/>
    <x v="1"/>
    <s v="collectif"/>
    <s v="Existant"/>
    <n v="170"/>
    <s v="C"/>
    <n v="37"/>
    <s v="D"/>
    <m/>
    <n v="26900"/>
    <x v="0"/>
    <x v="0"/>
    <x v="0"/>
    <x v="0"/>
    <x v="0"/>
    <x v="2"/>
    <s v="collectif"/>
    <x v="0"/>
    <n v="146"/>
    <s v="C"/>
    <n v="31"/>
    <s v="D"/>
    <n v="23465"/>
    <n v="0.14117647058823529"/>
    <x v="74"/>
    <n v="0.12769516728624536"/>
  </r>
  <r>
    <n v="1690"/>
    <x v="1"/>
    <x v="2"/>
    <n v="2417"/>
    <s v=" -"/>
    <s v=" -"/>
    <s v=" -"/>
    <s v=" -"/>
    <s v=" -"/>
    <x v="1"/>
    <s v="collectif"/>
    <s v="Existant"/>
    <n v="170"/>
    <s v="C"/>
    <n v="37"/>
    <s v="D"/>
    <m/>
    <n v="26900"/>
    <x v="0"/>
    <x v="0"/>
    <x v="0"/>
    <x v="0"/>
    <x v="0"/>
    <x v="3"/>
    <s v="collectif"/>
    <x v="0"/>
    <n v="123"/>
    <s v="C"/>
    <n v="26"/>
    <s v="C"/>
    <n v="20059"/>
    <n v="0.27647058823529413"/>
    <x v="75"/>
    <n v="0.25431226765799259"/>
  </r>
  <r>
    <n v="1686"/>
    <x v="1"/>
    <x v="2"/>
    <n v="2417"/>
    <s v=" -"/>
    <s v=" -"/>
    <s v=" -"/>
    <s v=" -"/>
    <s v=" -"/>
    <x v="1"/>
    <s v="collectif"/>
    <s v="Existant"/>
    <n v="170"/>
    <s v="C"/>
    <n v="37"/>
    <s v="D"/>
    <m/>
    <n v="26900"/>
    <x v="0"/>
    <x v="0"/>
    <x v="0"/>
    <x v="0"/>
    <x v="0"/>
    <x v="6"/>
    <s v="collectif"/>
    <x v="0"/>
    <n v="122.16581092263134"/>
    <s v="C"/>
    <n v="11.792453330575093"/>
    <s v="C"/>
    <s v=" -"/>
    <n v="0.28137758280805097"/>
    <x v="76"/>
    <e v="#VALUE!"/>
  </r>
  <r>
    <n v="1696"/>
    <x v="1"/>
    <x v="2"/>
    <n v="2417"/>
    <s v=" -"/>
    <s v=" -"/>
    <s v=" -"/>
    <s v=" -"/>
    <s v=" -"/>
    <x v="1"/>
    <s v="collectif"/>
    <s v="Existant"/>
    <n v="170"/>
    <s v="C"/>
    <n v="37"/>
    <s v="D"/>
    <m/>
    <n v="26900"/>
    <x v="0"/>
    <x v="0"/>
    <x v="0"/>
    <x v="0"/>
    <x v="0"/>
    <x v="5"/>
    <s v="collectif"/>
    <x v="0"/>
    <n v="113"/>
    <s v="C"/>
    <n v="3"/>
    <s v="A"/>
    <n v="20044"/>
    <n v="0.3352941176470588"/>
    <x v="77"/>
    <n v="0.25486988847583641"/>
  </r>
  <r>
    <n v="1679"/>
    <x v="1"/>
    <x v="2"/>
    <n v="2417"/>
    <s v=" -"/>
    <s v=" -"/>
    <s v=" -"/>
    <s v=" -"/>
    <s v=" -"/>
    <x v="1"/>
    <s v="collectif"/>
    <s v="Existant"/>
    <n v="170"/>
    <s v="C"/>
    <n v="37"/>
    <s v="D"/>
    <m/>
    <n v="26900"/>
    <x v="1"/>
    <x v="1"/>
    <x v="1"/>
    <x v="1"/>
    <x v="1"/>
    <x v="2"/>
    <s v="collectif"/>
    <x v="0"/>
    <n v="77"/>
    <s v="B"/>
    <n v="13"/>
    <s v="C"/>
    <n v="14869"/>
    <n v="0.54705882352941182"/>
    <x v="78"/>
    <n v="0.44724907063197028"/>
  </r>
  <r>
    <n v="1691"/>
    <x v="1"/>
    <x v="2"/>
    <n v="2417"/>
    <s v=" -"/>
    <s v=" -"/>
    <s v=" -"/>
    <s v=" -"/>
    <s v=" -"/>
    <x v="1"/>
    <s v="collectif"/>
    <s v="Existant"/>
    <n v="170"/>
    <s v="C"/>
    <n v="37"/>
    <s v="D"/>
    <m/>
    <n v="26900"/>
    <x v="1"/>
    <x v="1"/>
    <x v="1"/>
    <x v="1"/>
    <x v="1"/>
    <x v="3"/>
    <s v="collectif"/>
    <x v="0"/>
    <n v="54"/>
    <s v="A"/>
    <n v="8"/>
    <s v="B"/>
    <n v="11462"/>
    <n v="0.68235294117647061"/>
    <x v="79"/>
    <n v="0.57390334572490709"/>
  </r>
  <r>
    <n v="1688"/>
    <x v="1"/>
    <x v="2"/>
    <n v="2417"/>
    <s v=" -"/>
    <s v=" -"/>
    <s v=" -"/>
    <s v=" -"/>
    <s v=" -"/>
    <x v="1"/>
    <s v="collectif"/>
    <s v="Existant"/>
    <n v="170"/>
    <s v="C"/>
    <n v="37"/>
    <s v="D"/>
    <m/>
    <n v="26900"/>
    <x v="1"/>
    <x v="1"/>
    <x v="1"/>
    <x v="1"/>
    <x v="1"/>
    <x v="6"/>
    <s v="collectif"/>
    <x v="0"/>
    <n v="59.649679354571795"/>
    <s v="A"/>
    <n v="4.1847877534133229"/>
    <s v="A"/>
    <s v=" -"/>
    <n v="0.64911953320840121"/>
    <x v="80"/>
    <e v="#VALUE!"/>
  </r>
  <r>
    <n v="1697"/>
    <x v="1"/>
    <x v="2"/>
    <n v="2417"/>
    <s v=" -"/>
    <s v=" -"/>
    <s v=" -"/>
    <s v=" -"/>
    <s v=" -"/>
    <x v="1"/>
    <s v="collectif"/>
    <s v="Existant"/>
    <n v="170"/>
    <s v="C"/>
    <n v="37"/>
    <s v="D"/>
    <m/>
    <n v="26900"/>
    <x v="1"/>
    <x v="1"/>
    <x v="1"/>
    <x v="1"/>
    <x v="1"/>
    <x v="5"/>
    <s v="collectif"/>
    <x v="0"/>
    <n v="64"/>
    <s v="A"/>
    <n v="1"/>
    <s v="A"/>
    <n v="13342"/>
    <n v="0.62352941176470589"/>
    <x v="81"/>
    <n v="0.50401486988847588"/>
  </r>
  <r>
    <n v="25"/>
    <x v="2"/>
    <x v="0"/>
    <n v="2240"/>
    <s v=" -"/>
    <s v=" -"/>
    <s v=" -"/>
    <s v=" -"/>
    <s v=" -"/>
    <x v="0"/>
    <s v="Indiv"/>
    <s v="Existant"/>
    <n v="301"/>
    <s v="E"/>
    <n v="65"/>
    <s v="E"/>
    <m/>
    <n v="53063"/>
    <x v="0"/>
    <x v="0"/>
    <x v="0"/>
    <x v="0"/>
    <x v="0"/>
    <x v="0"/>
    <s v="Indiv"/>
    <x v="0"/>
    <n v="238"/>
    <s v="D"/>
    <n v="51"/>
    <s v="E"/>
    <n v="43863"/>
    <n v="0.20930232558139536"/>
    <x v="82"/>
    <n v="0.17337881386276691"/>
  </r>
  <r>
    <n v="27"/>
    <x v="2"/>
    <x v="0"/>
    <n v="2240"/>
    <s v=" -"/>
    <s v=" -"/>
    <s v=" -"/>
    <s v=" -"/>
    <s v=" -"/>
    <x v="0"/>
    <s v="Indiv"/>
    <s v="Existant"/>
    <n v="301"/>
    <s v="E"/>
    <n v="65"/>
    <s v="E"/>
    <m/>
    <n v="53063"/>
    <x v="0"/>
    <x v="0"/>
    <x v="0"/>
    <x v="0"/>
    <x v="0"/>
    <x v="1"/>
    <s v="Indiv"/>
    <x v="0"/>
    <n v="228"/>
    <s v="D"/>
    <n v="46"/>
    <s v="D"/>
    <n v="44498"/>
    <n v="0.2425249169435216"/>
    <x v="83"/>
    <n v="0.1614119066015868"/>
  </r>
  <r>
    <n v="26"/>
    <x v="2"/>
    <x v="0"/>
    <n v="2240"/>
    <s v=" -"/>
    <s v=" -"/>
    <s v=" -"/>
    <s v=" -"/>
    <s v=" -"/>
    <x v="0"/>
    <s v="Indiv"/>
    <s v="Existant"/>
    <n v="301"/>
    <s v="E"/>
    <n v="65"/>
    <s v="E"/>
    <m/>
    <n v="53063"/>
    <x v="1"/>
    <x v="1"/>
    <x v="1"/>
    <x v="1"/>
    <x v="1"/>
    <x v="0"/>
    <s v="Indiv"/>
    <x v="0"/>
    <n v="111"/>
    <s v="C"/>
    <n v="21"/>
    <s v="C"/>
    <n v="25996"/>
    <n v="0.6312292358803987"/>
    <x v="84"/>
    <n v="0.51009177769820779"/>
  </r>
  <r>
    <n v="1734"/>
    <x v="2"/>
    <x v="0"/>
    <n v="2240"/>
    <s v=" -"/>
    <s v=" -"/>
    <s v=" -"/>
    <s v=" -"/>
    <s v=" -"/>
    <x v="0"/>
    <s v="Indiv"/>
    <s v="Existant"/>
    <n v="301"/>
    <s v="E"/>
    <n v="65"/>
    <s v="E"/>
    <m/>
    <n v="53063"/>
    <x v="1"/>
    <x v="1"/>
    <x v="1"/>
    <x v="1"/>
    <x v="1"/>
    <x v="0"/>
    <s v="Indiv"/>
    <x v="1"/>
    <n v="134"/>
    <s v="C"/>
    <n v="26"/>
    <s v="C"/>
    <n v="29305"/>
    <n v="0.55481727574750828"/>
    <x v="85"/>
    <n v="0.44773194127734955"/>
  </r>
  <r>
    <n v="28"/>
    <x v="2"/>
    <x v="0"/>
    <n v="2240"/>
    <s v=" -"/>
    <s v=" -"/>
    <s v=" -"/>
    <s v=" -"/>
    <s v=" -"/>
    <x v="0"/>
    <s v="Indiv"/>
    <s v="Existant"/>
    <n v="301"/>
    <s v="E"/>
    <n v="65"/>
    <s v="E"/>
    <m/>
    <n v="53063"/>
    <x v="1"/>
    <x v="1"/>
    <x v="1"/>
    <x v="1"/>
    <x v="1"/>
    <x v="1"/>
    <s v="Indiv"/>
    <x v="0"/>
    <n v="87"/>
    <s v="B"/>
    <n v="13"/>
    <s v="C"/>
    <n v="21053"/>
    <n v="0.71096345514950166"/>
    <x v="86"/>
    <n v="0.60324519910295304"/>
  </r>
  <r>
    <n v="160"/>
    <x v="2"/>
    <x v="1"/>
    <n v="2240"/>
    <s v=" -"/>
    <s v=" -"/>
    <s v=" -"/>
    <s v=" -"/>
    <s v=" -"/>
    <x v="0"/>
    <s v="Indiv"/>
    <s v="Existant"/>
    <n v="275"/>
    <s v="E"/>
    <n v="60"/>
    <s v="E"/>
    <m/>
    <n v="49240"/>
    <x v="0"/>
    <x v="0"/>
    <x v="0"/>
    <x v="0"/>
    <x v="0"/>
    <x v="0"/>
    <s v="Indiv"/>
    <x v="0"/>
    <n v="217"/>
    <s v="D"/>
    <n v="46"/>
    <s v="D"/>
    <n v="40828"/>
    <n v="0.21090909090909091"/>
    <x v="87"/>
    <n v="0.17083671811535336"/>
  </r>
  <r>
    <e v="#N/A"/>
    <x v="2"/>
    <x v="1"/>
    <n v="2240"/>
    <s v=" -"/>
    <s v=" -"/>
    <s v=" -"/>
    <s v=" -"/>
    <s v=" -"/>
    <x v="0"/>
    <s v="Indiv"/>
    <s v="Existant"/>
    <n v="275"/>
    <s v="E"/>
    <n v="60"/>
    <s v="E"/>
    <m/>
    <n v="49240"/>
    <x v="0"/>
    <x v="0"/>
    <x v="0"/>
    <x v="0"/>
    <x v="0"/>
    <x v="1"/>
    <s v="Indiv"/>
    <x v="0"/>
    <n v="192"/>
    <s v="D"/>
    <n v="36"/>
    <s v="D"/>
    <s v=" -"/>
    <n v="0.30181818181818182"/>
    <x v="51"/>
    <e v="#VALUE!"/>
  </r>
  <r>
    <n v="161"/>
    <x v="2"/>
    <x v="1"/>
    <n v="2240"/>
    <s v=" -"/>
    <s v=" -"/>
    <s v=" -"/>
    <s v=" -"/>
    <s v=" -"/>
    <x v="0"/>
    <s v="Indiv"/>
    <s v="Existant"/>
    <n v="275"/>
    <s v="E"/>
    <n v="60"/>
    <s v="E"/>
    <m/>
    <n v="49240"/>
    <x v="1"/>
    <x v="1"/>
    <x v="1"/>
    <x v="1"/>
    <x v="1"/>
    <x v="0"/>
    <s v="Indiv"/>
    <x v="0"/>
    <n v="102"/>
    <s v="B"/>
    <n v="19"/>
    <s v="C"/>
    <n v="24201"/>
    <n v="0.62909090909090915"/>
    <x v="88"/>
    <n v="0.50850934199837527"/>
  </r>
  <r>
    <n v="1735"/>
    <x v="2"/>
    <x v="1"/>
    <n v="2240"/>
    <s v=" -"/>
    <s v=" -"/>
    <s v=" -"/>
    <s v=" -"/>
    <s v=" -"/>
    <x v="0"/>
    <s v="Indiv"/>
    <s v="Existant"/>
    <n v="275"/>
    <s v="E"/>
    <n v="60"/>
    <s v="E"/>
    <m/>
    <n v="49240"/>
    <x v="1"/>
    <x v="1"/>
    <x v="1"/>
    <x v="1"/>
    <x v="1"/>
    <x v="0"/>
    <s v="Indiv"/>
    <x v="1"/>
    <n v="123"/>
    <s v="C"/>
    <n v="24"/>
    <s v="C"/>
    <n v="27729"/>
    <n v="0.55272727272727273"/>
    <x v="85"/>
    <n v="0.43686027619821283"/>
  </r>
  <r>
    <n v="162"/>
    <x v="2"/>
    <x v="1"/>
    <n v="2240"/>
    <s v=" -"/>
    <s v=" -"/>
    <s v=" -"/>
    <s v=" -"/>
    <s v=" -"/>
    <x v="0"/>
    <s v="Indiv"/>
    <s v="Existant"/>
    <n v="275"/>
    <s v="E"/>
    <n v="60"/>
    <s v="E"/>
    <m/>
    <n v="49240"/>
    <x v="1"/>
    <x v="1"/>
    <x v="1"/>
    <x v="1"/>
    <x v="1"/>
    <x v="1"/>
    <s v="Indiv"/>
    <x v="0"/>
    <n v="79"/>
    <s v="B"/>
    <n v="11"/>
    <s v="C"/>
    <n v="18955"/>
    <n v="0.71272727272727276"/>
    <x v="89"/>
    <n v="0.61504874086108852"/>
  </r>
  <r>
    <n v="256"/>
    <x v="2"/>
    <x v="2"/>
    <n v="2240"/>
    <s v=" -"/>
    <s v=" -"/>
    <s v=" -"/>
    <s v=" -"/>
    <s v=" -"/>
    <x v="0"/>
    <s v="Indiv"/>
    <s v="Existant"/>
    <n v="184"/>
    <s v="D"/>
    <n v="39"/>
    <s v="D"/>
    <m/>
    <n v="36156"/>
    <x v="0"/>
    <x v="0"/>
    <x v="0"/>
    <x v="0"/>
    <x v="0"/>
    <x v="0"/>
    <s v="Indiv"/>
    <x v="0"/>
    <n v="146"/>
    <s v="C"/>
    <n v="31"/>
    <s v="D"/>
    <n v="30637"/>
    <n v="0.20652173913043478"/>
    <x v="90"/>
    <n v="0.15264409779842902"/>
  </r>
  <r>
    <e v="#N/A"/>
    <x v="2"/>
    <x v="2"/>
    <n v="2240"/>
    <s v=" -"/>
    <s v=" -"/>
    <s v=" -"/>
    <s v=" -"/>
    <s v=" -"/>
    <x v="0"/>
    <s v="Indiv"/>
    <s v="Existant"/>
    <n v="184"/>
    <s v="D"/>
    <n v="39"/>
    <s v="D"/>
    <m/>
    <n v="36156"/>
    <x v="0"/>
    <x v="0"/>
    <x v="0"/>
    <x v="0"/>
    <x v="0"/>
    <x v="1"/>
    <s v="Indiv"/>
    <x v="0"/>
    <n v="124"/>
    <s v="C"/>
    <n v="22"/>
    <s v="C"/>
    <s v=" -"/>
    <n v="0.32608695652173914"/>
    <x v="91"/>
    <e v="#VALUE!"/>
  </r>
  <r>
    <n v="257"/>
    <x v="2"/>
    <x v="2"/>
    <n v="2240"/>
    <s v=" -"/>
    <s v=" -"/>
    <s v=" -"/>
    <s v=" -"/>
    <s v=" -"/>
    <x v="0"/>
    <s v="Indiv"/>
    <s v="Existant"/>
    <n v="184"/>
    <s v="D"/>
    <n v="39"/>
    <s v="D"/>
    <m/>
    <n v="36156"/>
    <x v="1"/>
    <x v="1"/>
    <x v="1"/>
    <x v="1"/>
    <x v="1"/>
    <x v="0"/>
    <s v="Indiv"/>
    <x v="0"/>
    <n v="71"/>
    <s v="B"/>
    <n v="13"/>
    <s v="C"/>
    <n v="16926"/>
    <n v="0.61413043478260865"/>
    <x v="92"/>
    <n v="0.53186193162960504"/>
  </r>
  <r>
    <n v="1736"/>
    <x v="2"/>
    <x v="2"/>
    <n v="2240"/>
    <s v=" -"/>
    <s v=" -"/>
    <s v=" -"/>
    <s v=" -"/>
    <s v=" -"/>
    <x v="0"/>
    <s v="Indiv"/>
    <s v="Existant"/>
    <n v="184"/>
    <s v="D"/>
    <n v="39"/>
    <s v="D"/>
    <m/>
    <n v="36156"/>
    <x v="1"/>
    <x v="1"/>
    <x v="1"/>
    <x v="1"/>
    <x v="1"/>
    <x v="0"/>
    <s v="Indiv"/>
    <x v="1"/>
    <n v="85"/>
    <s v="B"/>
    <n v="16"/>
    <s v="C"/>
    <n v="20443"/>
    <n v="0.53804347826086951"/>
    <x v="93"/>
    <n v="0.4345890032083195"/>
  </r>
  <r>
    <n v="258"/>
    <x v="2"/>
    <x v="2"/>
    <n v="2240"/>
    <s v=" -"/>
    <s v=" -"/>
    <s v=" -"/>
    <s v=" -"/>
    <s v=" -"/>
    <x v="0"/>
    <s v="Indiv"/>
    <s v="Existant"/>
    <n v="184"/>
    <s v="D"/>
    <n v="39"/>
    <s v="D"/>
    <m/>
    <n v="36156"/>
    <x v="1"/>
    <x v="1"/>
    <x v="1"/>
    <x v="1"/>
    <x v="1"/>
    <x v="1"/>
    <s v="Indiv"/>
    <x v="0"/>
    <n v="51"/>
    <s v="A"/>
    <n v="6"/>
    <s v="B"/>
    <n v="12460"/>
    <n v="0.72282608695652173"/>
    <x v="94"/>
    <n v="0.65538223254784822"/>
  </r>
  <r>
    <n v="23"/>
    <x v="2"/>
    <x v="0"/>
    <n v="2240"/>
    <s v=" -"/>
    <s v=" -"/>
    <s v=" -"/>
    <s v=" -"/>
    <s v=" -"/>
    <x v="1"/>
    <s v="collectif"/>
    <s v="Existant"/>
    <n v="323"/>
    <s v="E"/>
    <n v="71"/>
    <s v="F"/>
    <m/>
    <n v="46465"/>
    <x v="1"/>
    <x v="1"/>
    <x v="1"/>
    <x v="1"/>
    <x v="1"/>
    <x v="2"/>
    <s v="collectif"/>
    <x v="1"/>
    <n v="141"/>
    <s v="C"/>
    <n v="29"/>
    <s v="C"/>
    <n v="21810"/>
    <n v="0.56346749226006188"/>
    <x v="95"/>
    <n v="0.53061444097707955"/>
  </r>
  <r>
    <n v="20"/>
    <x v="2"/>
    <x v="0"/>
    <n v="2240"/>
    <s v=" -"/>
    <s v=" -"/>
    <s v=" -"/>
    <s v=" -"/>
    <s v=" -"/>
    <x v="1"/>
    <s v="collectif"/>
    <s v="Existant"/>
    <n v="323"/>
    <s v="E"/>
    <n v="71"/>
    <s v="F"/>
    <m/>
    <n v="46465"/>
    <x v="0"/>
    <x v="0"/>
    <x v="0"/>
    <x v="0"/>
    <x v="0"/>
    <x v="2"/>
    <s v="collectif"/>
    <x v="0"/>
    <n v="286"/>
    <s v="E"/>
    <n v="63"/>
    <s v="E"/>
    <n v="41310"/>
    <n v="0.11455108359133127"/>
    <x v="96"/>
    <n v="0.11094372108038308"/>
  </r>
  <r>
    <n v="18"/>
    <x v="2"/>
    <x v="0"/>
    <n v="2240"/>
    <s v=" -"/>
    <s v=" -"/>
    <s v=" -"/>
    <s v=" -"/>
    <s v=" -"/>
    <x v="1"/>
    <s v="collectif"/>
    <s v="Existant"/>
    <n v="323"/>
    <s v="E"/>
    <n v="71"/>
    <s v="F"/>
    <m/>
    <n v="46465"/>
    <x v="0"/>
    <x v="0"/>
    <x v="0"/>
    <x v="0"/>
    <x v="0"/>
    <x v="3"/>
    <s v="collectif"/>
    <x v="0"/>
    <n v="269"/>
    <s v="E"/>
    <n v="59"/>
    <s v="E"/>
    <n v="38906"/>
    <n v="0.16718266253869968"/>
    <x v="97"/>
    <n v="0.16268158829226301"/>
  </r>
  <r>
    <n v="44"/>
    <x v="2"/>
    <x v="0"/>
    <n v="2240"/>
    <s v=" -"/>
    <s v=" -"/>
    <s v=" -"/>
    <s v=" -"/>
    <s v=" -"/>
    <x v="1"/>
    <s v="collectif"/>
    <s v="Existant"/>
    <n v="323"/>
    <s v="E"/>
    <n v="71"/>
    <s v="F"/>
    <m/>
    <n v="46465"/>
    <x v="0"/>
    <x v="0"/>
    <x v="0"/>
    <x v="0"/>
    <x v="0"/>
    <x v="4"/>
    <s v="collectif"/>
    <x v="0"/>
    <n v="251.36841517857144"/>
    <s v="E"/>
    <n v="21.671687276785718"/>
    <s v="C"/>
    <s v=" -"/>
    <n v="0.22176961245024321"/>
    <x v="98"/>
    <e v="#VALUE!"/>
  </r>
  <r>
    <n v="1069"/>
    <x v="2"/>
    <x v="0"/>
    <n v="2240"/>
    <s v=" -"/>
    <s v=" -"/>
    <s v=" -"/>
    <s v=" -"/>
    <s v=" -"/>
    <x v="1"/>
    <s v="collectif"/>
    <s v="Existant"/>
    <n v="323"/>
    <s v="E"/>
    <n v="71"/>
    <s v="F"/>
    <m/>
    <n v="46465"/>
    <x v="0"/>
    <x v="0"/>
    <x v="0"/>
    <x v="0"/>
    <x v="0"/>
    <x v="5"/>
    <s v="collectif"/>
    <x v="0"/>
    <n v="245"/>
    <s v="D"/>
    <n v="8"/>
    <s v="B"/>
    <n v="39308"/>
    <n v="0.24148606811145512"/>
    <x v="99"/>
    <n v="0.15402991498977725"/>
  </r>
  <r>
    <n v="21"/>
    <x v="2"/>
    <x v="0"/>
    <n v="2240"/>
    <s v=" -"/>
    <s v=" -"/>
    <s v=" -"/>
    <s v=" -"/>
    <s v=" -"/>
    <x v="1"/>
    <s v="collectif"/>
    <s v="Existant"/>
    <n v="323"/>
    <s v="E"/>
    <n v="71"/>
    <s v="F"/>
    <m/>
    <n v="46465"/>
    <x v="1"/>
    <x v="1"/>
    <x v="1"/>
    <x v="1"/>
    <x v="1"/>
    <x v="2"/>
    <s v="collectif"/>
    <x v="0"/>
    <n v="118"/>
    <s v="C"/>
    <n v="24"/>
    <s v="C"/>
    <n v="18659"/>
    <n v="0.6346749226006192"/>
    <x v="100"/>
    <n v="0.59842892499730982"/>
  </r>
  <r>
    <n v="19"/>
    <x v="2"/>
    <x v="0"/>
    <n v="2240"/>
    <s v=" -"/>
    <s v=" -"/>
    <s v=" -"/>
    <s v=" -"/>
    <s v=" -"/>
    <x v="1"/>
    <s v="collectif"/>
    <s v="Existant"/>
    <n v="323"/>
    <s v="E"/>
    <n v="71"/>
    <s v="F"/>
    <m/>
    <n v="46465"/>
    <x v="1"/>
    <x v="1"/>
    <x v="1"/>
    <x v="1"/>
    <x v="1"/>
    <x v="3"/>
    <s v="collectif"/>
    <x v="0"/>
    <n v="100"/>
    <s v="B"/>
    <n v="20"/>
    <s v="C"/>
    <n v="16321"/>
    <n v="0.69040247678018574"/>
    <x v="101"/>
    <n v="0.64874636823415477"/>
  </r>
  <r>
    <n v="45"/>
    <x v="2"/>
    <x v="0"/>
    <n v="2240"/>
    <s v=" -"/>
    <s v=" -"/>
    <s v=" -"/>
    <s v=" -"/>
    <s v=" -"/>
    <x v="1"/>
    <s v="collectif"/>
    <s v="Existant"/>
    <n v="323"/>
    <s v="E"/>
    <n v="71"/>
    <s v="F"/>
    <m/>
    <n v="46465"/>
    <x v="1"/>
    <x v="1"/>
    <x v="1"/>
    <x v="1"/>
    <x v="1"/>
    <x v="4"/>
    <s v="collectif"/>
    <x v="0"/>
    <n v="108.92641964285714"/>
    <s v="B"/>
    <n v="10.298469776785716"/>
    <s v="B"/>
    <s v=" -"/>
    <n v="0.66276650265369308"/>
    <x v="102"/>
    <e v="#VALUE!"/>
  </r>
  <r>
    <n v="1070"/>
    <x v="2"/>
    <x v="0"/>
    <n v="2240"/>
    <s v=" -"/>
    <s v=" -"/>
    <s v=" -"/>
    <s v=" -"/>
    <s v=" -"/>
    <x v="1"/>
    <s v="collectif"/>
    <s v="Existant"/>
    <n v="323"/>
    <s v="E"/>
    <n v="71"/>
    <s v="F"/>
    <m/>
    <n v="46465"/>
    <x v="1"/>
    <x v="1"/>
    <x v="1"/>
    <x v="1"/>
    <x v="1"/>
    <x v="5"/>
    <s v="collectif"/>
    <x v="0"/>
    <n v="104"/>
    <s v="B"/>
    <n v="3"/>
    <s v="A"/>
    <n v="17994"/>
    <n v="0.67801857585139313"/>
    <x v="103"/>
    <n v="0.61274077262455606"/>
  </r>
  <r>
    <n v="1723"/>
    <x v="2"/>
    <x v="1"/>
    <n v="2240"/>
    <s v=" -"/>
    <s v=" -"/>
    <s v=" -"/>
    <s v=" -"/>
    <s v=" -"/>
    <x v="1"/>
    <s v="collectif"/>
    <s v="Existant"/>
    <n v="294"/>
    <s v="E"/>
    <n v="65"/>
    <s v="E"/>
    <m/>
    <n v="42355"/>
    <x v="1"/>
    <x v="1"/>
    <x v="1"/>
    <x v="1"/>
    <x v="1"/>
    <x v="2"/>
    <s v="collectif"/>
    <x v="1"/>
    <n v="129"/>
    <s v="C"/>
    <n v="26"/>
    <s v="C"/>
    <n v="20115"/>
    <n v="0.56122448979591832"/>
    <x v="85"/>
    <n v="0.52508558611734146"/>
  </r>
  <r>
    <n v="156"/>
    <x v="2"/>
    <x v="1"/>
    <n v="2240"/>
    <s v=" -"/>
    <s v=" -"/>
    <s v=" -"/>
    <s v=" -"/>
    <s v=" -"/>
    <x v="1"/>
    <s v="collectif"/>
    <s v="Existant"/>
    <n v="294"/>
    <s v="E"/>
    <n v="65"/>
    <s v="E"/>
    <m/>
    <n v="42355"/>
    <x v="0"/>
    <x v="0"/>
    <x v="0"/>
    <x v="0"/>
    <x v="0"/>
    <x v="2"/>
    <s v="collectif"/>
    <x v="0"/>
    <n v="259"/>
    <s v="E"/>
    <n v="57"/>
    <s v="E"/>
    <n v="37456"/>
    <n v="0.11904761904761904"/>
    <x v="104"/>
    <n v="0.11566521071892338"/>
  </r>
  <r>
    <n v="154"/>
    <x v="2"/>
    <x v="1"/>
    <n v="2240"/>
    <s v=" -"/>
    <s v=" -"/>
    <s v=" -"/>
    <s v=" -"/>
    <s v=" -"/>
    <x v="1"/>
    <s v="collectif"/>
    <s v="Existant"/>
    <n v="294"/>
    <s v="E"/>
    <n v="65"/>
    <s v="E"/>
    <m/>
    <n v="42355"/>
    <x v="0"/>
    <x v="0"/>
    <x v="0"/>
    <x v="0"/>
    <x v="0"/>
    <x v="3"/>
    <s v="collectif"/>
    <x v="0"/>
    <n v="238"/>
    <s v="D"/>
    <n v="52"/>
    <s v="E"/>
    <n v="34639"/>
    <n v="0.19047619047619047"/>
    <x v="50"/>
    <n v="0.18217447762955968"/>
  </r>
  <r>
    <m/>
    <x v="2"/>
    <x v="1"/>
    <n v="2240"/>
    <s v=" -"/>
    <s v=" -"/>
    <s v=" -"/>
    <s v=" -"/>
    <s v=" -"/>
    <x v="1"/>
    <s v="collectif"/>
    <s v="Existant"/>
    <n v="294"/>
    <s v="E"/>
    <n v="65"/>
    <s v="E"/>
    <m/>
    <n v="42355"/>
    <x v="0"/>
    <x v="0"/>
    <x v="0"/>
    <x v="0"/>
    <x v="0"/>
    <x v="7"/>
    <s v="collectif"/>
    <x v="0"/>
    <n v="217"/>
    <s v="D"/>
    <n v="22"/>
    <s v="C"/>
    <s v=" -"/>
    <n v="0.26190476190476192"/>
    <x v="105"/>
    <e v="#VALUE!"/>
  </r>
  <r>
    <n v="1090"/>
    <x v="2"/>
    <x v="1"/>
    <n v="2240"/>
    <s v=" -"/>
    <s v=" -"/>
    <s v=" -"/>
    <s v=" -"/>
    <s v=" -"/>
    <x v="1"/>
    <s v="collectif"/>
    <s v="Existant"/>
    <n v="294"/>
    <s v="E"/>
    <n v="65"/>
    <s v="E"/>
    <m/>
    <n v="42355"/>
    <x v="0"/>
    <x v="0"/>
    <x v="0"/>
    <x v="0"/>
    <x v="0"/>
    <x v="5"/>
    <s v="collectif"/>
    <x v="0"/>
    <n v="222"/>
    <s v="D"/>
    <n v="7"/>
    <s v="B"/>
    <n v="35776"/>
    <n v="0.24489795918367346"/>
    <x v="106"/>
    <n v="0.15532994923857868"/>
  </r>
  <r>
    <n v="157"/>
    <x v="2"/>
    <x v="1"/>
    <n v="2240"/>
    <s v=" -"/>
    <s v=" -"/>
    <s v=" -"/>
    <s v=" -"/>
    <s v=" -"/>
    <x v="1"/>
    <s v="collectif"/>
    <s v="Existant"/>
    <n v="294"/>
    <s v="E"/>
    <n v="65"/>
    <s v="E"/>
    <m/>
    <n v="42355"/>
    <x v="1"/>
    <x v="1"/>
    <x v="1"/>
    <x v="1"/>
    <x v="1"/>
    <x v="2"/>
    <s v="collectif"/>
    <x v="0"/>
    <n v="108"/>
    <s v="B"/>
    <n v="22"/>
    <s v="C"/>
    <n v="17273"/>
    <n v="0.63265306122448983"/>
    <x v="105"/>
    <n v="0.59218510211309172"/>
  </r>
  <r>
    <n v="155"/>
    <x v="2"/>
    <x v="1"/>
    <n v="2240"/>
    <s v=" -"/>
    <s v=" -"/>
    <s v=" -"/>
    <s v=" -"/>
    <s v=" -"/>
    <x v="1"/>
    <s v="collectif"/>
    <s v="Existant"/>
    <n v="294"/>
    <s v="E"/>
    <n v="65"/>
    <s v="E"/>
    <m/>
    <n v="42355"/>
    <x v="1"/>
    <x v="1"/>
    <x v="1"/>
    <x v="1"/>
    <x v="1"/>
    <x v="3"/>
    <s v="collectif"/>
    <x v="0"/>
    <n v="87"/>
    <s v="B"/>
    <n v="17"/>
    <s v="C"/>
    <n v="14527"/>
    <n v="0.70408163265306123"/>
    <x v="107"/>
    <n v="0.65701806162200449"/>
  </r>
  <r>
    <n v="178"/>
    <x v="2"/>
    <x v="1"/>
    <n v="2240"/>
    <s v=" -"/>
    <s v=" -"/>
    <s v=" -"/>
    <s v=" -"/>
    <s v=" -"/>
    <x v="1"/>
    <s v="collectif"/>
    <s v="Existant"/>
    <n v="294"/>
    <s v="E"/>
    <n v="65"/>
    <s v="E"/>
    <m/>
    <n v="42355"/>
    <x v="1"/>
    <x v="1"/>
    <x v="1"/>
    <x v="1"/>
    <x v="1"/>
    <x v="4"/>
    <s v="collectif"/>
    <x v="0"/>
    <n v="100.13768973214285"/>
    <s v="B"/>
    <n v="9.5541227678571445"/>
    <s v="B"/>
    <s v=" -"/>
    <n v="0.65939561315597661"/>
    <x v="108"/>
    <e v="#VALUE!"/>
  </r>
  <r>
    <n v="1091"/>
    <x v="2"/>
    <x v="1"/>
    <n v="2240"/>
    <s v=" -"/>
    <s v=" -"/>
    <s v=" -"/>
    <s v=" -"/>
    <s v=" -"/>
    <x v="1"/>
    <s v="collectif"/>
    <s v="Existant"/>
    <n v="294"/>
    <s v="E"/>
    <n v="65"/>
    <s v="E"/>
    <m/>
    <n v="42355"/>
    <x v="1"/>
    <x v="1"/>
    <x v="1"/>
    <x v="1"/>
    <x v="1"/>
    <x v="5"/>
    <s v="collectif"/>
    <x v="0"/>
    <n v="95"/>
    <s v="B"/>
    <n v="2"/>
    <s v="A"/>
    <n v="16636"/>
    <n v="0.6768707482993197"/>
    <x v="109"/>
    <n v="0.60722464880179439"/>
  </r>
  <r>
    <n v="1724"/>
    <x v="2"/>
    <x v="2"/>
    <n v="2240"/>
    <s v=" -"/>
    <s v=" -"/>
    <s v=" -"/>
    <s v=" -"/>
    <s v=" -"/>
    <x v="1"/>
    <s v="collectif"/>
    <s v="Existant"/>
    <n v="198"/>
    <s v="D"/>
    <n v="43"/>
    <s v="D"/>
    <m/>
    <n v="28871"/>
    <x v="1"/>
    <x v="1"/>
    <x v="1"/>
    <x v="1"/>
    <x v="1"/>
    <x v="2"/>
    <s v="collectif"/>
    <x v="1"/>
    <n v="91"/>
    <s v="B"/>
    <n v="18"/>
    <s v="C"/>
    <n v="14804"/>
    <n v="0.54040404040404044"/>
    <x v="110"/>
    <n v="0.48723632711024906"/>
  </r>
  <r>
    <n v="252"/>
    <x v="2"/>
    <x v="2"/>
    <n v="2240"/>
    <s v=" -"/>
    <s v=" -"/>
    <s v=" -"/>
    <s v=" -"/>
    <s v=" -"/>
    <x v="1"/>
    <s v="collectif"/>
    <s v="Existant"/>
    <n v="198"/>
    <s v="D"/>
    <n v="43"/>
    <s v="D"/>
    <m/>
    <n v="28871"/>
    <x v="0"/>
    <x v="0"/>
    <x v="0"/>
    <x v="0"/>
    <x v="0"/>
    <x v="2"/>
    <s v="collectif"/>
    <x v="0"/>
    <n v="173"/>
    <s v="C"/>
    <n v="37"/>
    <s v="D"/>
    <n v="25442"/>
    <n v="0.12626262626262627"/>
    <x v="111"/>
    <n v="0.11876969969865955"/>
  </r>
  <r>
    <n v="250"/>
    <x v="2"/>
    <x v="2"/>
    <n v="2240"/>
    <s v=" -"/>
    <s v=" -"/>
    <s v=" -"/>
    <s v=" -"/>
    <s v=" -"/>
    <x v="1"/>
    <s v="collectif"/>
    <s v="Existant"/>
    <n v="198"/>
    <s v="D"/>
    <n v="43"/>
    <s v="D"/>
    <m/>
    <n v="28871"/>
    <x v="0"/>
    <x v="0"/>
    <x v="0"/>
    <x v="0"/>
    <x v="0"/>
    <x v="3"/>
    <s v="collectif"/>
    <x v="0"/>
    <n v="150"/>
    <s v="C"/>
    <n v="32"/>
    <s v="D"/>
    <n v="22307"/>
    <n v="0.24242424242424243"/>
    <x v="112"/>
    <n v="0.22735617055176474"/>
  </r>
  <r>
    <e v="#N/A"/>
    <x v="2"/>
    <x v="2"/>
    <n v="2240"/>
    <s v=" -"/>
    <s v=" -"/>
    <s v=" -"/>
    <s v=" -"/>
    <s v=" -"/>
    <x v="1"/>
    <s v="collectif"/>
    <s v="Existant"/>
    <n v="198"/>
    <s v="D"/>
    <n v="43"/>
    <s v="D"/>
    <m/>
    <n v="28871"/>
    <x v="0"/>
    <x v="0"/>
    <x v="0"/>
    <x v="0"/>
    <x v="0"/>
    <x v="7"/>
    <s v="collectif"/>
    <x v="0"/>
    <n v="137"/>
    <s v="C"/>
    <n v="14"/>
    <s v="C"/>
    <s v=" -"/>
    <n v="0.30808080808080807"/>
    <x v="113"/>
    <e v="#VALUE!"/>
  </r>
  <r>
    <n v="1111"/>
    <x v="2"/>
    <x v="2"/>
    <n v="2240"/>
    <s v=" -"/>
    <s v=" -"/>
    <s v=" -"/>
    <s v=" -"/>
    <s v=" -"/>
    <x v="1"/>
    <s v="collectif"/>
    <s v="Existant"/>
    <n v="198"/>
    <s v="D"/>
    <n v="43"/>
    <s v="D"/>
    <m/>
    <n v="28871"/>
    <x v="0"/>
    <x v="0"/>
    <x v="0"/>
    <x v="0"/>
    <x v="0"/>
    <x v="5"/>
    <s v="collectif"/>
    <x v="0"/>
    <n v="132"/>
    <s v="C"/>
    <n v="4"/>
    <s v="A"/>
    <n v="21570"/>
    <n v="0.33333333333333331"/>
    <x v="114"/>
    <n v="0.25288351633126666"/>
  </r>
  <r>
    <n v="253"/>
    <x v="2"/>
    <x v="2"/>
    <n v="2240"/>
    <s v=" -"/>
    <s v=" -"/>
    <s v=" -"/>
    <s v=" -"/>
    <s v=" -"/>
    <x v="1"/>
    <s v="collectif"/>
    <s v="Existant"/>
    <n v="198"/>
    <s v="D"/>
    <n v="43"/>
    <s v="D"/>
    <m/>
    <n v="28871"/>
    <x v="1"/>
    <x v="1"/>
    <x v="1"/>
    <x v="1"/>
    <x v="1"/>
    <x v="2"/>
    <s v="collectif"/>
    <x v="0"/>
    <n v="78"/>
    <s v="B"/>
    <n v="15"/>
    <s v="C"/>
    <n v="13057"/>
    <n v="0.60606060606060608"/>
    <x v="115"/>
    <n v="0.5477468740258391"/>
  </r>
  <r>
    <n v="251"/>
    <x v="2"/>
    <x v="2"/>
    <n v="2240"/>
    <s v=" -"/>
    <s v=" -"/>
    <s v=" -"/>
    <s v=" -"/>
    <s v=" -"/>
    <x v="1"/>
    <s v="collectif"/>
    <s v="Existant"/>
    <n v="198"/>
    <s v="D"/>
    <n v="43"/>
    <s v="D"/>
    <m/>
    <n v="28871"/>
    <x v="1"/>
    <x v="1"/>
    <x v="1"/>
    <x v="1"/>
    <x v="1"/>
    <x v="3"/>
    <s v="collectif"/>
    <x v="0"/>
    <n v="55"/>
    <s v="A"/>
    <n v="10"/>
    <s v="B"/>
    <n v="9922"/>
    <n v="0.72222222222222221"/>
    <x v="116"/>
    <n v="0.65633334487894424"/>
  </r>
  <r>
    <n v="274"/>
    <x v="2"/>
    <x v="2"/>
    <n v="2240"/>
    <s v=" -"/>
    <s v=" -"/>
    <s v=" -"/>
    <s v=" -"/>
    <s v=" -"/>
    <x v="1"/>
    <s v="collectif"/>
    <s v="Existant"/>
    <n v="198"/>
    <s v="D"/>
    <n v="43"/>
    <s v="D"/>
    <m/>
    <n v="28871"/>
    <x v="1"/>
    <x v="1"/>
    <x v="1"/>
    <x v="1"/>
    <x v="1"/>
    <x v="6"/>
    <s v="collectif"/>
    <x v="0"/>
    <n v="68.880783482142846"/>
    <s v="A"/>
    <n v="7.0915779910714285"/>
    <s v="B"/>
    <s v=" -"/>
    <n v="0.65211725514069274"/>
    <x v="117"/>
    <e v="#VALUE!"/>
  </r>
  <r>
    <n v="1112"/>
    <x v="2"/>
    <x v="2"/>
    <n v="2240"/>
    <s v=" -"/>
    <s v=" -"/>
    <s v=" -"/>
    <s v=" -"/>
    <s v=" -"/>
    <x v="1"/>
    <s v="collectif"/>
    <s v="Existant"/>
    <n v="198"/>
    <s v="D"/>
    <n v="43"/>
    <s v="D"/>
    <m/>
    <n v="28871"/>
    <x v="1"/>
    <x v="1"/>
    <x v="1"/>
    <x v="1"/>
    <x v="1"/>
    <x v="5"/>
    <s v="collectif"/>
    <x v="0"/>
    <n v="62"/>
    <s v="A"/>
    <n v="1"/>
    <s v="A"/>
    <n v="11383"/>
    <n v="0.68686868686868685"/>
    <x v="118"/>
    <n v="0.60572893214644452"/>
  </r>
  <r>
    <n v="5"/>
    <x v="3"/>
    <x v="0"/>
    <n v="6530"/>
    <s v=" -"/>
    <s v=" -"/>
    <s v=" -"/>
    <s v=" -"/>
    <s v=" -"/>
    <x v="0"/>
    <s v="Indiv"/>
    <s v="Existant"/>
    <n v="284"/>
    <s v="E"/>
    <n v="62"/>
    <s v="E"/>
    <m/>
    <n v="143747"/>
    <x v="0"/>
    <x v="0"/>
    <x v="0"/>
    <x v="0"/>
    <x v="0"/>
    <x v="0"/>
    <s v="Indiv"/>
    <x v="0"/>
    <n v="236"/>
    <s v="D"/>
    <n v="51"/>
    <s v="E"/>
    <n v="123566"/>
    <n v="0.16901408450704225"/>
    <x v="119"/>
    <n v="0.14039249514772481"/>
  </r>
  <r>
    <n v="8"/>
    <x v="3"/>
    <x v="0"/>
    <n v="6530"/>
    <s v=" -"/>
    <s v=" -"/>
    <s v=" -"/>
    <s v=" -"/>
    <s v=" -"/>
    <x v="0"/>
    <s v="Indiv"/>
    <s v="Existant"/>
    <n v="284"/>
    <s v="E"/>
    <n v="62"/>
    <s v="E"/>
    <m/>
    <n v="143747"/>
    <x v="0"/>
    <x v="0"/>
    <x v="0"/>
    <x v="0"/>
    <x v="0"/>
    <x v="1"/>
    <s v="Indiv"/>
    <x v="0"/>
    <n v="216"/>
    <s v="D"/>
    <n v="44"/>
    <s v="D"/>
    <n v="120837"/>
    <n v="0.23943661971830985"/>
    <x v="120"/>
    <n v="0.15937723917716543"/>
  </r>
  <r>
    <n v="7"/>
    <x v="3"/>
    <x v="0"/>
    <n v="6530"/>
    <s v=" -"/>
    <s v=" -"/>
    <s v=" -"/>
    <s v=" -"/>
    <s v=" -"/>
    <x v="0"/>
    <s v="Indiv"/>
    <s v="Existant"/>
    <n v="284"/>
    <s v="E"/>
    <n v="62"/>
    <s v="E"/>
    <m/>
    <n v="143747"/>
    <x v="1"/>
    <x v="1"/>
    <x v="1"/>
    <x v="1"/>
    <x v="1"/>
    <x v="0"/>
    <s v="Indiv"/>
    <x v="0"/>
    <n v="99"/>
    <s v="B"/>
    <n v="19"/>
    <s v="C"/>
    <n v="67458"/>
    <n v="0.65140845070422537"/>
    <x v="121"/>
    <n v="0.53071716279296266"/>
  </r>
  <r>
    <n v="6"/>
    <x v="3"/>
    <x v="0"/>
    <n v="6530"/>
    <s v=" -"/>
    <s v=" -"/>
    <s v=" -"/>
    <s v=" -"/>
    <s v=" -"/>
    <x v="0"/>
    <s v="Indiv"/>
    <s v="Existant"/>
    <n v="284"/>
    <s v="E"/>
    <n v="62"/>
    <s v="E"/>
    <m/>
    <n v="143747"/>
    <x v="1"/>
    <x v="1"/>
    <x v="1"/>
    <x v="1"/>
    <x v="1"/>
    <x v="0"/>
    <s v="Indiv"/>
    <x v="1"/>
    <n v="128"/>
    <s v="C"/>
    <n v="25"/>
    <s v="C"/>
    <n v="79377"/>
    <n v="0.54929577464788737"/>
    <x v="122"/>
    <n v="0.44780064975269052"/>
  </r>
  <r>
    <n v="9"/>
    <x v="3"/>
    <x v="0"/>
    <n v="6530"/>
    <s v=" -"/>
    <s v=" -"/>
    <s v=" -"/>
    <s v=" -"/>
    <s v=" -"/>
    <x v="0"/>
    <s v="Indiv"/>
    <s v="Existant"/>
    <n v="284"/>
    <s v="E"/>
    <n v="62"/>
    <s v="E"/>
    <m/>
    <n v="143747"/>
    <x v="1"/>
    <x v="1"/>
    <x v="1"/>
    <x v="1"/>
    <x v="1"/>
    <x v="1"/>
    <s v="Indiv"/>
    <x v="0"/>
    <n v="79"/>
    <s v="B"/>
    <n v="11"/>
    <s v="C"/>
    <n v="56087"/>
    <n v="0.721830985915493"/>
    <x v="123"/>
    <n v="0.60982142236011883"/>
  </r>
  <r>
    <n v="1140"/>
    <x v="3"/>
    <x v="1"/>
    <n v="6530"/>
    <s v=" -"/>
    <s v=" -"/>
    <s v=" -"/>
    <s v=" -"/>
    <s v=" -"/>
    <x v="0"/>
    <s v="Indiv"/>
    <s v="Existant"/>
    <n v="257"/>
    <s v="E"/>
    <n v="56"/>
    <s v="E"/>
    <m/>
    <n v="132389"/>
    <x v="0"/>
    <x v="0"/>
    <x v="0"/>
    <x v="0"/>
    <x v="0"/>
    <x v="0"/>
    <s v="Indiv"/>
    <x v="0"/>
    <n v="214"/>
    <s v="D"/>
    <n v="46"/>
    <s v="D"/>
    <n v="113965"/>
    <n v="0.16731517509727625"/>
    <x v="124"/>
    <n v="0.13916564064990294"/>
  </r>
  <r>
    <n v="1143"/>
    <x v="3"/>
    <x v="1"/>
    <n v="6530"/>
    <s v=" -"/>
    <s v=" -"/>
    <s v=" -"/>
    <s v=" -"/>
    <s v=" -"/>
    <x v="0"/>
    <s v="Indiv"/>
    <s v="Existant"/>
    <n v="257"/>
    <s v="E"/>
    <n v="56"/>
    <s v="E"/>
    <m/>
    <n v="132389"/>
    <x v="0"/>
    <x v="0"/>
    <x v="0"/>
    <x v="0"/>
    <x v="0"/>
    <x v="1"/>
    <s v="Indiv"/>
    <x v="0"/>
    <n v="194"/>
    <s v="D"/>
    <n v="39"/>
    <s v="D"/>
    <n v="111248"/>
    <n v="0.24513618677042801"/>
    <x v="125"/>
    <n v="0.1596884937570342"/>
  </r>
  <r>
    <n v="1142"/>
    <x v="3"/>
    <x v="1"/>
    <n v="6530"/>
    <s v=" -"/>
    <s v=" -"/>
    <s v=" -"/>
    <s v=" -"/>
    <s v=" -"/>
    <x v="0"/>
    <s v="Indiv"/>
    <s v="Existant"/>
    <n v="257"/>
    <s v="E"/>
    <n v="56"/>
    <s v="E"/>
    <m/>
    <n v="132389"/>
    <x v="1"/>
    <x v="1"/>
    <x v="1"/>
    <x v="1"/>
    <x v="1"/>
    <x v="0"/>
    <s v="Indiv"/>
    <x v="0"/>
    <n v="91"/>
    <s v="B"/>
    <n v="17"/>
    <s v="C"/>
    <n v="63152"/>
    <n v="0.64591439688715957"/>
    <x v="126"/>
    <n v="0.52298151659125758"/>
  </r>
  <r>
    <n v="1141"/>
    <x v="3"/>
    <x v="1"/>
    <n v="6530"/>
    <s v=" -"/>
    <s v=" -"/>
    <s v=" -"/>
    <s v=" -"/>
    <s v=" -"/>
    <x v="0"/>
    <s v="Indiv"/>
    <s v="Existant"/>
    <n v="257"/>
    <s v="E"/>
    <n v="56"/>
    <s v="E"/>
    <m/>
    <n v="132389"/>
    <x v="1"/>
    <x v="1"/>
    <x v="1"/>
    <x v="1"/>
    <x v="1"/>
    <x v="0"/>
    <s v="Indiv"/>
    <x v="1"/>
    <n v="116"/>
    <s v="C"/>
    <n v="23"/>
    <s v="C"/>
    <n v="74712"/>
    <n v="0.54863813229571989"/>
    <x v="55"/>
    <n v="0.43566308379094942"/>
  </r>
  <r>
    <n v="1144"/>
    <x v="3"/>
    <x v="1"/>
    <n v="6530"/>
    <s v=" -"/>
    <s v=" -"/>
    <s v=" -"/>
    <s v=" -"/>
    <s v=" -"/>
    <x v="0"/>
    <s v="Indiv"/>
    <s v="Existant"/>
    <n v="257"/>
    <s v="E"/>
    <n v="56"/>
    <s v="E"/>
    <m/>
    <n v="132389"/>
    <x v="1"/>
    <x v="1"/>
    <x v="1"/>
    <x v="1"/>
    <x v="1"/>
    <x v="1"/>
    <s v="Indiv"/>
    <x v="0"/>
    <n v="72"/>
    <s v="B"/>
    <n v="10"/>
    <s v="B"/>
    <n v="50638"/>
    <n v="0.71984435797665369"/>
    <x v="127"/>
    <n v="0.61750598614688534"/>
  </r>
  <r>
    <n v="1160"/>
    <x v="3"/>
    <x v="2"/>
    <n v="6530"/>
    <s v=" -"/>
    <s v=" -"/>
    <s v=" -"/>
    <s v=" -"/>
    <s v=" -"/>
    <x v="0"/>
    <s v="Indiv"/>
    <s v="Existant"/>
    <n v="175"/>
    <s v="C"/>
    <n v="37"/>
    <s v="D"/>
    <m/>
    <n v="97826"/>
    <x v="0"/>
    <x v="0"/>
    <x v="0"/>
    <x v="0"/>
    <x v="0"/>
    <x v="0"/>
    <s v="Indiv"/>
    <x v="0"/>
    <n v="145"/>
    <s v="C"/>
    <n v="31"/>
    <s v="D"/>
    <n v="85148"/>
    <n v="0.17142857142857143"/>
    <x v="74"/>
    <n v="0.12959744853106536"/>
  </r>
  <r>
    <n v="1163"/>
    <x v="3"/>
    <x v="2"/>
    <n v="6530"/>
    <s v=" -"/>
    <s v=" -"/>
    <s v=" -"/>
    <s v=" -"/>
    <s v=" -"/>
    <x v="0"/>
    <s v="Indiv"/>
    <s v="Existant"/>
    <n v="175"/>
    <s v="C"/>
    <n v="37"/>
    <s v="D"/>
    <m/>
    <n v="97826"/>
    <x v="0"/>
    <x v="0"/>
    <x v="0"/>
    <x v="0"/>
    <x v="0"/>
    <x v="1"/>
    <s v="Indiv"/>
    <x v="0"/>
    <n v="128"/>
    <s v="C"/>
    <n v="24"/>
    <s v="C"/>
    <n v="82890"/>
    <n v="0.26857142857142857"/>
    <x v="128"/>
    <n v="0.15267924682599718"/>
  </r>
  <r>
    <n v="1162"/>
    <x v="3"/>
    <x v="2"/>
    <n v="6530"/>
    <s v=" -"/>
    <s v=" -"/>
    <s v=" -"/>
    <s v=" -"/>
    <s v=" -"/>
    <x v="0"/>
    <s v="Indiv"/>
    <s v="Existant"/>
    <n v="175"/>
    <s v="C"/>
    <n v="37"/>
    <s v="D"/>
    <m/>
    <n v="97826"/>
    <x v="1"/>
    <x v="1"/>
    <x v="1"/>
    <x v="1"/>
    <x v="1"/>
    <x v="0"/>
    <s v="Indiv"/>
    <x v="0"/>
    <n v="65"/>
    <s v="A"/>
    <n v="11"/>
    <s v="C"/>
    <n v="45692"/>
    <n v="0.62857142857142856"/>
    <x v="129"/>
    <n v="0.53292580704516179"/>
  </r>
  <r>
    <n v="1161"/>
    <x v="3"/>
    <x v="2"/>
    <n v="6530"/>
    <s v=" -"/>
    <s v=" -"/>
    <s v=" -"/>
    <s v=" -"/>
    <s v=" -"/>
    <x v="0"/>
    <s v="Indiv"/>
    <s v="Existant"/>
    <n v="175"/>
    <s v="C"/>
    <n v="37"/>
    <s v="D"/>
    <m/>
    <n v="97826"/>
    <x v="1"/>
    <x v="1"/>
    <x v="1"/>
    <x v="1"/>
    <x v="1"/>
    <x v="0"/>
    <s v="Indiv"/>
    <x v="1"/>
    <n v="82"/>
    <s v="B"/>
    <n v="15"/>
    <s v="C"/>
    <n v="57723"/>
    <n v="0.53142857142857147"/>
    <x v="130"/>
    <n v="0.40994214217079306"/>
  </r>
  <r>
    <n v="1164"/>
    <x v="3"/>
    <x v="2"/>
    <n v="6530"/>
    <s v=" -"/>
    <s v=" -"/>
    <s v=" -"/>
    <s v=" -"/>
    <s v=" -"/>
    <x v="0"/>
    <s v="Indiv"/>
    <s v="Existant"/>
    <n v="175"/>
    <s v="C"/>
    <n v="37"/>
    <s v="D"/>
    <m/>
    <n v="97826"/>
    <x v="1"/>
    <x v="1"/>
    <x v="1"/>
    <x v="1"/>
    <x v="1"/>
    <x v="1"/>
    <s v="Indiv"/>
    <x v="0"/>
    <n v="49"/>
    <s v="A"/>
    <n v="5"/>
    <s v="A"/>
    <n v="34910"/>
    <n v="0.72"/>
    <x v="131"/>
    <n v="0.64314190501502666"/>
  </r>
  <r>
    <n v="1603"/>
    <x v="3"/>
    <x v="0"/>
    <n v="6530"/>
    <s v=" -"/>
    <s v=" -"/>
    <s v=" -"/>
    <s v=" -"/>
    <s v=" -"/>
    <x v="1"/>
    <s v="collectif"/>
    <s v="Existant"/>
    <n v="285"/>
    <s v="E"/>
    <n v="62"/>
    <s v="E"/>
    <m/>
    <n v="119204"/>
    <x v="1"/>
    <x v="1"/>
    <x v="1"/>
    <x v="1"/>
    <x v="1"/>
    <x v="2"/>
    <s v="collectif"/>
    <x v="1"/>
    <n v="120"/>
    <s v="C"/>
    <n v="24"/>
    <s v="C"/>
    <n v="55274"/>
    <n v="0.57894736842105265"/>
    <x v="132"/>
    <n v="0.53630750645951475"/>
  </r>
  <r>
    <n v="2"/>
    <x v="3"/>
    <x v="0"/>
    <n v="6530"/>
    <s v=" -"/>
    <s v=" -"/>
    <s v=" -"/>
    <s v=" -"/>
    <s v=" -"/>
    <x v="1"/>
    <s v="collectif"/>
    <s v="Existant"/>
    <n v="285"/>
    <s v="E"/>
    <n v="62"/>
    <s v="E"/>
    <m/>
    <n v="119204"/>
    <x v="0"/>
    <x v="0"/>
    <x v="0"/>
    <x v="0"/>
    <x v="0"/>
    <x v="2"/>
    <s v="collectif"/>
    <x v="0"/>
    <n v="251"/>
    <s v="E"/>
    <n v="55"/>
    <s v="E"/>
    <n v="105591"/>
    <n v="0.11929824561403508"/>
    <x v="133"/>
    <n v="0.1141991879467132"/>
  </r>
  <r>
    <n v="1257"/>
    <x v="3"/>
    <x v="0"/>
    <n v="6530"/>
    <s v=" -"/>
    <s v=" -"/>
    <s v=" -"/>
    <s v=" -"/>
    <s v=" -"/>
    <x v="1"/>
    <s v="collectif"/>
    <s v="Existant"/>
    <n v="285"/>
    <s v="E"/>
    <n v="62"/>
    <s v="E"/>
    <m/>
    <n v="119204"/>
    <x v="0"/>
    <x v="0"/>
    <x v="0"/>
    <x v="0"/>
    <x v="0"/>
    <x v="3"/>
    <s v="collectif"/>
    <x v="0"/>
    <n v="236"/>
    <s v="D"/>
    <n v="51"/>
    <s v="E"/>
    <n v="99504"/>
    <n v="0.17192982456140352"/>
    <x v="119"/>
    <n v="0.16526291064058254"/>
  </r>
  <r>
    <n v="14"/>
    <x v="3"/>
    <x v="0"/>
    <n v="6530"/>
    <s v=" -"/>
    <s v=" -"/>
    <s v=" -"/>
    <s v=" -"/>
    <s v=" -"/>
    <x v="1"/>
    <s v="collectif"/>
    <s v="Existant"/>
    <n v="285"/>
    <s v="E"/>
    <n v="62"/>
    <s v="E"/>
    <m/>
    <n v="119204"/>
    <x v="0"/>
    <x v="0"/>
    <x v="0"/>
    <x v="0"/>
    <x v="0"/>
    <x v="4"/>
    <s v="collectif"/>
    <x v="0"/>
    <n v="224.90288820826953"/>
    <s v="D"/>
    <n v="19.47723436447167"/>
    <s v="C"/>
    <s v=" -"/>
    <n v="0.21086705891835253"/>
    <x v="134"/>
    <e v="#VALUE!"/>
  </r>
  <r>
    <n v="1266"/>
    <x v="3"/>
    <x v="0"/>
    <n v="6530"/>
    <s v=" -"/>
    <s v=" -"/>
    <s v=" -"/>
    <s v=" -"/>
    <s v=" -"/>
    <x v="1"/>
    <s v="collectif"/>
    <s v="Existant"/>
    <n v="285"/>
    <s v="E"/>
    <n v="62"/>
    <s v="E"/>
    <m/>
    <n v="119204"/>
    <x v="0"/>
    <x v="0"/>
    <x v="0"/>
    <x v="0"/>
    <x v="0"/>
    <x v="5"/>
    <s v="collectif"/>
    <x v="0"/>
    <n v="215"/>
    <s v="D"/>
    <n v="7"/>
    <s v="B"/>
    <n v="101044"/>
    <n v="0.24561403508771928"/>
    <x v="135"/>
    <n v="0.15234388107781618"/>
  </r>
  <r>
    <n v="3"/>
    <x v="3"/>
    <x v="0"/>
    <n v="6530"/>
    <s v=" -"/>
    <s v=" -"/>
    <s v=" -"/>
    <s v=" -"/>
    <s v=" -"/>
    <x v="1"/>
    <s v="collectif"/>
    <s v="Existant"/>
    <n v="285"/>
    <s v="E"/>
    <n v="62"/>
    <s v="E"/>
    <m/>
    <n v="119204"/>
    <x v="1"/>
    <x v="1"/>
    <x v="1"/>
    <x v="1"/>
    <x v="1"/>
    <x v="2"/>
    <s v="collectif"/>
    <x v="0"/>
    <n v="108"/>
    <s v="B"/>
    <n v="21"/>
    <s v="C"/>
    <n v="49713"/>
    <n v="0.62105263157894741"/>
    <x v="136"/>
    <n v="0.58295862554947819"/>
  </r>
  <r>
    <n v="1258"/>
    <x v="3"/>
    <x v="0"/>
    <n v="6530"/>
    <s v=" -"/>
    <s v=" -"/>
    <s v=" -"/>
    <s v=" -"/>
    <s v=" -"/>
    <x v="1"/>
    <s v="collectif"/>
    <s v="Existant"/>
    <n v="285"/>
    <s v="E"/>
    <n v="62"/>
    <s v="E"/>
    <m/>
    <n v="119204"/>
    <x v="1"/>
    <x v="1"/>
    <x v="1"/>
    <x v="1"/>
    <x v="1"/>
    <x v="3"/>
    <s v="collectif"/>
    <x v="0"/>
    <n v="93"/>
    <s v="B"/>
    <n v="18"/>
    <s v="C"/>
    <n v="43626"/>
    <n v="0.67368421052631577"/>
    <x v="137"/>
    <n v="0.63402234824334758"/>
  </r>
  <r>
    <n v="16"/>
    <x v="3"/>
    <x v="0"/>
    <n v="6530"/>
    <s v=" -"/>
    <s v=" -"/>
    <s v=" -"/>
    <s v=" -"/>
    <s v=" -"/>
    <x v="1"/>
    <s v="collectif"/>
    <s v="Existant"/>
    <n v="285"/>
    <s v="E"/>
    <n v="62"/>
    <s v="E"/>
    <m/>
    <n v="119204"/>
    <x v="1"/>
    <x v="1"/>
    <x v="1"/>
    <x v="1"/>
    <x v="1"/>
    <x v="4"/>
    <s v="collectif"/>
    <x v="0"/>
    <n v="99.887165390505345"/>
    <s v="B"/>
    <n v="9.1187341041347629"/>
    <s v="B"/>
    <s v=" -"/>
    <n v="0.64951871792805138"/>
    <x v="138"/>
    <e v="#VALUE!"/>
  </r>
  <r>
    <n v="1267"/>
    <x v="3"/>
    <x v="0"/>
    <n v="6530"/>
    <s v=" -"/>
    <s v=" -"/>
    <s v=" -"/>
    <s v=" -"/>
    <s v=" -"/>
    <x v="1"/>
    <s v="collectif"/>
    <s v="Existant"/>
    <n v="285"/>
    <s v="E"/>
    <n v="62"/>
    <s v="E"/>
    <m/>
    <n v="119204"/>
    <x v="1"/>
    <x v="1"/>
    <x v="1"/>
    <x v="1"/>
    <x v="1"/>
    <x v="5"/>
    <s v="collectif"/>
    <x v="0"/>
    <n v="96"/>
    <s v="B"/>
    <n v="3"/>
    <s v="A"/>
    <n v="49385"/>
    <n v="0.66315789473684206"/>
    <x v="139"/>
    <n v="0.5857102110667427"/>
  </r>
  <r>
    <n v="1281"/>
    <x v="3"/>
    <x v="1"/>
    <n v="6530"/>
    <s v=" -"/>
    <s v=" -"/>
    <s v=" -"/>
    <s v=" -"/>
    <s v=" -"/>
    <x v="1"/>
    <s v="collectif"/>
    <s v="Existant"/>
    <n v="257"/>
    <s v="E"/>
    <n v="56"/>
    <s v="E"/>
    <m/>
    <n v="107951"/>
    <x v="1"/>
    <x v="1"/>
    <x v="1"/>
    <x v="1"/>
    <x v="1"/>
    <x v="2"/>
    <s v="collectif"/>
    <x v="1"/>
    <n v="110"/>
    <s v="C"/>
    <n v="22"/>
    <s v="C"/>
    <n v="50925"/>
    <n v="0.57198443579766534"/>
    <x v="140"/>
    <n v="0.52825819121638518"/>
  </r>
  <r>
    <n v="1279"/>
    <x v="3"/>
    <x v="1"/>
    <n v="6530"/>
    <s v=" -"/>
    <s v=" -"/>
    <s v=" -"/>
    <s v=" -"/>
    <s v=" -"/>
    <x v="1"/>
    <s v="collectif"/>
    <s v="Existant"/>
    <n v="257"/>
    <s v="E"/>
    <n v="56"/>
    <s v="E"/>
    <m/>
    <n v="107951"/>
    <x v="0"/>
    <x v="0"/>
    <x v="0"/>
    <x v="0"/>
    <x v="0"/>
    <x v="2"/>
    <s v="collectif"/>
    <x v="0"/>
    <n v="225"/>
    <s v="D"/>
    <n v="49"/>
    <s v="D"/>
    <n v="95153"/>
    <n v="0.1245136186770428"/>
    <x v="141"/>
    <n v="0.11855378829283657"/>
  </r>
  <r>
    <n v="1292"/>
    <x v="3"/>
    <x v="1"/>
    <n v="6530"/>
    <s v=" -"/>
    <s v=" -"/>
    <s v=" -"/>
    <s v=" -"/>
    <s v=" -"/>
    <x v="1"/>
    <s v="collectif"/>
    <s v="Existant"/>
    <n v="257"/>
    <s v="E"/>
    <n v="56"/>
    <s v="E"/>
    <m/>
    <n v="107951"/>
    <x v="0"/>
    <x v="0"/>
    <x v="0"/>
    <x v="0"/>
    <x v="0"/>
    <x v="3"/>
    <s v="collectif"/>
    <x v="0"/>
    <n v="208"/>
    <s v="D"/>
    <n v="45"/>
    <s v="D"/>
    <n v="88026"/>
    <n v="0.19066147859922178"/>
    <x v="142"/>
    <n v="0.1845744828672268"/>
  </r>
  <r>
    <n v="1286"/>
    <x v="3"/>
    <x v="1"/>
    <n v="6530"/>
    <s v=" -"/>
    <s v=" -"/>
    <s v=" -"/>
    <s v=" -"/>
    <s v=" -"/>
    <x v="1"/>
    <s v="collectif"/>
    <s v="Existant"/>
    <n v="257"/>
    <s v="E"/>
    <n v="56"/>
    <s v="E"/>
    <m/>
    <n v="107951"/>
    <x v="0"/>
    <x v="0"/>
    <x v="0"/>
    <x v="0"/>
    <x v="0"/>
    <x v="4"/>
    <s v="collectif"/>
    <x v="0"/>
    <n v="203.02372128637057"/>
    <s v="D"/>
    <n v="17.656010520673814"/>
    <s v="C"/>
    <s v=" -"/>
    <n v="0.21002443079233241"/>
    <x v="143"/>
    <e v="#VALUE!"/>
  </r>
  <r>
    <n v="1301"/>
    <x v="3"/>
    <x v="1"/>
    <n v="6530"/>
    <s v=" -"/>
    <s v=" -"/>
    <s v=" -"/>
    <s v=" -"/>
    <s v=" -"/>
    <x v="1"/>
    <s v="collectif"/>
    <s v="Existant"/>
    <n v="257"/>
    <s v="E"/>
    <n v="56"/>
    <s v="E"/>
    <m/>
    <n v="107951"/>
    <x v="0"/>
    <x v="0"/>
    <x v="0"/>
    <x v="0"/>
    <x v="0"/>
    <x v="5"/>
    <s v="collectif"/>
    <x v="0"/>
    <n v="194"/>
    <s v="D"/>
    <n v="6"/>
    <s v="B"/>
    <n v="91506"/>
    <n v="0.24513618677042801"/>
    <x v="59"/>
    <n v="0.15233763466758066"/>
  </r>
  <r>
    <n v="1280"/>
    <x v="3"/>
    <x v="1"/>
    <n v="6530"/>
    <s v=" -"/>
    <s v=" -"/>
    <s v=" -"/>
    <s v=" -"/>
    <s v=" -"/>
    <x v="1"/>
    <s v="collectif"/>
    <s v="Existant"/>
    <n v="257"/>
    <s v="E"/>
    <n v="56"/>
    <s v="E"/>
    <m/>
    <n v="107951"/>
    <x v="1"/>
    <x v="1"/>
    <x v="1"/>
    <x v="1"/>
    <x v="1"/>
    <x v="2"/>
    <s v="collectif"/>
    <x v="0"/>
    <n v="98"/>
    <s v="B"/>
    <n v="19"/>
    <s v="C"/>
    <n v="46232"/>
    <n v="0.61867704280155644"/>
    <x v="60"/>
    <n v="0.5717316189752758"/>
  </r>
  <r>
    <n v="1293"/>
    <x v="3"/>
    <x v="1"/>
    <n v="6530"/>
    <s v=" -"/>
    <s v=" -"/>
    <s v=" -"/>
    <s v=" -"/>
    <s v=" -"/>
    <x v="1"/>
    <s v="collectif"/>
    <s v="Existant"/>
    <n v="257"/>
    <s v="E"/>
    <n v="56"/>
    <s v="E"/>
    <m/>
    <n v="107951"/>
    <x v="1"/>
    <x v="1"/>
    <x v="1"/>
    <x v="1"/>
    <x v="1"/>
    <x v="3"/>
    <s v="collectif"/>
    <x v="0"/>
    <n v="81"/>
    <s v="B"/>
    <n v="15"/>
    <s v="C"/>
    <n v="38770"/>
    <n v="0.68482490272373542"/>
    <x v="61"/>
    <n v="0.64085557336198828"/>
  </r>
  <r>
    <e v="#N/A"/>
    <x v="3"/>
    <x v="1"/>
    <n v="6530"/>
    <s v=" -"/>
    <s v=" -"/>
    <s v=" -"/>
    <s v=" -"/>
    <s v=" -"/>
    <x v="1"/>
    <s v="collectif"/>
    <s v="Existant"/>
    <n v="257"/>
    <s v="E"/>
    <n v="56"/>
    <s v="E"/>
    <m/>
    <n v="107951"/>
    <x v="1"/>
    <x v="1"/>
    <x v="1"/>
    <x v="1"/>
    <x v="1"/>
    <x v="4"/>
    <s v="collectif"/>
    <x v="0"/>
    <e v="#N/A"/>
    <e v="#N/A"/>
    <e v="#N/A"/>
    <e v="#N/A"/>
    <e v="#N/A"/>
    <e v="#N/A"/>
    <x v="144"/>
    <e v="#N/A"/>
  </r>
  <r>
    <n v="1302"/>
    <x v="3"/>
    <x v="1"/>
    <n v="6530"/>
    <s v=" -"/>
    <s v=" -"/>
    <s v=" -"/>
    <s v=" -"/>
    <s v=" -"/>
    <x v="1"/>
    <s v="collectif"/>
    <s v="Existant"/>
    <n v="257"/>
    <s v="E"/>
    <n v="56"/>
    <s v="E"/>
    <m/>
    <n v="107951"/>
    <x v="1"/>
    <x v="1"/>
    <x v="1"/>
    <x v="1"/>
    <x v="1"/>
    <x v="5"/>
    <s v="collectif"/>
    <x v="0"/>
    <n v="88"/>
    <s v="B"/>
    <n v="2"/>
    <s v="A"/>
    <n v="45627"/>
    <n v="0.65758754863813229"/>
    <x v="63"/>
    <n v="0.57733601356170861"/>
  </r>
  <r>
    <n v="1317"/>
    <x v="3"/>
    <x v="2"/>
    <n v="6530"/>
    <s v=" -"/>
    <s v=" -"/>
    <s v=" -"/>
    <s v=" -"/>
    <s v=" -"/>
    <x v="1"/>
    <s v="collectif"/>
    <s v="Existant"/>
    <n v="176"/>
    <s v="C"/>
    <n v="38"/>
    <s v="D"/>
    <m/>
    <n v="74562"/>
    <x v="1"/>
    <x v="1"/>
    <x v="1"/>
    <x v="1"/>
    <x v="1"/>
    <x v="2"/>
    <s v="collectif"/>
    <x v="1"/>
    <n v="80"/>
    <s v="B"/>
    <n v="15"/>
    <s v="C"/>
    <n v="38457"/>
    <n v="0.54545454545454541"/>
    <x v="145"/>
    <n v="0.48422789088275531"/>
  </r>
  <r>
    <n v="1314"/>
    <x v="3"/>
    <x v="2"/>
    <n v="6530"/>
    <s v=" -"/>
    <s v=" -"/>
    <s v=" -"/>
    <s v=" -"/>
    <s v=" -"/>
    <x v="1"/>
    <s v="collectif"/>
    <s v="Existant"/>
    <n v="176"/>
    <s v="C"/>
    <n v="38"/>
    <s v="D"/>
    <m/>
    <n v="74562"/>
    <x v="0"/>
    <x v="0"/>
    <x v="0"/>
    <x v="0"/>
    <x v="0"/>
    <x v="2"/>
    <s v="collectif"/>
    <x v="0"/>
    <n v="154"/>
    <s v="C"/>
    <n v="33"/>
    <s v="D"/>
    <n v="65633"/>
    <n v="0.125"/>
    <x v="146"/>
    <n v="0.11975268903731123"/>
  </r>
  <r>
    <n v="1327"/>
    <x v="3"/>
    <x v="2"/>
    <n v="6530"/>
    <s v=" -"/>
    <s v=" -"/>
    <s v=" -"/>
    <s v=" -"/>
    <s v=" -"/>
    <x v="1"/>
    <s v="collectif"/>
    <s v="Existant"/>
    <n v="176"/>
    <s v="C"/>
    <n v="38"/>
    <s v="D"/>
    <m/>
    <n v="74562"/>
    <x v="0"/>
    <x v="0"/>
    <x v="0"/>
    <x v="0"/>
    <x v="0"/>
    <x v="3"/>
    <s v="collectif"/>
    <x v="0"/>
    <n v="134"/>
    <s v="C"/>
    <n v="29"/>
    <s v="C"/>
    <n v="57744"/>
    <n v="0.23863636363636365"/>
    <x v="147"/>
    <n v="0.22555725436549448"/>
  </r>
  <r>
    <n v="1321"/>
    <x v="3"/>
    <x v="2"/>
    <n v="6530"/>
    <s v=" -"/>
    <s v=" -"/>
    <s v=" -"/>
    <s v=" -"/>
    <s v=" -"/>
    <x v="1"/>
    <s v="collectif"/>
    <s v="Existant"/>
    <n v="176"/>
    <s v="C"/>
    <n v="38"/>
    <s v="D"/>
    <m/>
    <n v="74562"/>
    <x v="0"/>
    <x v="0"/>
    <x v="0"/>
    <x v="0"/>
    <x v="0"/>
    <x v="6"/>
    <s v="collectif"/>
    <x v="0"/>
    <n v="128.0907488514548"/>
    <s v="C"/>
    <n v="12.026225329249618"/>
    <s v="C"/>
    <s v=" -"/>
    <n v="0.27221165425309768"/>
    <x v="148"/>
    <e v="#VALUE!"/>
  </r>
  <r>
    <n v="1336"/>
    <x v="3"/>
    <x v="2"/>
    <n v="6530"/>
    <s v=" -"/>
    <s v=" -"/>
    <s v=" -"/>
    <s v=" -"/>
    <s v=" -"/>
    <x v="1"/>
    <s v="collectif"/>
    <s v="Existant"/>
    <n v="176"/>
    <s v="C"/>
    <n v="38"/>
    <s v="D"/>
    <m/>
    <n v="74562"/>
    <x v="0"/>
    <x v="0"/>
    <x v="0"/>
    <x v="0"/>
    <x v="0"/>
    <x v="5"/>
    <s v="collectif"/>
    <x v="0"/>
    <n v="118"/>
    <s v="C"/>
    <n v="3"/>
    <s v="A"/>
    <n v="56402"/>
    <n v="0.32954545454545453"/>
    <x v="149"/>
    <n v="0.24355569861323462"/>
  </r>
  <r>
    <n v="1315"/>
    <x v="3"/>
    <x v="2"/>
    <n v="6530"/>
    <s v=" -"/>
    <s v=" -"/>
    <s v=" -"/>
    <s v=" -"/>
    <s v=" -"/>
    <x v="1"/>
    <s v="collectif"/>
    <s v="Existant"/>
    <n v="176"/>
    <s v="C"/>
    <n v="38"/>
    <s v="D"/>
    <m/>
    <n v="74562"/>
    <x v="1"/>
    <x v="1"/>
    <x v="1"/>
    <x v="1"/>
    <x v="1"/>
    <x v="2"/>
    <s v="collectif"/>
    <x v="0"/>
    <n v="72"/>
    <s v="B"/>
    <n v="13"/>
    <s v="C"/>
    <n v="35210"/>
    <n v="0.59090909090909094"/>
    <x v="150"/>
    <n v="0.52777554250154235"/>
  </r>
  <r>
    <n v="1328"/>
    <x v="3"/>
    <x v="2"/>
    <n v="6530"/>
    <s v=" -"/>
    <s v=" -"/>
    <s v=" -"/>
    <s v=" -"/>
    <s v=" -"/>
    <x v="1"/>
    <s v="collectif"/>
    <s v="Existant"/>
    <n v="176"/>
    <s v="C"/>
    <n v="38"/>
    <s v="D"/>
    <m/>
    <n v="74562"/>
    <x v="1"/>
    <x v="1"/>
    <x v="1"/>
    <x v="1"/>
    <x v="1"/>
    <x v="3"/>
    <s v="collectif"/>
    <x v="0"/>
    <n v="52"/>
    <s v="A"/>
    <n v="9"/>
    <s v="B"/>
    <n v="27040"/>
    <n v="0.70454545454545459"/>
    <x v="151"/>
    <n v="0.63734878356267266"/>
  </r>
  <r>
    <n v="1323"/>
    <x v="3"/>
    <x v="2"/>
    <n v="6530"/>
    <s v=" -"/>
    <s v=" -"/>
    <s v=" -"/>
    <s v=" -"/>
    <s v=" -"/>
    <x v="1"/>
    <s v="collectif"/>
    <s v="Existant"/>
    <n v="176"/>
    <s v="C"/>
    <n v="38"/>
    <s v="D"/>
    <m/>
    <n v="74562"/>
    <x v="1"/>
    <x v="1"/>
    <x v="1"/>
    <x v="1"/>
    <x v="1"/>
    <x v="6"/>
    <s v="collectif"/>
    <x v="0"/>
    <n v="65.386378254211323"/>
    <s v="A"/>
    <n v="6.2961628483920373"/>
    <s v="B"/>
    <s v=" -"/>
    <n v="0.62848648719198108"/>
    <x v="152"/>
    <e v="#VALUE!"/>
  </r>
  <r>
    <n v="1337"/>
    <x v="3"/>
    <x v="2"/>
    <n v="6530"/>
    <s v=" -"/>
    <s v=" -"/>
    <s v=" -"/>
    <s v=" -"/>
    <s v=" -"/>
    <x v="1"/>
    <s v="collectif"/>
    <s v="Existant"/>
    <n v="176"/>
    <s v="C"/>
    <n v="38"/>
    <s v="D"/>
    <m/>
    <n v="74562"/>
    <x v="1"/>
    <x v="1"/>
    <x v="1"/>
    <x v="1"/>
    <x v="1"/>
    <x v="5"/>
    <s v="collectif"/>
    <x v="0"/>
    <n v="59"/>
    <s v="A"/>
    <n v="1"/>
    <s v="A"/>
    <n v="32007"/>
    <n v="0.66477272727272729"/>
    <x v="153"/>
    <n v="0.57073308119417399"/>
  </r>
  <r>
    <n v="283"/>
    <x v="4"/>
    <x v="0"/>
    <n v="4459"/>
    <s v=" -"/>
    <s v=" -"/>
    <s v=" -"/>
    <s v=" -"/>
    <s v=" -"/>
    <x v="0"/>
    <s v="Indiv"/>
    <s v="Existant"/>
    <n v="164"/>
    <s v="C"/>
    <n v="35"/>
    <s v="D"/>
    <m/>
    <n v="61808"/>
    <x v="0"/>
    <x v="0"/>
    <x v="0"/>
    <x v="0"/>
    <x v="0"/>
    <x v="0"/>
    <s v="Indiv"/>
    <x v="0"/>
    <n v="136"/>
    <s v="C"/>
    <n v="28"/>
    <s v="C"/>
    <n v="53785"/>
    <n v="0.17073170731707318"/>
    <x v="50"/>
    <n v="0.12980520320994046"/>
  </r>
  <r>
    <n v="291"/>
    <x v="4"/>
    <x v="0"/>
    <n v="4459"/>
    <s v=" -"/>
    <s v=" -"/>
    <s v=" -"/>
    <s v=" -"/>
    <s v=" -"/>
    <x v="0"/>
    <s v="Indiv"/>
    <s v="Existant"/>
    <n v="164"/>
    <s v="C"/>
    <n v="35"/>
    <s v="D"/>
    <m/>
    <n v="61808"/>
    <x v="0"/>
    <x v="0"/>
    <x v="0"/>
    <x v="0"/>
    <x v="0"/>
    <x v="1"/>
    <s v="Indiv"/>
    <x v="0"/>
    <n v="118"/>
    <s v="C"/>
    <n v="22"/>
    <s v="C"/>
    <n v="52073"/>
    <n v="0.28048780487804881"/>
    <x v="154"/>
    <n v="0.15750388299249288"/>
  </r>
  <r>
    <n v="284"/>
    <x v="4"/>
    <x v="0"/>
    <n v="4459"/>
    <s v=" -"/>
    <s v=" -"/>
    <s v=" -"/>
    <s v=" -"/>
    <s v=" -"/>
    <x v="0"/>
    <s v="Indiv"/>
    <s v="Existant"/>
    <n v="164"/>
    <s v="C"/>
    <n v="35"/>
    <s v="D"/>
    <m/>
    <n v="61808"/>
    <x v="1"/>
    <x v="1"/>
    <x v="1"/>
    <x v="1"/>
    <x v="1"/>
    <x v="0"/>
    <s v="Indiv"/>
    <x v="0"/>
    <n v="66"/>
    <s v="A"/>
    <n v="11"/>
    <s v="C"/>
    <n v="30935"/>
    <n v="0.59756097560975607"/>
    <x v="52"/>
    <n v="0.49949844680300287"/>
  </r>
  <r>
    <n v="1731"/>
    <x v="4"/>
    <x v="0"/>
    <n v="4459"/>
    <s v=" -"/>
    <s v=" -"/>
    <s v=" -"/>
    <s v=" -"/>
    <s v=" -"/>
    <x v="0"/>
    <s v="Indiv"/>
    <s v="Existant"/>
    <n v="164"/>
    <s v="C"/>
    <n v="35"/>
    <s v="D"/>
    <m/>
    <n v="61808"/>
    <x v="1"/>
    <x v="1"/>
    <x v="1"/>
    <x v="1"/>
    <x v="1"/>
    <x v="0"/>
    <s v="Indiv"/>
    <x v="1"/>
    <n v="83"/>
    <s v="B"/>
    <n v="15"/>
    <s v="C"/>
    <n v="39597"/>
    <n v="0.49390243902439024"/>
    <x v="53"/>
    <n v="0.35935477608076627"/>
  </r>
  <r>
    <n v="292"/>
    <x v="4"/>
    <x v="0"/>
    <n v="4459"/>
    <s v=" -"/>
    <s v=" -"/>
    <s v=" -"/>
    <s v=" -"/>
    <s v=" -"/>
    <x v="0"/>
    <s v="Indiv"/>
    <s v="Existant"/>
    <n v="164"/>
    <s v="C"/>
    <n v="35"/>
    <s v="D"/>
    <m/>
    <n v="61808"/>
    <x v="1"/>
    <x v="1"/>
    <x v="1"/>
    <x v="1"/>
    <x v="1"/>
    <x v="1"/>
    <s v="Indiv"/>
    <x v="0"/>
    <n v="49"/>
    <s v="A"/>
    <n v="5"/>
    <s v="A"/>
    <n v="23293"/>
    <n v="0.70121951219512191"/>
    <x v="155"/>
    <n v="0.62313939943049446"/>
  </r>
  <r>
    <n v="336"/>
    <x v="4"/>
    <x v="1"/>
    <n v="4459"/>
    <s v=" -"/>
    <s v=" -"/>
    <s v=" -"/>
    <s v=" -"/>
    <s v=" -"/>
    <x v="0"/>
    <s v="Indiv"/>
    <s v="Existant"/>
    <n v="147"/>
    <s v="C"/>
    <n v="31"/>
    <s v="D"/>
    <m/>
    <n v="57179"/>
    <x v="0"/>
    <x v="0"/>
    <x v="0"/>
    <x v="0"/>
    <x v="0"/>
    <x v="0"/>
    <s v="Indiv"/>
    <x v="0"/>
    <n v="122"/>
    <s v="C"/>
    <n v="25"/>
    <s v="C"/>
    <n v="49885"/>
    <n v="0.17006802721088435"/>
    <x v="156"/>
    <n v="0.12756431557040171"/>
  </r>
  <r>
    <n v="344"/>
    <x v="4"/>
    <x v="1"/>
    <n v="4459"/>
    <s v=" -"/>
    <s v=" -"/>
    <s v=" -"/>
    <s v=" -"/>
    <s v=" -"/>
    <x v="0"/>
    <s v="Indiv"/>
    <s v="Existant"/>
    <n v="147"/>
    <s v="C"/>
    <n v="31"/>
    <s v="D"/>
    <m/>
    <n v="57179"/>
    <x v="0"/>
    <x v="0"/>
    <x v="0"/>
    <x v="0"/>
    <x v="0"/>
    <x v="1"/>
    <s v="Indiv"/>
    <x v="0"/>
    <n v="105"/>
    <s v="B"/>
    <n v="19"/>
    <s v="C"/>
    <n v="48193"/>
    <n v="0.2857142857142857"/>
    <x v="157"/>
    <n v="0.15715559908357962"/>
  </r>
  <r>
    <n v="337"/>
    <x v="4"/>
    <x v="1"/>
    <n v="4459"/>
    <s v=" -"/>
    <s v=" -"/>
    <s v=" -"/>
    <s v=" -"/>
    <s v=" -"/>
    <x v="0"/>
    <s v="Indiv"/>
    <s v="Existant"/>
    <n v="147"/>
    <s v="C"/>
    <n v="31"/>
    <s v="D"/>
    <m/>
    <n v="57179"/>
    <x v="1"/>
    <x v="1"/>
    <x v="1"/>
    <x v="1"/>
    <x v="1"/>
    <x v="0"/>
    <s v="Indiv"/>
    <x v="0"/>
    <n v="61"/>
    <s v="A"/>
    <n v="10"/>
    <s v="B"/>
    <n v="28467"/>
    <n v="0.58503401360544216"/>
    <x v="158"/>
    <n v="0.50214239493520352"/>
  </r>
  <r>
    <n v="1732"/>
    <x v="4"/>
    <x v="1"/>
    <n v="4459"/>
    <s v=" -"/>
    <s v=" -"/>
    <s v=" -"/>
    <s v=" -"/>
    <s v=" -"/>
    <x v="0"/>
    <s v="Indiv"/>
    <s v="Existant"/>
    <n v="147"/>
    <s v="C"/>
    <n v="31"/>
    <s v="D"/>
    <m/>
    <n v="57179"/>
    <x v="1"/>
    <x v="1"/>
    <x v="1"/>
    <x v="1"/>
    <x v="1"/>
    <x v="0"/>
    <s v="Indiv"/>
    <x v="1"/>
    <n v="76"/>
    <s v="B"/>
    <n v="14"/>
    <s v="C"/>
    <n v="36149"/>
    <n v="0.48299319727891155"/>
    <x v="159"/>
    <n v="0.36779237132513687"/>
  </r>
  <r>
    <n v="345"/>
    <x v="4"/>
    <x v="1"/>
    <n v="4459"/>
    <s v=" -"/>
    <s v=" -"/>
    <s v=" -"/>
    <s v=" -"/>
    <s v=" -"/>
    <x v="0"/>
    <s v="Indiv"/>
    <s v="Existant"/>
    <n v="147"/>
    <s v="C"/>
    <n v="31"/>
    <s v="D"/>
    <m/>
    <n v="57179"/>
    <x v="1"/>
    <x v="1"/>
    <x v="1"/>
    <x v="1"/>
    <x v="1"/>
    <x v="1"/>
    <s v="Indiv"/>
    <x v="0"/>
    <n v="44"/>
    <s v="A"/>
    <n v="4"/>
    <s v="A"/>
    <n v="21038"/>
    <n v="0.70068027210884354"/>
    <x v="160"/>
    <n v="0.63206771716889065"/>
  </r>
  <r>
    <n v="389"/>
    <x v="4"/>
    <x v="2"/>
    <n v="4459"/>
    <s v=" -"/>
    <s v=" -"/>
    <s v=" -"/>
    <s v=" -"/>
    <s v=" -"/>
    <x v="0"/>
    <s v="Indiv"/>
    <s v="Existant"/>
    <n v="102"/>
    <s v="B"/>
    <n v="21"/>
    <s v="C"/>
    <m/>
    <n v="44113"/>
    <x v="0"/>
    <x v="0"/>
    <x v="0"/>
    <x v="0"/>
    <x v="0"/>
    <x v="0"/>
    <s v="Indiv"/>
    <x v="0"/>
    <n v="84"/>
    <s v="B"/>
    <n v="17"/>
    <s v="C"/>
    <n v="39048"/>
    <n v="0.17647058823529413"/>
    <x v="161"/>
    <n v="0.11481876090948247"/>
  </r>
  <r>
    <n v="397"/>
    <x v="4"/>
    <x v="2"/>
    <n v="4459"/>
    <s v=" -"/>
    <s v=" -"/>
    <s v=" -"/>
    <s v=" -"/>
    <s v=" -"/>
    <x v="0"/>
    <s v="Indiv"/>
    <s v="Existant"/>
    <n v="102"/>
    <s v="B"/>
    <n v="21"/>
    <s v="C"/>
    <m/>
    <n v="44113"/>
    <x v="0"/>
    <x v="0"/>
    <x v="0"/>
    <x v="0"/>
    <x v="0"/>
    <x v="1"/>
    <s v="Indiv"/>
    <x v="0"/>
    <n v="69"/>
    <s v="A"/>
    <n v="11"/>
    <s v="C"/>
    <n v="33417"/>
    <n v="0.3235294117647059"/>
    <x v="162"/>
    <n v="0.24246820665110058"/>
  </r>
  <r>
    <n v="390"/>
    <x v="4"/>
    <x v="2"/>
    <n v="4459"/>
    <s v=" -"/>
    <s v=" -"/>
    <s v=" -"/>
    <s v=" -"/>
    <s v=" -"/>
    <x v="0"/>
    <s v="Indiv"/>
    <s v="Existant"/>
    <n v="102"/>
    <s v="B"/>
    <n v="21"/>
    <s v="C"/>
    <m/>
    <n v="44113"/>
    <x v="1"/>
    <x v="1"/>
    <x v="1"/>
    <x v="1"/>
    <x v="1"/>
    <x v="0"/>
    <s v="Indiv"/>
    <x v="0"/>
    <n v="47"/>
    <s v="A"/>
    <n v="7"/>
    <s v="B"/>
    <n v="22051"/>
    <n v="0.53921568627450978"/>
    <x v="92"/>
    <n v="0.50012467979960551"/>
  </r>
  <r>
    <n v="1733"/>
    <x v="4"/>
    <x v="2"/>
    <n v="4459"/>
    <s v=" -"/>
    <s v=" -"/>
    <s v=" -"/>
    <s v=" -"/>
    <s v=" -"/>
    <x v="0"/>
    <s v="Indiv"/>
    <s v="Existant"/>
    <n v="102"/>
    <s v="B"/>
    <n v="21"/>
    <s v="C"/>
    <m/>
    <n v="44113"/>
    <x v="1"/>
    <x v="1"/>
    <x v="1"/>
    <x v="1"/>
    <x v="1"/>
    <x v="0"/>
    <s v="Indiv"/>
    <x v="1"/>
    <n v="57"/>
    <s v="A"/>
    <n v="10"/>
    <s v="B"/>
    <n v="27176"/>
    <n v="0.44117647058823528"/>
    <x v="163"/>
    <n v="0.38394577562169879"/>
  </r>
  <r>
    <n v="398"/>
    <x v="4"/>
    <x v="2"/>
    <n v="4459"/>
    <s v=" -"/>
    <s v=" -"/>
    <s v=" -"/>
    <s v=" -"/>
    <s v=" -"/>
    <x v="0"/>
    <s v="Indiv"/>
    <s v="Existant"/>
    <n v="102"/>
    <s v="B"/>
    <n v="21"/>
    <s v="C"/>
    <m/>
    <n v="44113"/>
    <x v="1"/>
    <x v="1"/>
    <x v="1"/>
    <x v="1"/>
    <x v="1"/>
    <x v="1"/>
    <s v="Indiv"/>
    <x v="0"/>
    <n v="32"/>
    <s v="A"/>
    <n v="2"/>
    <s v="A"/>
    <n v="15424"/>
    <n v="0.68627450980392157"/>
    <x v="164"/>
    <n v="0.65035250379706666"/>
  </r>
  <r>
    <n v="1604"/>
    <x v="4"/>
    <x v="0"/>
    <n v="4459"/>
    <s v=" -"/>
    <s v=" -"/>
    <s v=" -"/>
    <s v=" -"/>
    <s v=" -"/>
    <x v="1"/>
    <s v="collectif"/>
    <s v="Existant"/>
    <n v="182"/>
    <s v="D"/>
    <n v="39"/>
    <s v="D"/>
    <m/>
    <n v="52689"/>
    <x v="1"/>
    <x v="1"/>
    <x v="1"/>
    <x v="1"/>
    <x v="1"/>
    <x v="2"/>
    <s v="collectif"/>
    <x v="1"/>
    <n v="89"/>
    <s v="B"/>
    <n v="17"/>
    <s v="C"/>
    <n v="28431"/>
    <n v="0.51098901098901095"/>
    <x v="165"/>
    <n v="0.46039970392301999"/>
  </r>
  <r>
    <n v="304"/>
    <x v="4"/>
    <x v="0"/>
    <n v="4459"/>
    <s v=" -"/>
    <s v=" -"/>
    <s v=" -"/>
    <s v=" -"/>
    <s v=" -"/>
    <x v="1"/>
    <s v="collectif"/>
    <s v="Existant"/>
    <n v="182"/>
    <s v="D"/>
    <n v="39"/>
    <s v="D"/>
    <m/>
    <n v="52689"/>
    <x v="0"/>
    <x v="0"/>
    <x v="0"/>
    <x v="0"/>
    <x v="0"/>
    <x v="2"/>
    <s v="collectif"/>
    <x v="0"/>
    <n v="158"/>
    <s v="C"/>
    <n v="34"/>
    <s v="D"/>
    <n v="46139"/>
    <n v="0.13186813186813187"/>
    <x v="166"/>
    <n v="0.12431437301903624"/>
  </r>
  <r>
    <n v="316"/>
    <x v="4"/>
    <x v="0"/>
    <n v="4459"/>
    <s v=" -"/>
    <s v=" -"/>
    <s v=" -"/>
    <s v=" -"/>
    <s v=" -"/>
    <x v="1"/>
    <s v="collectif"/>
    <s v="Existant"/>
    <n v="182"/>
    <s v="D"/>
    <n v="39"/>
    <s v="D"/>
    <m/>
    <n v="52689"/>
    <x v="0"/>
    <x v="0"/>
    <x v="0"/>
    <x v="0"/>
    <x v="0"/>
    <x v="3"/>
    <s v="collectif"/>
    <x v="0"/>
    <n v="163"/>
    <s v="C"/>
    <n v="35"/>
    <s v="D"/>
    <n v="47518"/>
    <n v="0.1043956043956044"/>
    <x v="167"/>
    <n v="9.8141927157471193E-2"/>
  </r>
  <r>
    <n v="310"/>
    <x v="4"/>
    <x v="0"/>
    <n v="4459"/>
    <s v=" -"/>
    <s v=" -"/>
    <s v=" -"/>
    <s v=" -"/>
    <s v=" -"/>
    <x v="1"/>
    <s v="collectif"/>
    <s v="Existant"/>
    <n v="182"/>
    <s v="D"/>
    <n v="39"/>
    <s v="D"/>
    <m/>
    <n v="52689"/>
    <x v="0"/>
    <x v="0"/>
    <x v="0"/>
    <x v="0"/>
    <x v="0"/>
    <x v="4"/>
    <s v="collectif"/>
    <x v="0"/>
    <n v="143.59357030724377"/>
    <s v="C"/>
    <n v="12.89237538685804"/>
    <s v="C"/>
    <s v=" -"/>
    <n v="0.21102433897118811"/>
    <x v="168"/>
    <e v="#VALUE!"/>
  </r>
  <r>
    <n v="333"/>
    <x v="4"/>
    <x v="0"/>
    <n v="4459"/>
    <s v=" -"/>
    <s v=" -"/>
    <s v=" -"/>
    <s v=" -"/>
    <s v=" -"/>
    <x v="1"/>
    <s v="collectif"/>
    <s v="Existant"/>
    <n v="182"/>
    <s v="D"/>
    <n v="39"/>
    <s v="D"/>
    <m/>
    <n v="52689"/>
    <x v="0"/>
    <x v="0"/>
    <x v="0"/>
    <x v="0"/>
    <x v="0"/>
    <x v="5"/>
    <s v="collectif"/>
    <x v="0"/>
    <n v="137"/>
    <s v="C"/>
    <n v="4"/>
    <s v="A"/>
    <n v="44668"/>
    <n v="0.24725274725274726"/>
    <x v="169"/>
    <n v="0.15223291389094498"/>
  </r>
  <r>
    <n v="305"/>
    <x v="4"/>
    <x v="0"/>
    <n v="4459"/>
    <s v=" -"/>
    <s v=" -"/>
    <s v=" -"/>
    <s v=" -"/>
    <s v=" -"/>
    <x v="1"/>
    <s v="collectif"/>
    <s v="Existant"/>
    <n v="182"/>
    <s v="D"/>
    <n v="39"/>
    <s v="D"/>
    <m/>
    <n v="52689"/>
    <x v="1"/>
    <x v="1"/>
    <x v="1"/>
    <x v="1"/>
    <x v="1"/>
    <x v="2"/>
    <s v="collectif"/>
    <x v="0"/>
    <n v="77"/>
    <s v="B"/>
    <n v="15"/>
    <s v="C"/>
    <n v="25095"/>
    <n v="0.57692307692307687"/>
    <x v="170"/>
    <n v="0.52371462734157037"/>
  </r>
  <r>
    <n v="317"/>
    <x v="4"/>
    <x v="0"/>
    <n v="4459"/>
    <s v=" -"/>
    <s v=" -"/>
    <s v=" -"/>
    <s v=" -"/>
    <s v=" -"/>
    <x v="1"/>
    <s v="collectif"/>
    <s v="Existant"/>
    <n v="182"/>
    <s v="D"/>
    <n v="39"/>
    <s v="D"/>
    <m/>
    <n v="52689"/>
    <x v="1"/>
    <x v="1"/>
    <x v="1"/>
    <x v="1"/>
    <x v="1"/>
    <x v="3"/>
    <s v="collectif"/>
    <x v="0"/>
    <n v="62"/>
    <s v="A"/>
    <n v="11"/>
    <s v="C"/>
    <n v="21451"/>
    <n v="0.65934065934065933"/>
    <x v="171"/>
    <n v="0.59287517318605398"/>
  </r>
  <r>
    <n v="311"/>
    <x v="4"/>
    <x v="0"/>
    <n v="4459"/>
    <s v=" -"/>
    <s v=" -"/>
    <s v=" -"/>
    <s v=" -"/>
    <s v=" -"/>
    <x v="1"/>
    <s v="collectif"/>
    <s v="Existant"/>
    <n v="182"/>
    <s v="D"/>
    <n v="39"/>
    <s v="D"/>
    <m/>
    <n v="52689"/>
    <x v="1"/>
    <x v="1"/>
    <x v="1"/>
    <x v="1"/>
    <x v="1"/>
    <x v="4"/>
    <s v="collectif"/>
    <x v="0"/>
    <n v="71.93493832697915"/>
    <s v="B"/>
    <n v="6.9683276855797258"/>
    <s v="B"/>
    <s v=" -"/>
    <n v="0.60475308611549916"/>
    <x v="172"/>
    <e v="#VALUE!"/>
  </r>
  <r>
    <n v="334"/>
    <x v="4"/>
    <x v="0"/>
    <n v="4459"/>
    <s v=" -"/>
    <s v=" -"/>
    <s v=" -"/>
    <s v=" -"/>
    <s v=" -"/>
    <x v="1"/>
    <s v="collectif"/>
    <s v="Existant"/>
    <n v="182"/>
    <s v="D"/>
    <n v="39"/>
    <s v="D"/>
    <m/>
    <n v="52689"/>
    <x v="1"/>
    <x v="1"/>
    <x v="1"/>
    <x v="1"/>
    <x v="1"/>
    <x v="5"/>
    <s v="collectif"/>
    <x v="0"/>
    <n v="69"/>
    <s v="A"/>
    <n v="2"/>
    <s v="A"/>
    <n v="24962"/>
    <n v="0.62087912087912089"/>
    <x v="173"/>
    <n v="0.52623887338913244"/>
  </r>
  <r>
    <n v="1721"/>
    <x v="4"/>
    <x v="1"/>
    <n v="4459"/>
    <s v=" -"/>
    <s v=" -"/>
    <s v=" -"/>
    <s v=" -"/>
    <s v=" -"/>
    <x v="1"/>
    <s v="collectif"/>
    <s v="Existant"/>
    <n v="163"/>
    <s v="C"/>
    <n v="35"/>
    <s v="D"/>
    <m/>
    <n v="47506"/>
    <x v="1"/>
    <x v="1"/>
    <x v="1"/>
    <x v="1"/>
    <x v="1"/>
    <x v="2"/>
    <s v="collectif"/>
    <x v="1"/>
    <n v="81"/>
    <s v="B"/>
    <n v="16"/>
    <s v="C"/>
    <n v="2629.7"/>
    <n v="0.50306748466257667"/>
    <x v="174"/>
    <n v="0.94464488696164706"/>
  </r>
  <r>
    <n v="357"/>
    <x v="4"/>
    <x v="1"/>
    <n v="4459"/>
    <s v=" -"/>
    <s v=" -"/>
    <s v=" -"/>
    <s v=" -"/>
    <s v=" -"/>
    <x v="1"/>
    <s v="collectif"/>
    <s v="Existant"/>
    <n v="163"/>
    <s v="C"/>
    <n v="35"/>
    <s v="D"/>
    <m/>
    <n v="47506"/>
    <x v="0"/>
    <x v="0"/>
    <x v="0"/>
    <x v="0"/>
    <x v="0"/>
    <x v="2"/>
    <s v="collectif"/>
    <x v="0"/>
    <n v="141"/>
    <s v="C"/>
    <n v="30"/>
    <s v="D"/>
    <n v="41554"/>
    <n v="0.13496932515337423"/>
    <x v="56"/>
    <n v="0.12528943712373175"/>
  </r>
  <r>
    <n v="369"/>
    <x v="4"/>
    <x v="1"/>
    <n v="4459"/>
    <s v=" -"/>
    <s v=" -"/>
    <s v=" -"/>
    <s v=" -"/>
    <s v=" -"/>
    <x v="1"/>
    <s v="collectif"/>
    <s v="Existant"/>
    <n v="163"/>
    <s v="C"/>
    <n v="35"/>
    <s v="D"/>
    <m/>
    <n v="47506"/>
    <x v="0"/>
    <x v="0"/>
    <x v="0"/>
    <x v="0"/>
    <x v="0"/>
    <x v="3"/>
    <s v="collectif"/>
    <x v="0"/>
    <n v="142"/>
    <s v="C"/>
    <n v="30"/>
    <s v="D"/>
    <n v="41631"/>
    <n v="0.12883435582822086"/>
    <x v="56"/>
    <n v="0.123668589230834"/>
  </r>
  <r>
    <n v="363"/>
    <x v="4"/>
    <x v="1"/>
    <n v="4459"/>
    <s v=" -"/>
    <s v=" -"/>
    <s v=" -"/>
    <s v=" -"/>
    <s v=" -"/>
    <x v="1"/>
    <s v="collectif"/>
    <s v="Existant"/>
    <n v="163"/>
    <s v="C"/>
    <n v="35"/>
    <s v="D"/>
    <m/>
    <n v="47506"/>
    <x v="0"/>
    <x v="0"/>
    <x v="0"/>
    <x v="0"/>
    <x v="0"/>
    <x v="4"/>
    <s v="collectif"/>
    <x v="0"/>
    <n v="128.85348845032519"/>
    <s v="C"/>
    <n v="11.660296770576361"/>
    <s v="C"/>
    <s v=" -"/>
    <n v="0.20948780091825039"/>
    <x v="175"/>
    <e v="#VALUE!"/>
  </r>
  <r>
    <n v="386"/>
    <x v="4"/>
    <x v="1"/>
    <n v="4459"/>
    <s v=" -"/>
    <s v=" -"/>
    <s v=" -"/>
    <s v=" -"/>
    <s v=" -"/>
    <x v="1"/>
    <s v="collectif"/>
    <s v="Existant"/>
    <n v="163"/>
    <s v="C"/>
    <n v="35"/>
    <s v="D"/>
    <m/>
    <n v="47506"/>
    <x v="0"/>
    <x v="0"/>
    <x v="0"/>
    <x v="0"/>
    <x v="0"/>
    <x v="5"/>
    <s v="collectif"/>
    <x v="0"/>
    <n v="123"/>
    <s v="C"/>
    <n v="4"/>
    <s v="A"/>
    <n v="40285"/>
    <n v="0.24539877300613497"/>
    <x v="54"/>
    <n v="0.1520018523975919"/>
  </r>
  <r>
    <n v="358"/>
    <x v="4"/>
    <x v="1"/>
    <n v="4459"/>
    <s v=" -"/>
    <s v=" -"/>
    <s v=" -"/>
    <s v=" -"/>
    <s v=" -"/>
    <x v="1"/>
    <s v="collectif"/>
    <s v="Existant"/>
    <n v="163"/>
    <s v="C"/>
    <n v="35"/>
    <s v="D"/>
    <m/>
    <n v="47506"/>
    <x v="1"/>
    <x v="1"/>
    <x v="1"/>
    <x v="1"/>
    <x v="1"/>
    <x v="2"/>
    <s v="collectif"/>
    <x v="0"/>
    <n v="70"/>
    <s v="B"/>
    <n v="13"/>
    <s v="C"/>
    <n v="23356"/>
    <n v="0.57055214723926384"/>
    <x v="176"/>
    <n v="0.50835683913610907"/>
  </r>
  <r>
    <n v="370"/>
    <x v="4"/>
    <x v="1"/>
    <n v="4459"/>
    <s v=" -"/>
    <s v=" -"/>
    <s v=" -"/>
    <s v=" -"/>
    <s v=" -"/>
    <x v="1"/>
    <s v="collectif"/>
    <s v="Existant"/>
    <n v="163"/>
    <s v="C"/>
    <n v="35"/>
    <s v="D"/>
    <m/>
    <n v="47506"/>
    <x v="1"/>
    <x v="1"/>
    <x v="1"/>
    <x v="1"/>
    <x v="1"/>
    <x v="3"/>
    <s v="collectif"/>
    <x v="0"/>
    <n v="54"/>
    <s v="A"/>
    <n v="9"/>
    <s v="B"/>
    <n v="19030"/>
    <n v="0.66871165644171782"/>
    <x v="177"/>
    <n v="0.59941902075527298"/>
  </r>
  <r>
    <n v="365"/>
    <x v="4"/>
    <x v="1"/>
    <n v="4459"/>
    <s v=" -"/>
    <s v=" -"/>
    <s v=" -"/>
    <s v=" -"/>
    <s v=" -"/>
    <x v="1"/>
    <s v="collectif"/>
    <s v="Existant"/>
    <n v="163"/>
    <s v="C"/>
    <n v="35"/>
    <s v="D"/>
    <m/>
    <n v="47506"/>
    <x v="1"/>
    <x v="1"/>
    <x v="1"/>
    <x v="1"/>
    <x v="1"/>
    <x v="4"/>
    <s v="collectif"/>
    <x v="0"/>
    <n v="66.535022426553027"/>
    <s v="A"/>
    <n v="6.4447381924198259"/>
    <s v="B"/>
    <s v=" -"/>
    <n v="0.59180967836470533"/>
    <x v="178"/>
    <e v="#VALUE!"/>
  </r>
  <r>
    <n v="387"/>
    <x v="4"/>
    <x v="1"/>
    <n v="4459"/>
    <s v=" -"/>
    <s v=" -"/>
    <s v=" -"/>
    <s v=" -"/>
    <s v=" -"/>
    <x v="1"/>
    <s v="collectif"/>
    <s v="Existant"/>
    <n v="163"/>
    <s v="C"/>
    <n v="35"/>
    <s v="D"/>
    <m/>
    <n v="47506"/>
    <x v="1"/>
    <x v="1"/>
    <x v="1"/>
    <x v="1"/>
    <x v="1"/>
    <x v="5"/>
    <s v="collectif"/>
    <x v="0"/>
    <n v="64"/>
    <s v="A"/>
    <n v="1"/>
    <s v="A"/>
    <n v="23242"/>
    <n v="0.6073619631901841"/>
    <x v="179"/>
    <n v="0.51075653601650317"/>
  </r>
  <r>
    <n v="1722"/>
    <x v="4"/>
    <x v="2"/>
    <n v="4459"/>
    <s v=" -"/>
    <s v=" -"/>
    <s v=" -"/>
    <s v=" -"/>
    <s v=" -"/>
    <x v="1"/>
    <s v="collectif"/>
    <s v="Existant"/>
    <n v="112"/>
    <s v="C"/>
    <n v="24"/>
    <s v="C"/>
    <m/>
    <n v="33304"/>
    <x v="1"/>
    <x v="1"/>
    <x v="1"/>
    <x v="1"/>
    <x v="1"/>
    <x v="2"/>
    <s v="collectif"/>
    <x v="1"/>
    <n v="61"/>
    <s v="A"/>
    <n v="11"/>
    <s v="C"/>
    <n v="20717"/>
    <n v="0.45535714285714285"/>
    <x v="180"/>
    <n v="0.37794258947874132"/>
  </r>
  <r>
    <n v="410"/>
    <x v="4"/>
    <x v="2"/>
    <n v="4459"/>
    <s v=" -"/>
    <s v=" -"/>
    <s v=" -"/>
    <s v=" -"/>
    <s v=" -"/>
    <x v="1"/>
    <s v="collectif"/>
    <s v="Existant"/>
    <n v="112"/>
    <s v="C"/>
    <n v="24"/>
    <s v="C"/>
    <m/>
    <n v="33304"/>
    <x v="0"/>
    <x v="0"/>
    <x v="0"/>
    <x v="0"/>
    <x v="0"/>
    <x v="2"/>
    <s v="collectif"/>
    <x v="0"/>
    <n v="98"/>
    <s v="B"/>
    <n v="20"/>
    <s v="C"/>
    <n v="29271"/>
    <n v="0.125"/>
    <x v="181"/>
    <n v="0.12109656497717992"/>
  </r>
  <r>
    <n v="422"/>
    <x v="4"/>
    <x v="2"/>
    <n v="4459"/>
    <s v=" -"/>
    <s v=" -"/>
    <s v=" -"/>
    <s v=" -"/>
    <s v=" -"/>
    <x v="1"/>
    <s v="collectif"/>
    <s v="Existant"/>
    <n v="112"/>
    <s v="C"/>
    <n v="24"/>
    <s v="C"/>
    <m/>
    <n v="33304"/>
    <x v="0"/>
    <x v="0"/>
    <x v="0"/>
    <x v="0"/>
    <x v="0"/>
    <x v="3"/>
    <s v="collectif"/>
    <x v="0"/>
    <n v="90"/>
    <s v="B"/>
    <n v="19"/>
    <s v="C"/>
    <n v="27078"/>
    <n v="0.19642857142857142"/>
    <x v="182"/>
    <n v="0.18694451116982946"/>
  </r>
  <r>
    <n v="416"/>
    <x v="4"/>
    <x v="2"/>
    <n v="4459"/>
    <s v=" -"/>
    <s v=" -"/>
    <s v=" -"/>
    <s v=" -"/>
    <s v=" -"/>
    <x v="1"/>
    <s v="collectif"/>
    <s v="Existant"/>
    <n v="112"/>
    <s v="C"/>
    <n v="24"/>
    <s v="C"/>
    <m/>
    <n v="33304"/>
    <x v="0"/>
    <x v="0"/>
    <x v="0"/>
    <x v="0"/>
    <x v="0"/>
    <x v="6"/>
    <s v="collectif"/>
    <x v="0"/>
    <n v="82.908282126037221"/>
    <s v="B"/>
    <n v="8.1604261942139491"/>
    <s v="B"/>
    <s v=" -"/>
    <n v="0.25974748101752482"/>
    <x v="183"/>
    <e v="#VALUE!"/>
  </r>
  <r>
    <n v="439"/>
    <x v="4"/>
    <x v="2"/>
    <n v="4459"/>
    <s v=" -"/>
    <s v=" -"/>
    <s v=" -"/>
    <s v=" -"/>
    <s v=" -"/>
    <x v="1"/>
    <s v="collectif"/>
    <s v="Existant"/>
    <n v="112"/>
    <s v="C"/>
    <n v="24"/>
    <s v="C"/>
    <m/>
    <n v="33304"/>
    <x v="0"/>
    <x v="0"/>
    <x v="0"/>
    <x v="0"/>
    <x v="0"/>
    <x v="5"/>
    <s v="collectif"/>
    <x v="0"/>
    <n v="76"/>
    <s v="B"/>
    <n v="2"/>
    <s v="A"/>
    <n v="25374"/>
    <n v="0.32142857142857145"/>
    <x v="184"/>
    <n v="0.23810953639202498"/>
  </r>
  <r>
    <n v="411"/>
    <x v="4"/>
    <x v="2"/>
    <n v="4459"/>
    <s v=" -"/>
    <s v=" -"/>
    <s v=" -"/>
    <s v=" -"/>
    <s v=" -"/>
    <x v="1"/>
    <s v="collectif"/>
    <s v="Existant"/>
    <n v="112"/>
    <s v="C"/>
    <n v="24"/>
    <s v="C"/>
    <m/>
    <n v="33304"/>
    <x v="1"/>
    <x v="1"/>
    <x v="1"/>
    <x v="1"/>
    <x v="1"/>
    <x v="2"/>
    <s v="collectif"/>
    <x v="0"/>
    <n v="54"/>
    <s v="A"/>
    <n v="10"/>
    <s v="B"/>
    <n v="18783"/>
    <n v="0.5178571428571429"/>
    <x v="48"/>
    <n v="0.43601369204900314"/>
  </r>
  <r>
    <n v="423"/>
    <x v="4"/>
    <x v="2"/>
    <n v="4459"/>
    <s v=" -"/>
    <s v=" -"/>
    <s v=" -"/>
    <s v=" -"/>
    <s v=" -"/>
    <x v="1"/>
    <s v="collectif"/>
    <s v="Existant"/>
    <n v="112"/>
    <s v="C"/>
    <n v="24"/>
    <s v="C"/>
    <m/>
    <n v="33304"/>
    <x v="1"/>
    <x v="1"/>
    <x v="1"/>
    <x v="1"/>
    <x v="1"/>
    <x v="3"/>
    <s v="collectif"/>
    <x v="0"/>
    <n v="36"/>
    <s v="A"/>
    <n v="5"/>
    <s v="A"/>
    <n v="13910"/>
    <n v="0.6785714285714286"/>
    <x v="185"/>
    <n v="0.58233245255825128"/>
  </r>
  <r>
    <n v="418"/>
    <x v="4"/>
    <x v="2"/>
    <n v="4459"/>
    <s v=" -"/>
    <s v=" -"/>
    <s v=" -"/>
    <s v=" -"/>
    <s v=" -"/>
    <x v="1"/>
    <s v="collectif"/>
    <s v="Existant"/>
    <n v="112"/>
    <s v="C"/>
    <n v="24"/>
    <s v="C"/>
    <m/>
    <n v="33304"/>
    <x v="1"/>
    <x v="1"/>
    <x v="1"/>
    <x v="1"/>
    <x v="1"/>
    <x v="6"/>
    <s v="collectif"/>
    <x v="0"/>
    <n v="43.012628392016147"/>
    <s v="A"/>
    <n v="4.8705312626149366"/>
    <s v="A"/>
    <s v=" -"/>
    <n v="0.61595867507128432"/>
    <x v="186"/>
    <e v="#VALUE!"/>
  </r>
  <r>
    <n v="440"/>
    <x v="4"/>
    <x v="2"/>
    <n v="4459"/>
    <s v=" -"/>
    <s v=" -"/>
    <s v=" -"/>
    <s v=" -"/>
    <s v=" -"/>
    <x v="1"/>
    <s v="collectif"/>
    <s v="Existant"/>
    <n v="112"/>
    <s v="C"/>
    <n v="24"/>
    <s v="C"/>
    <m/>
    <n v="33304"/>
    <x v="1"/>
    <x v="1"/>
    <x v="1"/>
    <x v="1"/>
    <x v="1"/>
    <x v="5"/>
    <s v="collectif"/>
    <x v="0"/>
    <n v="45"/>
    <s v="A"/>
    <n v="1"/>
    <s v="A"/>
    <n v="17283"/>
    <n v="0.5982142857142857"/>
    <x v="187"/>
    <n v="0.481053326927696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91D1D0-60C4-4352-908F-334C6FA26245}" name="Tableau croisé dynamique9"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rowHeaderCaption="Gains de CO2 par solution posée">
  <location ref="B48:B61" firstHeaderRow="1" firstDataRow="1" firstDataCol="1" rowPageCount="8" colPageCount="1"/>
  <pivotFields count="34">
    <pivotField showAll="0"/>
    <pivotField axis="axisPage" multipleItemSelectionAllowed="1" showAll="0">
      <items count="6">
        <item x="3"/>
        <item h="1" x="0"/>
        <item h="1" x="2"/>
        <item h="1" x="1"/>
        <item h="1" x="4"/>
        <item t="default"/>
      </items>
    </pivotField>
    <pivotField axis="axisPage" multipleItemSelectionAllowed="1" showAll="0">
      <items count="4">
        <item h="1" x="0"/>
        <item x="1"/>
        <item h="1" x="2"/>
        <item t="default"/>
      </items>
    </pivotField>
    <pivotField showAll="0"/>
    <pivotField showAll="0"/>
    <pivotField showAll="0"/>
    <pivotField showAll="0"/>
    <pivotField showAll="0"/>
    <pivotField showAll="0"/>
    <pivotField axis="axisPage" multipleItemSelectionAllowed="1" showAll="0">
      <items count="3">
        <item x="1"/>
        <item h="1" x="0"/>
        <item t="default"/>
      </items>
    </pivotField>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Row" showAll="0">
      <items count="9">
        <item x="3"/>
        <item x="2"/>
        <item x="0"/>
        <item x="1"/>
        <item x="5"/>
        <item x="6"/>
        <item x="4"/>
        <item x="7"/>
        <item t="default"/>
      </items>
    </pivotField>
    <pivotField showAll="0"/>
    <pivotField axis="axisRow" showAll="0">
      <items count="3">
        <item x="1"/>
        <item x="0"/>
        <item t="default"/>
      </items>
    </pivotField>
    <pivotField showAll="0"/>
    <pivotField showAll="0"/>
    <pivotField showAll="0"/>
    <pivotField showAll="0"/>
    <pivotField showAll="0"/>
    <pivotField showAll="0"/>
    <pivotField axis="axisRow" showAll="0">
      <items count="189">
        <item x="167"/>
        <item x="96"/>
        <item x="133"/>
        <item x="104"/>
        <item x="141"/>
        <item x="166"/>
        <item x="146"/>
        <item x="111"/>
        <item x="56"/>
        <item x="16"/>
        <item x="34"/>
        <item x="25"/>
        <item x="65"/>
        <item x="74"/>
        <item x="181"/>
        <item x="5"/>
        <item x="97"/>
        <item x="0"/>
        <item x="10"/>
        <item x="119"/>
        <item x="124"/>
        <item x="45"/>
        <item x="161"/>
        <item x="156"/>
        <item x="142"/>
        <item x="50"/>
        <item x="90"/>
        <item x="182"/>
        <item x="57"/>
        <item x="82"/>
        <item x="87"/>
        <item x="66"/>
        <item x="147"/>
        <item x="26"/>
        <item x="112"/>
        <item x="1"/>
        <item x="6"/>
        <item x="35"/>
        <item x="120"/>
        <item x="83"/>
        <item x="11"/>
        <item x="75"/>
        <item x="125"/>
        <item x="42"/>
        <item x="128"/>
        <item x="154"/>
        <item x="46"/>
        <item x="157"/>
        <item x="17"/>
        <item x="51"/>
        <item x="91"/>
        <item x="162"/>
        <item x="163"/>
        <item x="180"/>
        <item x="174"/>
        <item x="159"/>
        <item x="165"/>
        <item x="73"/>
        <item x="53"/>
        <item x="110"/>
        <item x="48"/>
        <item x="64"/>
        <item x="55"/>
        <item x="93"/>
        <item x="95"/>
        <item x="130"/>
        <item x="44"/>
        <item x="122"/>
        <item x="85"/>
        <item x="145"/>
        <item x="140"/>
        <item x="132"/>
        <item x="170"/>
        <item x="176"/>
        <item x="33"/>
        <item x="69"/>
        <item x="78"/>
        <item x="115"/>
        <item x="150"/>
        <item x="183"/>
        <item x="60"/>
        <item x="136"/>
        <item x="105"/>
        <item x="100"/>
        <item x="92"/>
        <item x="175"/>
        <item x="168"/>
        <item x="24"/>
        <item x="15"/>
        <item x="113"/>
        <item x="84"/>
        <item x="158"/>
        <item x="76"/>
        <item x="67"/>
        <item x="88"/>
        <item x="148"/>
        <item x="58"/>
        <item x="143"/>
        <item x="52"/>
        <item x="134"/>
        <item x="47"/>
        <item x="13"/>
        <item x="43"/>
        <item x="121"/>
        <item x="8"/>
        <item x="98"/>
        <item x="126"/>
        <item x="3"/>
        <item x="129"/>
        <item x="137"/>
        <item x="27"/>
        <item x="18"/>
        <item x="36"/>
        <item x="171"/>
        <item x="101"/>
        <item x="61"/>
        <item x="107"/>
        <item x="177"/>
        <item x="70"/>
        <item x="151"/>
        <item x="12"/>
        <item x="116"/>
        <item x="2"/>
        <item x="7"/>
        <item x="79"/>
        <item x="20"/>
        <item x="185"/>
        <item x="186"/>
        <item x="29"/>
        <item x="86"/>
        <item x="38"/>
        <item x="178"/>
        <item x="89"/>
        <item x="172"/>
        <item x="127"/>
        <item x="123"/>
        <item x="21"/>
        <item x="152"/>
        <item x="117"/>
        <item x="62"/>
        <item x="30"/>
        <item x="94"/>
        <item x="138"/>
        <item x="108"/>
        <item x="102"/>
        <item x="155"/>
        <item x="131"/>
        <item x="4"/>
        <item x="160"/>
        <item x="39"/>
        <item x="9"/>
        <item x="49"/>
        <item x="40"/>
        <item x="71"/>
        <item x="14"/>
        <item x="54"/>
        <item x="80"/>
        <item x="135"/>
        <item x="99"/>
        <item x="31"/>
        <item x="22"/>
        <item x="106"/>
        <item x="59"/>
        <item x="169"/>
        <item x="28"/>
        <item x="19"/>
        <item x="68"/>
        <item x="164"/>
        <item x="114"/>
        <item x="37"/>
        <item x="184"/>
        <item x="77"/>
        <item x="149"/>
        <item x="173"/>
        <item x="139"/>
        <item x="103"/>
        <item x="187"/>
        <item x="72"/>
        <item x="63"/>
        <item x="109"/>
        <item x="179"/>
        <item x="32"/>
        <item x="81"/>
        <item x="153"/>
        <item x="41"/>
        <item x="23"/>
        <item x="118"/>
        <item x="144"/>
        <item t="default"/>
      </items>
    </pivotField>
    <pivotField showAll="0"/>
  </pivotFields>
  <rowFields count="3">
    <field x="23"/>
    <field x="25"/>
    <field x="32"/>
  </rowFields>
  <rowItems count="13">
    <i>
      <x/>
    </i>
    <i r="1">
      <x v="1"/>
    </i>
    <i r="2">
      <x v="24"/>
    </i>
    <i>
      <x v="1"/>
    </i>
    <i r="1">
      <x v="1"/>
    </i>
    <i r="2">
      <x v="4"/>
    </i>
    <i>
      <x v="4"/>
    </i>
    <i r="1">
      <x v="1"/>
    </i>
    <i r="2">
      <x v="162"/>
    </i>
    <i>
      <x v="6"/>
    </i>
    <i r="1">
      <x v="1"/>
    </i>
    <i r="2">
      <x v="97"/>
    </i>
    <i t="grand">
      <x/>
    </i>
  </rowItems>
  <colItems count="1">
    <i/>
  </colItems>
  <pageFields count="8">
    <pageField fld="1" hier="-1"/>
    <pageField fld="2" hier="-1"/>
    <pageField fld="9" hier="-1"/>
    <pageField fld="18" hier="-1"/>
    <pageField fld="19" hier="-1"/>
    <pageField fld="20" hier="-1"/>
    <pageField fld="21" hier="-1"/>
    <pageField fld="22" hier="-1"/>
  </pageFields>
  <formats count="11">
    <format dxfId="50">
      <pivotArea dataOnly="0" labelOnly="1" fieldPosition="0">
        <references count="2">
          <reference field="23" count="1" selected="0">
            <x v="2"/>
          </reference>
          <reference field="32" count="2">
            <x v="62"/>
            <x v="106"/>
          </reference>
        </references>
      </pivotArea>
    </format>
    <format dxfId="49">
      <pivotArea dataOnly="0" labelOnly="1" fieldPosition="0">
        <references count="2">
          <reference field="23" count="1" selected="0">
            <x v="3"/>
          </reference>
          <reference field="32" count="1">
            <x v="134"/>
          </reference>
        </references>
      </pivotArea>
    </format>
    <format dxfId="48">
      <pivotArea dataOnly="0" labelOnly="1" fieldPosition="0">
        <references count="3">
          <reference field="23" count="1" selected="0">
            <x v="1"/>
          </reference>
          <reference field="25" count="1" selected="0">
            <x v="0"/>
          </reference>
          <reference field="32" count="1">
            <x v="70"/>
          </reference>
        </references>
      </pivotArea>
    </format>
    <format dxfId="47">
      <pivotArea dataOnly="0" labelOnly="1" fieldPosition="0">
        <references count="3">
          <reference field="23" count="1" selected="0">
            <x v="1"/>
          </reference>
          <reference field="25" count="1" selected="0">
            <x v="1"/>
          </reference>
          <reference field="32" count="1">
            <x v="80"/>
          </reference>
        </references>
      </pivotArea>
    </format>
    <format dxfId="46">
      <pivotArea dataOnly="0" labelOnly="1" fieldPosition="0">
        <references count="3">
          <reference field="23" count="1" selected="0">
            <x v="4"/>
          </reference>
          <reference field="25" count="1" selected="0">
            <x v="1"/>
          </reference>
          <reference field="32" count="1">
            <x v="178"/>
          </reference>
        </references>
      </pivotArea>
    </format>
    <format dxfId="45">
      <pivotArea dataOnly="0" labelOnly="1" fieldPosition="0">
        <references count="3">
          <reference field="23" count="1" selected="0">
            <x v="0"/>
          </reference>
          <reference field="25" count="1" selected="0">
            <x v="1"/>
          </reference>
          <reference field="32" count="1">
            <x v="115"/>
          </reference>
        </references>
      </pivotArea>
    </format>
    <format dxfId="44">
      <pivotArea dataOnly="0" labelOnly="1" fieldPosition="0">
        <references count="3">
          <reference field="23" count="1" selected="0">
            <x v="1"/>
          </reference>
          <reference field="25" count="1" selected="0">
            <x v="0"/>
          </reference>
          <reference field="32" count="1">
            <x v="70"/>
          </reference>
        </references>
      </pivotArea>
    </format>
    <format dxfId="43">
      <pivotArea dataOnly="0" labelOnly="1" fieldPosition="0">
        <references count="3">
          <reference field="23" count="1" selected="0">
            <x v="1"/>
          </reference>
          <reference field="25" count="1" selected="0">
            <x v="1"/>
          </reference>
          <reference field="32" count="1">
            <x v="80"/>
          </reference>
        </references>
      </pivotArea>
    </format>
    <format dxfId="42">
      <pivotArea dataOnly="0" labelOnly="1" fieldPosition="0">
        <references count="3">
          <reference field="23" count="1" selected="0">
            <x v="4"/>
          </reference>
          <reference field="25" count="1" selected="0">
            <x v="1"/>
          </reference>
          <reference field="32" count="1">
            <x v="178"/>
          </reference>
        </references>
      </pivotArea>
    </format>
    <format dxfId="41">
      <pivotArea dataOnly="0" labelOnly="1" fieldPosition="0">
        <references count="3">
          <reference field="23" count="1" selected="0">
            <x v="6"/>
          </reference>
          <reference field="25" count="1" selected="0">
            <x v="1"/>
          </reference>
          <reference field="32" count="1">
            <x v="187"/>
          </reference>
        </references>
      </pivotArea>
    </format>
    <format dxfId="40">
      <pivotArea dataOnly="0" labelOnly="1" fieldPosition="0">
        <references count="1">
          <reference field="3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2C7546-2107-42CA-8BD8-30A69EBEA355}" name="Tableau croisé dynamique2"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rowHeaderCaption="Gains de CO2 par solution posée">
  <location ref="M79:M114" firstHeaderRow="1" firstDataRow="1" firstDataCol="1" rowPageCount="8" colPageCount="1"/>
  <pivotFields count="34">
    <pivotField showAll="0"/>
    <pivotField axis="axisPage" multipleItemSelectionAllowed="1" showAll="0">
      <items count="6">
        <item x="3"/>
        <item x="0"/>
        <item x="2"/>
        <item x="1"/>
        <item x="4"/>
        <item t="default"/>
      </items>
    </pivotField>
    <pivotField axis="axisPage" multipleItemSelectionAllowed="1" showAll="0">
      <items count="4">
        <item h="1" x="0"/>
        <item x="1"/>
        <item h="1" x="2"/>
        <item t="default"/>
      </items>
    </pivotField>
    <pivotField showAll="0"/>
    <pivotField showAll="0"/>
    <pivotField showAll="0"/>
    <pivotField showAll="0"/>
    <pivotField showAll="0"/>
    <pivotField showAll="0"/>
    <pivotField axis="axisPage" multipleItemSelectionAllowed="1" showAll="0">
      <items count="3">
        <item x="1"/>
        <item h="1" x="0"/>
        <item t="default"/>
      </items>
    </pivotField>
    <pivotField showAll="0"/>
    <pivotField showAll="0"/>
    <pivotField showAll="0"/>
    <pivotField showAll="0"/>
    <pivotField showAll="0"/>
    <pivotField showAll="0"/>
    <pivotField showAll="0"/>
    <pivotField showAll="0"/>
    <pivotField axis="axisPage" multipleItemSelectionAllowed="1" showAll="0">
      <items count="3">
        <item h="1" x="0"/>
        <item x="1"/>
        <item t="default"/>
      </items>
    </pivotField>
    <pivotField axis="axisPage" multipleItemSelectionAllowed="1" showAll="0">
      <items count="3">
        <item h="1" x="0"/>
        <item x="1"/>
        <item t="default"/>
      </items>
    </pivotField>
    <pivotField axis="axisPage" multipleItemSelectionAllowed="1" showAll="0">
      <items count="3">
        <item h="1" x="0"/>
        <item x="1"/>
        <item t="default"/>
      </items>
    </pivotField>
    <pivotField axis="axisPage" multipleItemSelectionAllowed="1" showAll="0">
      <items count="3">
        <item h="1" x="0"/>
        <item x="1"/>
        <item t="default"/>
      </items>
    </pivotField>
    <pivotField axis="axisPage" multipleItemSelectionAllowed="1" showAll="0">
      <items count="3">
        <item h="1" x="0"/>
        <item x="1"/>
        <item t="default"/>
      </items>
    </pivotField>
    <pivotField axis="axisRow" showAll="0">
      <items count="9">
        <item x="3"/>
        <item x="2"/>
        <item x="0"/>
        <item x="1"/>
        <item x="5"/>
        <item x="6"/>
        <item x="4"/>
        <item x="7"/>
        <item t="default"/>
      </items>
    </pivotField>
    <pivotField showAll="0"/>
    <pivotField axis="axisRow" showAll="0">
      <items count="3">
        <item x="1"/>
        <item x="0"/>
        <item t="default"/>
      </items>
    </pivotField>
    <pivotField showAll="0"/>
    <pivotField showAll="0"/>
    <pivotField showAll="0"/>
    <pivotField showAll="0"/>
    <pivotField showAll="0"/>
    <pivotField showAll="0"/>
    <pivotField axis="axisRow" showAll="0">
      <items count="189">
        <item x="167"/>
        <item x="96"/>
        <item x="133"/>
        <item x="104"/>
        <item x="141"/>
        <item x="166"/>
        <item x="146"/>
        <item x="111"/>
        <item x="56"/>
        <item x="16"/>
        <item x="34"/>
        <item x="25"/>
        <item x="65"/>
        <item x="74"/>
        <item x="181"/>
        <item x="5"/>
        <item x="97"/>
        <item x="0"/>
        <item x="10"/>
        <item x="119"/>
        <item x="124"/>
        <item x="45"/>
        <item x="161"/>
        <item x="156"/>
        <item x="142"/>
        <item x="50"/>
        <item x="90"/>
        <item x="182"/>
        <item x="57"/>
        <item x="82"/>
        <item x="87"/>
        <item x="66"/>
        <item x="147"/>
        <item x="26"/>
        <item x="112"/>
        <item x="1"/>
        <item x="6"/>
        <item x="35"/>
        <item x="120"/>
        <item x="83"/>
        <item x="11"/>
        <item x="75"/>
        <item x="125"/>
        <item x="42"/>
        <item x="128"/>
        <item x="154"/>
        <item x="46"/>
        <item x="157"/>
        <item x="17"/>
        <item x="51"/>
        <item x="91"/>
        <item x="162"/>
        <item x="163"/>
        <item x="180"/>
        <item x="174"/>
        <item x="159"/>
        <item x="165"/>
        <item x="73"/>
        <item x="53"/>
        <item x="110"/>
        <item x="48"/>
        <item x="64"/>
        <item x="55"/>
        <item x="93"/>
        <item x="95"/>
        <item x="130"/>
        <item x="44"/>
        <item x="122"/>
        <item x="85"/>
        <item x="145"/>
        <item x="140"/>
        <item x="132"/>
        <item x="170"/>
        <item x="176"/>
        <item x="33"/>
        <item x="69"/>
        <item x="78"/>
        <item x="115"/>
        <item x="150"/>
        <item x="183"/>
        <item x="60"/>
        <item x="136"/>
        <item x="105"/>
        <item x="100"/>
        <item x="92"/>
        <item x="175"/>
        <item x="168"/>
        <item x="24"/>
        <item x="15"/>
        <item x="113"/>
        <item x="84"/>
        <item x="158"/>
        <item x="76"/>
        <item x="67"/>
        <item x="88"/>
        <item x="148"/>
        <item x="58"/>
        <item x="143"/>
        <item x="52"/>
        <item x="134"/>
        <item x="47"/>
        <item x="13"/>
        <item x="43"/>
        <item x="121"/>
        <item x="8"/>
        <item x="98"/>
        <item x="126"/>
        <item x="3"/>
        <item x="129"/>
        <item x="137"/>
        <item x="27"/>
        <item x="18"/>
        <item x="36"/>
        <item x="171"/>
        <item x="101"/>
        <item x="61"/>
        <item x="107"/>
        <item x="177"/>
        <item x="70"/>
        <item x="151"/>
        <item x="12"/>
        <item x="116"/>
        <item x="2"/>
        <item x="7"/>
        <item x="79"/>
        <item x="20"/>
        <item x="185"/>
        <item x="186"/>
        <item x="29"/>
        <item x="86"/>
        <item x="38"/>
        <item x="178"/>
        <item x="89"/>
        <item x="172"/>
        <item x="127"/>
        <item x="123"/>
        <item x="21"/>
        <item x="152"/>
        <item x="117"/>
        <item x="62"/>
        <item x="30"/>
        <item x="94"/>
        <item x="138"/>
        <item x="108"/>
        <item x="102"/>
        <item x="155"/>
        <item x="131"/>
        <item x="4"/>
        <item x="160"/>
        <item x="39"/>
        <item x="9"/>
        <item x="49"/>
        <item x="40"/>
        <item x="71"/>
        <item x="14"/>
        <item x="54"/>
        <item x="80"/>
        <item x="135"/>
        <item x="99"/>
        <item x="31"/>
        <item x="22"/>
        <item x="106"/>
        <item x="59"/>
        <item x="169"/>
        <item x="28"/>
        <item x="19"/>
        <item x="68"/>
        <item x="164"/>
        <item x="114"/>
        <item x="37"/>
        <item x="184"/>
        <item x="77"/>
        <item x="149"/>
        <item x="173"/>
        <item x="139"/>
        <item x="103"/>
        <item x="187"/>
        <item x="72"/>
        <item x="63"/>
        <item x="109"/>
        <item x="179"/>
        <item x="32"/>
        <item x="81"/>
        <item x="153"/>
        <item x="41"/>
        <item x="23"/>
        <item x="118"/>
        <item x="144"/>
        <item t="default"/>
      </items>
    </pivotField>
    <pivotField showAll="0"/>
  </pivotFields>
  <rowFields count="3">
    <field x="23"/>
    <field x="25"/>
    <field x="32"/>
  </rowFields>
  <rowItems count="35">
    <i>
      <x/>
    </i>
    <i r="1">
      <x v="1"/>
    </i>
    <i r="2">
      <x v="115"/>
    </i>
    <i r="2">
      <x v="116"/>
    </i>
    <i r="2">
      <x v="117"/>
    </i>
    <i r="2">
      <x v="118"/>
    </i>
    <i r="2">
      <x v="140"/>
    </i>
    <i>
      <x v="1"/>
    </i>
    <i r="1">
      <x/>
    </i>
    <i r="2">
      <x v="54"/>
    </i>
    <i r="2">
      <x v="61"/>
    </i>
    <i r="2">
      <x v="68"/>
    </i>
    <i r="2">
      <x v="70"/>
    </i>
    <i r="2">
      <x v="87"/>
    </i>
    <i r="1">
      <x v="1"/>
    </i>
    <i r="2">
      <x v="73"/>
    </i>
    <i r="2">
      <x v="75"/>
    </i>
    <i r="2">
      <x v="80"/>
    </i>
    <i r="2">
      <x v="82"/>
    </i>
    <i r="2">
      <x v="128"/>
    </i>
    <i>
      <x v="4"/>
    </i>
    <i r="1">
      <x v="1"/>
    </i>
    <i r="2">
      <x v="177"/>
    </i>
    <i r="2">
      <x v="178"/>
    </i>
    <i r="2">
      <x v="179"/>
    </i>
    <i r="2">
      <x v="180"/>
    </i>
    <i r="2">
      <x v="181"/>
    </i>
    <i>
      <x v="6"/>
    </i>
    <i r="1">
      <x v="1"/>
    </i>
    <i r="2">
      <x v="131"/>
    </i>
    <i r="2">
      <x v="143"/>
    </i>
    <i r="2">
      <x v="153"/>
    </i>
    <i r="2">
      <x v="159"/>
    </i>
    <i r="2">
      <x v="187"/>
    </i>
    <i t="grand">
      <x/>
    </i>
  </rowItems>
  <colItems count="1">
    <i/>
  </colItems>
  <pageFields count="8">
    <pageField fld="1" hier="-1"/>
    <pageField fld="2" hier="-1"/>
    <pageField fld="9" hier="-1"/>
    <pageField fld="18" hier="-1"/>
    <pageField fld="19" hier="-1"/>
    <pageField fld="20" hier="-1"/>
    <pageField fld="21" hier="-1"/>
    <pageField fld="22" hier="-1"/>
  </pageFields>
  <formats count="9">
    <format dxfId="59">
      <pivotArea dataOnly="0" labelOnly="1" fieldPosition="0">
        <references count="2">
          <reference field="23" count="1" selected="0">
            <x v="2"/>
          </reference>
          <reference field="32" count="2">
            <x v="62"/>
            <x v="106"/>
          </reference>
        </references>
      </pivotArea>
    </format>
    <format dxfId="58">
      <pivotArea dataOnly="0" labelOnly="1" fieldPosition="0">
        <references count="2">
          <reference field="23" count="1" selected="0">
            <x v="3"/>
          </reference>
          <reference field="32" count="1">
            <x v="134"/>
          </reference>
        </references>
      </pivotArea>
    </format>
    <format dxfId="57">
      <pivotArea dataOnly="0" fieldPosition="0">
        <references count="1">
          <reference field="32" count="4">
            <x v="87"/>
            <x v="140"/>
            <x v="159"/>
            <x v="181"/>
          </reference>
        </references>
      </pivotArea>
    </format>
    <format dxfId="56">
      <pivotArea dataOnly="0" labelOnly="1" fieldPosition="0">
        <references count="1">
          <reference field="32" count="0"/>
        </references>
      </pivotArea>
    </format>
    <format dxfId="55">
      <pivotArea dataOnly="0" labelOnly="1" fieldPosition="0">
        <references count="3">
          <reference field="23" count="1" selected="0">
            <x v="0"/>
          </reference>
          <reference field="25" count="1" selected="0">
            <x v="1"/>
          </reference>
          <reference field="32" count="5">
            <x v="115"/>
            <x v="116"/>
            <x v="117"/>
            <x v="118"/>
            <x v="140"/>
          </reference>
        </references>
      </pivotArea>
    </format>
    <format dxfId="54">
      <pivotArea dataOnly="0" labelOnly="1" fieldPosition="0">
        <references count="3">
          <reference field="23" count="1" selected="0">
            <x v="1"/>
          </reference>
          <reference field="25" count="1" selected="0">
            <x v="0"/>
          </reference>
          <reference field="32" count="5">
            <x v="54"/>
            <x v="61"/>
            <x v="68"/>
            <x v="70"/>
            <x v="87"/>
          </reference>
        </references>
      </pivotArea>
    </format>
    <format dxfId="53">
      <pivotArea dataOnly="0" labelOnly="1" fieldPosition="0">
        <references count="3">
          <reference field="23" count="1" selected="0">
            <x v="1"/>
          </reference>
          <reference field="25" count="1" selected="0">
            <x v="1"/>
          </reference>
          <reference field="32" count="5">
            <x v="73"/>
            <x v="75"/>
            <x v="80"/>
            <x v="82"/>
            <x v="128"/>
          </reference>
        </references>
      </pivotArea>
    </format>
    <format dxfId="52">
      <pivotArea dataOnly="0" labelOnly="1" fieldPosition="0">
        <references count="3">
          <reference field="23" count="1" selected="0">
            <x v="4"/>
          </reference>
          <reference field="25" count="1" selected="0">
            <x v="1"/>
          </reference>
          <reference field="32" count="5">
            <x v="177"/>
            <x v="178"/>
            <x v="179"/>
            <x v="180"/>
            <x v="181"/>
          </reference>
        </references>
      </pivotArea>
    </format>
    <format dxfId="51">
      <pivotArea dataOnly="0" labelOnly="1" fieldPosition="0">
        <references count="3">
          <reference field="23" count="1" selected="0">
            <x v="6"/>
          </reference>
          <reference field="25" count="1" selected="0">
            <x v="1"/>
          </reference>
          <reference field="32" count="5">
            <x v="131"/>
            <x v="143"/>
            <x v="153"/>
            <x v="159"/>
            <x v="18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20391B-5E4D-4974-AF45-EDE1D93871C5}" name="Tableau croisé dynamique11"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rowHeaderCaption="Gains de CO2 par solution posée">
  <location ref="E48:E63" firstHeaderRow="1" firstDataRow="1" firstDataCol="1" rowPageCount="8" colPageCount="1"/>
  <pivotFields count="34">
    <pivotField showAll="0"/>
    <pivotField axis="axisPage" multipleItemSelectionAllowed="1" showAll="0">
      <items count="6">
        <item h="1" x="3"/>
        <item x="0"/>
        <item h="1" x="2"/>
        <item h="1" x="1"/>
        <item h="1" x="4"/>
        <item t="default"/>
      </items>
    </pivotField>
    <pivotField axis="axisPage" multipleItemSelectionAllowed="1" showAll="0">
      <items count="4">
        <item h="1" x="0"/>
        <item x="1"/>
        <item h="1" x="2"/>
        <item t="default"/>
      </items>
    </pivotField>
    <pivotField showAll="0"/>
    <pivotField showAll="0"/>
    <pivotField showAll="0"/>
    <pivotField showAll="0"/>
    <pivotField showAll="0"/>
    <pivotField showAll="0"/>
    <pivotField axis="axisPage" multipleItemSelectionAllowed="1" showAll="0">
      <items count="3">
        <item x="1"/>
        <item h="1" x="0"/>
        <item t="default"/>
      </items>
    </pivotField>
    <pivotField showAll="0"/>
    <pivotField showAll="0"/>
    <pivotField showAll="0"/>
    <pivotField showAll="0"/>
    <pivotField showAll="0"/>
    <pivotField showAll="0"/>
    <pivotField showAll="0"/>
    <pivotField showAll="0"/>
    <pivotField axis="axisPage" multipleItemSelectionAllowed="1" showAll="0">
      <items count="3">
        <item h="1" x="0"/>
        <item x="1"/>
        <item t="default"/>
      </items>
    </pivotField>
    <pivotField axis="axisPage" multipleItemSelectionAllowed="1" showAll="0">
      <items count="3">
        <item h="1" x="0"/>
        <item x="1"/>
        <item t="default"/>
      </items>
    </pivotField>
    <pivotField axis="axisPage" multipleItemSelectionAllowed="1" showAll="0">
      <items count="3">
        <item h="1" x="0"/>
        <item x="1"/>
        <item t="default"/>
      </items>
    </pivotField>
    <pivotField axis="axisPage" multipleItemSelectionAllowed="1" showAll="0">
      <items count="3">
        <item h="1" x="0"/>
        <item x="1"/>
        <item t="default"/>
      </items>
    </pivotField>
    <pivotField axis="axisPage" multipleItemSelectionAllowed="1" showAll="0">
      <items count="3">
        <item h="1" x="0"/>
        <item x="1"/>
        <item t="default"/>
      </items>
    </pivotField>
    <pivotField axis="axisRow" showAll="0">
      <items count="9">
        <item x="3"/>
        <item x="2"/>
        <item x="0"/>
        <item x="1"/>
        <item x="5"/>
        <item x="6"/>
        <item x="4"/>
        <item x="7"/>
        <item t="default"/>
      </items>
    </pivotField>
    <pivotField showAll="0"/>
    <pivotField axis="axisRow" showAll="0">
      <items count="3">
        <item x="1"/>
        <item x="0"/>
        <item t="default"/>
      </items>
    </pivotField>
    <pivotField showAll="0"/>
    <pivotField showAll="0"/>
    <pivotField showAll="0"/>
    <pivotField showAll="0"/>
    <pivotField showAll="0"/>
    <pivotField showAll="0"/>
    <pivotField axis="axisRow" showAll="0">
      <items count="189">
        <item x="167"/>
        <item x="96"/>
        <item x="133"/>
        <item x="104"/>
        <item x="141"/>
        <item x="166"/>
        <item x="146"/>
        <item x="111"/>
        <item x="56"/>
        <item x="16"/>
        <item x="34"/>
        <item x="25"/>
        <item x="65"/>
        <item x="74"/>
        <item x="181"/>
        <item x="5"/>
        <item x="97"/>
        <item x="0"/>
        <item x="10"/>
        <item x="119"/>
        <item x="124"/>
        <item x="45"/>
        <item x="161"/>
        <item x="156"/>
        <item x="142"/>
        <item x="50"/>
        <item x="90"/>
        <item x="182"/>
        <item x="57"/>
        <item x="82"/>
        <item x="87"/>
        <item x="66"/>
        <item x="147"/>
        <item x="26"/>
        <item x="112"/>
        <item x="1"/>
        <item x="6"/>
        <item x="35"/>
        <item x="120"/>
        <item x="83"/>
        <item x="11"/>
        <item x="75"/>
        <item x="125"/>
        <item x="42"/>
        <item x="128"/>
        <item x="154"/>
        <item x="46"/>
        <item x="157"/>
        <item x="17"/>
        <item x="51"/>
        <item x="91"/>
        <item x="162"/>
        <item x="163"/>
        <item x="180"/>
        <item x="174"/>
        <item x="159"/>
        <item x="165"/>
        <item x="73"/>
        <item x="53"/>
        <item x="110"/>
        <item x="48"/>
        <item x="64"/>
        <item x="55"/>
        <item x="93"/>
        <item x="95"/>
        <item x="130"/>
        <item x="44"/>
        <item x="122"/>
        <item x="85"/>
        <item x="145"/>
        <item x="140"/>
        <item x="132"/>
        <item x="170"/>
        <item x="176"/>
        <item x="33"/>
        <item x="69"/>
        <item x="78"/>
        <item x="115"/>
        <item x="150"/>
        <item x="183"/>
        <item x="60"/>
        <item x="136"/>
        <item x="105"/>
        <item x="100"/>
        <item x="92"/>
        <item x="175"/>
        <item x="168"/>
        <item x="24"/>
        <item x="15"/>
        <item x="113"/>
        <item x="84"/>
        <item x="158"/>
        <item x="76"/>
        <item x="67"/>
        <item x="88"/>
        <item x="148"/>
        <item x="58"/>
        <item x="143"/>
        <item x="52"/>
        <item x="134"/>
        <item x="47"/>
        <item x="13"/>
        <item x="43"/>
        <item x="121"/>
        <item x="8"/>
        <item x="98"/>
        <item x="126"/>
        <item x="3"/>
        <item x="129"/>
        <item x="137"/>
        <item x="27"/>
        <item x="18"/>
        <item x="36"/>
        <item x="171"/>
        <item x="101"/>
        <item x="61"/>
        <item x="107"/>
        <item x="177"/>
        <item x="70"/>
        <item x="151"/>
        <item x="12"/>
        <item x="116"/>
        <item x="2"/>
        <item x="7"/>
        <item x="79"/>
        <item x="20"/>
        <item x="185"/>
        <item x="186"/>
        <item x="29"/>
        <item x="86"/>
        <item x="38"/>
        <item x="178"/>
        <item x="89"/>
        <item x="172"/>
        <item x="127"/>
        <item x="123"/>
        <item x="21"/>
        <item x="152"/>
        <item x="117"/>
        <item x="62"/>
        <item x="30"/>
        <item x="94"/>
        <item x="138"/>
        <item x="108"/>
        <item x="102"/>
        <item x="155"/>
        <item x="131"/>
        <item x="4"/>
        <item x="160"/>
        <item x="39"/>
        <item x="9"/>
        <item x="49"/>
        <item x="40"/>
        <item x="71"/>
        <item x="14"/>
        <item x="54"/>
        <item x="80"/>
        <item x="135"/>
        <item x="99"/>
        <item x="31"/>
        <item x="22"/>
        <item x="106"/>
        <item x="59"/>
        <item x="169"/>
        <item x="28"/>
        <item x="19"/>
        <item x="68"/>
        <item x="164"/>
        <item x="114"/>
        <item x="37"/>
        <item x="184"/>
        <item x="77"/>
        <item x="149"/>
        <item x="173"/>
        <item x="139"/>
        <item x="103"/>
        <item x="187"/>
        <item x="72"/>
        <item x="63"/>
        <item x="109"/>
        <item x="179"/>
        <item x="32"/>
        <item x="81"/>
        <item x="153"/>
        <item x="41"/>
        <item x="23"/>
        <item x="118"/>
        <item x="144"/>
        <item t="default"/>
      </items>
    </pivotField>
    <pivotField showAll="0"/>
  </pivotFields>
  <rowFields count="3">
    <field x="23"/>
    <field x="25"/>
    <field x="32"/>
  </rowFields>
  <rowItems count="15">
    <i>
      <x/>
    </i>
    <i r="1">
      <x v="1"/>
    </i>
    <i r="2">
      <x v="140"/>
    </i>
    <i>
      <x v="1"/>
    </i>
    <i r="1">
      <x/>
    </i>
    <i r="2">
      <x v="87"/>
    </i>
    <i r="1">
      <x v="1"/>
    </i>
    <i r="2">
      <x v="128"/>
    </i>
    <i>
      <x v="4"/>
    </i>
    <i r="1">
      <x v="1"/>
    </i>
    <i r="2">
      <x v="181"/>
    </i>
    <i>
      <x v="6"/>
    </i>
    <i r="1">
      <x v="1"/>
    </i>
    <i r="2">
      <x v="159"/>
    </i>
    <i t="grand">
      <x/>
    </i>
  </rowItems>
  <colItems count="1">
    <i/>
  </colItems>
  <pageFields count="8">
    <pageField fld="1" hier="-1"/>
    <pageField fld="2" hier="-1"/>
    <pageField fld="9" hier="-1"/>
    <pageField fld="18" hier="-1"/>
    <pageField fld="19" hier="-1"/>
    <pageField fld="20" hier="-1"/>
    <pageField fld="21" hier="-1"/>
    <pageField fld="22" hier="-1"/>
  </pageFields>
  <formats count="5">
    <format dxfId="64">
      <pivotArea dataOnly="0" labelOnly="1" fieldPosition="0">
        <references count="2">
          <reference field="23" count="1" selected="0">
            <x v="2"/>
          </reference>
          <reference field="32" count="2">
            <x v="62"/>
            <x v="106"/>
          </reference>
        </references>
      </pivotArea>
    </format>
    <format dxfId="63">
      <pivotArea dataOnly="0" labelOnly="1" fieldPosition="0">
        <references count="2">
          <reference field="23" count="1" selected="0">
            <x v="3"/>
          </reference>
          <reference field="32" count="1">
            <x v="134"/>
          </reference>
        </references>
      </pivotArea>
    </format>
    <format dxfId="62">
      <pivotArea dataOnly="0" fieldPosition="0">
        <references count="1">
          <reference field="32" count="4">
            <x v="87"/>
            <x v="140"/>
            <x v="159"/>
            <x v="181"/>
          </reference>
        </references>
      </pivotArea>
    </format>
    <format dxfId="61">
      <pivotArea dataOnly="0" labelOnly="1" fieldPosition="0">
        <references count="3">
          <reference field="23" count="1" selected="0">
            <x v="1"/>
          </reference>
          <reference field="25" count="1" selected="0">
            <x v="1"/>
          </reference>
          <reference field="32" count="1">
            <x v="128"/>
          </reference>
        </references>
      </pivotArea>
    </format>
    <format dxfId="60">
      <pivotArea dataOnly="0" labelOnly="1" fieldPosition="0">
        <references count="1">
          <reference field="3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159DAF-2794-4DBC-8913-9C5C81A17EE3}" name="Tableau croisé dynamique13"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rowHeaderCaption="Gains de CO2 par solution posée">
  <location ref="H19:H26" firstHeaderRow="1" firstDataRow="1" firstDataCol="1" rowPageCount="8" colPageCount="1"/>
  <pivotFields count="34">
    <pivotField showAll="0"/>
    <pivotField axis="axisPage" multipleItemSelectionAllowed="1" showAll="0">
      <items count="6">
        <item h="1" x="3"/>
        <item h="1" x="0"/>
        <item x="2"/>
        <item h="1" x="1"/>
        <item h="1" x="4"/>
        <item t="default"/>
      </items>
    </pivotField>
    <pivotField axis="axisPage" multipleItemSelectionAllowed="1" showAll="0">
      <items count="4">
        <item h="1" x="0"/>
        <item x="1"/>
        <item h="1" x="2"/>
        <item t="default"/>
      </items>
    </pivotField>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Row" showAll="0">
      <items count="9">
        <item x="3"/>
        <item x="2"/>
        <item x="0"/>
        <item x="1"/>
        <item x="5"/>
        <item x="6"/>
        <item x="4"/>
        <item x="7"/>
        <item t="default"/>
      </items>
    </pivotField>
    <pivotField showAll="0"/>
    <pivotField axis="axisRow" showAll="0">
      <items count="3">
        <item x="1"/>
        <item x="0"/>
        <item t="default"/>
      </items>
    </pivotField>
    <pivotField showAll="0"/>
    <pivotField showAll="0"/>
    <pivotField showAll="0"/>
    <pivotField showAll="0"/>
    <pivotField showAll="0"/>
    <pivotField showAll="0"/>
    <pivotField axis="axisRow" showAll="0">
      <items count="189">
        <item x="167"/>
        <item x="96"/>
        <item x="133"/>
        <item x="104"/>
        <item x="141"/>
        <item x="166"/>
        <item x="146"/>
        <item x="111"/>
        <item x="56"/>
        <item x="16"/>
        <item x="34"/>
        <item x="25"/>
        <item x="65"/>
        <item x="74"/>
        <item x="181"/>
        <item x="5"/>
        <item x="97"/>
        <item x="0"/>
        <item x="10"/>
        <item x="119"/>
        <item x="124"/>
        <item x="45"/>
        <item x="161"/>
        <item x="156"/>
        <item x="142"/>
        <item x="50"/>
        <item x="90"/>
        <item x="182"/>
        <item x="57"/>
        <item x="82"/>
        <item x="87"/>
        <item x="66"/>
        <item x="147"/>
        <item x="26"/>
        <item x="112"/>
        <item x="1"/>
        <item x="6"/>
        <item x="35"/>
        <item x="120"/>
        <item x="83"/>
        <item x="11"/>
        <item x="75"/>
        <item x="125"/>
        <item x="42"/>
        <item x="128"/>
        <item x="154"/>
        <item x="46"/>
        <item x="157"/>
        <item x="17"/>
        <item x="51"/>
        <item x="91"/>
        <item x="162"/>
        <item x="163"/>
        <item x="180"/>
        <item x="174"/>
        <item x="159"/>
        <item x="165"/>
        <item x="73"/>
        <item x="53"/>
        <item x="110"/>
        <item x="48"/>
        <item x="64"/>
        <item x="55"/>
        <item x="93"/>
        <item x="95"/>
        <item x="130"/>
        <item x="44"/>
        <item x="122"/>
        <item x="85"/>
        <item x="145"/>
        <item x="140"/>
        <item x="132"/>
        <item x="170"/>
        <item x="176"/>
        <item x="33"/>
        <item x="69"/>
        <item x="78"/>
        <item x="115"/>
        <item x="150"/>
        <item x="183"/>
        <item x="60"/>
        <item x="136"/>
        <item x="105"/>
        <item x="100"/>
        <item x="92"/>
        <item x="175"/>
        <item x="168"/>
        <item x="24"/>
        <item x="15"/>
        <item x="113"/>
        <item x="84"/>
        <item x="158"/>
        <item x="76"/>
        <item x="67"/>
        <item x="88"/>
        <item x="148"/>
        <item x="58"/>
        <item x="143"/>
        <item x="52"/>
        <item x="134"/>
        <item x="47"/>
        <item x="13"/>
        <item x="43"/>
        <item x="121"/>
        <item x="8"/>
        <item x="98"/>
        <item x="126"/>
        <item x="3"/>
        <item x="129"/>
        <item x="137"/>
        <item x="27"/>
        <item x="18"/>
        <item x="36"/>
        <item x="171"/>
        <item x="101"/>
        <item x="61"/>
        <item x="107"/>
        <item x="177"/>
        <item x="70"/>
        <item x="151"/>
        <item x="12"/>
        <item x="116"/>
        <item x="2"/>
        <item x="7"/>
        <item x="79"/>
        <item x="20"/>
        <item x="185"/>
        <item x="186"/>
        <item x="29"/>
        <item x="86"/>
        <item x="38"/>
        <item x="178"/>
        <item x="89"/>
        <item x="172"/>
        <item x="127"/>
        <item x="123"/>
        <item x="21"/>
        <item x="152"/>
        <item x="117"/>
        <item x="62"/>
        <item x="30"/>
        <item x="94"/>
        <item x="138"/>
        <item x="108"/>
        <item x="102"/>
        <item x="155"/>
        <item x="131"/>
        <item x="4"/>
        <item x="160"/>
        <item x="39"/>
        <item x="9"/>
        <item x="49"/>
        <item x="40"/>
        <item x="71"/>
        <item x="14"/>
        <item x="54"/>
        <item x="80"/>
        <item x="135"/>
        <item x="99"/>
        <item x="31"/>
        <item x="22"/>
        <item x="106"/>
        <item x="59"/>
        <item x="169"/>
        <item x="28"/>
        <item x="19"/>
        <item x="68"/>
        <item x="164"/>
        <item x="114"/>
        <item x="37"/>
        <item x="184"/>
        <item x="77"/>
        <item x="149"/>
        <item x="173"/>
        <item x="139"/>
        <item x="103"/>
        <item x="187"/>
        <item x="72"/>
        <item x="63"/>
        <item x="109"/>
        <item x="179"/>
        <item x="32"/>
        <item x="81"/>
        <item x="153"/>
        <item x="41"/>
        <item x="23"/>
        <item x="118"/>
        <item x="144"/>
        <item t="default"/>
      </items>
    </pivotField>
    <pivotField showAll="0"/>
  </pivotFields>
  <rowFields count="3">
    <field x="23"/>
    <field x="25"/>
    <field x="32"/>
  </rowFields>
  <rowItems count="7">
    <i>
      <x v="2"/>
    </i>
    <i r="1">
      <x v="1"/>
    </i>
    <i r="2">
      <x v="30"/>
    </i>
    <i>
      <x v="3"/>
    </i>
    <i r="1">
      <x v="1"/>
    </i>
    <i r="2">
      <x v="49"/>
    </i>
    <i t="grand">
      <x/>
    </i>
  </rowItems>
  <colItems count="1">
    <i/>
  </colItems>
  <pageFields count="8">
    <pageField fld="1" hier="-1"/>
    <pageField fld="2" hier="-1"/>
    <pageField fld="9" hier="-1"/>
    <pageField fld="18" hier="-1"/>
    <pageField fld="19" hier="-1"/>
    <pageField fld="20" hier="-1"/>
    <pageField fld="21" hier="-1"/>
    <pageField fld="22" hier="-1"/>
  </pageFields>
  <formats count="13">
    <format dxfId="77">
      <pivotArea dataOnly="0" labelOnly="1" fieldPosition="0">
        <references count="2">
          <reference field="23" count="1" selected="0">
            <x v="2"/>
          </reference>
          <reference field="32" count="2">
            <x v="62"/>
            <x v="106"/>
          </reference>
        </references>
      </pivotArea>
    </format>
    <format dxfId="76">
      <pivotArea dataOnly="0" labelOnly="1" fieldPosition="0">
        <references count="2">
          <reference field="23" count="1" selected="0">
            <x v="3"/>
          </reference>
          <reference field="32" count="1">
            <x v="134"/>
          </reference>
        </references>
      </pivotArea>
    </format>
    <format dxfId="75">
      <pivotArea dataOnly="0" labelOnly="1" fieldPosition="0">
        <references count="3">
          <reference field="23" count="1" selected="0">
            <x v="2"/>
          </reference>
          <reference field="25" count="1" selected="0">
            <x v="0"/>
          </reference>
          <reference field="32" count="1">
            <x v="104"/>
          </reference>
        </references>
      </pivotArea>
    </format>
    <format dxfId="74">
      <pivotArea dataOnly="0" labelOnly="1" fieldPosition="0">
        <references count="3">
          <reference field="23" count="1" selected="0">
            <x v="2"/>
          </reference>
          <reference field="25" count="1" selected="0">
            <x v="1"/>
          </reference>
          <reference field="32" count="1">
            <x v="123"/>
          </reference>
        </references>
      </pivotArea>
    </format>
    <format dxfId="73">
      <pivotArea dataOnly="0" labelOnly="1" fieldPosition="0">
        <references count="3">
          <reference field="23" count="1" selected="0">
            <x v="3"/>
          </reference>
          <reference field="25" count="1" selected="0">
            <x v="1"/>
          </reference>
          <reference field="32" count="1">
            <x v="150"/>
          </reference>
        </references>
      </pivotArea>
    </format>
    <format dxfId="72">
      <pivotArea dataOnly="0" labelOnly="1" fieldPosition="0">
        <references count="3">
          <reference field="23" count="1" selected="0">
            <x v="2"/>
          </reference>
          <reference field="25" count="1" selected="0">
            <x v="0"/>
          </reference>
          <reference field="32" count="1">
            <x v="68"/>
          </reference>
        </references>
      </pivotArea>
    </format>
    <format dxfId="71">
      <pivotArea dataOnly="0" labelOnly="1" fieldPosition="0">
        <references count="3">
          <reference field="23" count="1" selected="0">
            <x v="2"/>
          </reference>
          <reference field="25" count="1" selected="0">
            <x v="1"/>
          </reference>
          <reference field="32" count="1">
            <x v="94"/>
          </reference>
        </references>
      </pivotArea>
    </format>
    <format dxfId="70">
      <pivotArea dataOnly="0" labelOnly="1" fieldPosition="0">
        <references count="3">
          <reference field="23" count="1" selected="0">
            <x v="3"/>
          </reference>
          <reference field="25" count="1" selected="0">
            <x v="1"/>
          </reference>
          <reference field="32" count="1">
            <x v="132"/>
          </reference>
        </references>
      </pivotArea>
    </format>
    <format dxfId="69">
      <pivotArea dataOnly="0" labelOnly="1" fieldPosition="0">
        <references count="3">
          <reference field="23" count="1" selected="0">
            <x v="2"/>
          </reference>
          <reference field="25" count="1" selected="0">
            <x v="0"/>
          </reference>
          <reference field="32" count="1">
            <x v="68"/>
          </reference>
        </references>
      </pivotArea>
    </format>
    <format dxfId="68">
      <pivotArea dataOnly="0" labelOnly="1" fieldPosition="0">
        <references count="3">
          <reference field="23" count="1" selected="0">
            <x v="2"/>
          </reference>
          <reference field="25" count="1" selected="0">
            <x v="1"/>
          </reference>
          <reference field="32" count="1">
            <x v="94"/>
          </reference>
        </references>
      </pivotArea>
    </format>
    <format dxfId="67">
      <pivotArea dataOnly="0" labelOnly="1" fieldPosition="0">
        <references count="3">
          <reference field="23" count="1" selected="0">
            <x v="3"/>
          </reference>
          <reference field="25" count="1" selected="0">
            <x v="1"/>
          </reference>
          <reference field="32" count="1">
            <x v="132"/>
          </reference>
        </references>
      </pivotArea>
    </format>
    <format dxfId="66">
      <pivotArea dataOnly="0" labelOnly="1" fieldPosition="0">
        <references count="3">
          <reference field="23" count="1" selected="0">
            <x v="2"/>
          </reference>
          <reference field="25" count="1" selected="0">
            <x v="1"/>
          </reference>
          <reference field="32" count="1">
            <x v="30"/>
          </reference>
        </references>
      </pivotArea>
    </format>
    <format dxfId="65">
      <pivotArea dataOnly="0" labelOnly="1" fieldPosition="0">
        <references count="3">
          <reference field="23" count="1" selected="0">
            <x v="3"/>
          </reference>
          <reference field="25" count="1" selected="0">
            <x v="1"/>
          </reference>
          <reference field="32" count="1">
            <x v="4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800D4B-8522-4806-A1B0-888902F28EE2}" name="Tableau croisé dynamique4"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rowHeaderCaption="Gains de CO2 par solution posée">
  <location ref="M20:M35" firstHeaderRow="1" firstDataRow="1" firstDataCol="1" rowPageCount="8" colPageCount="1"/>
  <pivotFields count="34">
    <pivotField showAll="0"/>
    <pivotField axis="axisPage" multipleItemSelectionAllowed="1" showAll="0">
      <items count="6">
        <item x="3"/>
        <item x="0"/>
        <item x="2"/>
        <item x="1"/>
        <item x="4"/>
        <item t="default"/>
      </items>
    </pivotField>
    <pivotField axis="axisPage" multipleItemSelectionAllowed="1" showAll="0">
      <items count="4">
        <item h="1" x="0"/>
        <item x="1"/>
        <item h="1" x="2"/>
        <item t="default"/>
      </items>
    </pivotField>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Row" showAll="0">
      <items count="9">
        <item x="3"/>
        <item x="2"/>
        <item x="0"/>
        <item x="1"/>
        <item x="5"/>
        <item x="6"/>
        <item x="4"/>
        <item x="7"/>
        <item t="default"/>
      </items>
    </pivotField>
    <pivotField showAll="0"/>
    <pivotField axis="axisRow" showAll="0">
      <items count="3">
        <item x="1"/>
        <item x="0"/>
        <item t="default"/>
      </items>
    </pivotField>
    <pivotField showAll="0"/>
    <pivotField showAll="0"/>
    <pivotField showAll="0"/>
    <pivotField showAll="0"/>
    <pivotField showAll="0"/>
    <pivotField showAll="0"/>
    <pivotField axis="axisRow" showAll="0">
      <items count="189">
        <item x="167"/>
        <item x="96"/>
        <item x="133"/>
        <item x="104"/>
        <item x="141"/>
        <item x="166"/>
        <item x="146"/>
        <item x="111"/>
        <item x="56"/>
        <item x="16"/>
        <item x="34"/>
        <item x="25"/>
        <item x="65"/>
        <item x="74"/>
        <item x="181"/>
        <item x="5"/>
        <item x="97"/>
        <item x="0"/>
        <item x="10"/>
        <item x="119"/>
        <item x="124"/>
        <item x="45"/>
        <item x="161"/>
        <item x="156"/>
        <item x="142"/>
        <item x="50"/>
        <item x="90"/>
        <item x="182"/>
        <item x="57"/>
        <item x="82"/>
        <item x="87"/>
        <item x="66"/>
        <item x="147"/>
        <item x="26"/>
        <item x="112"/>
        <item x="1"/>
        <item x="6"/>
        <item x="35"/>
        <item x="120"/>
        <item x="83"/>
        <item x="11"/>
        <item x="75"/>
        <item x="125"/>
        <item x="42"/>
        <item x="128"/>
        <item x="154"/>
        <item x="46"/>
        <item x="157"/>
        <item x="17"/>
        <item x="51"/>
        <item x="91"/>
        <item x="162"/>
        <item x="163"/>
        <item x="180"/>
        <item x="174"/>
        <item x="159"/>
        <item x="165"/>
        <item x="73"/>
        <item x="53"/>
        <item x="110"/>
        <item x="48"/>
        <item x="64"/>
        <item x="55"/>
        <item x="93"/>
        <item x="95"/>
        <item x="130"/>
        <item x="44"/>
        <item x="122"/>
        <item x="85"/>
        <item x="145"/>
        <item x="140"/>
        <item x="132"/>
        <item x="170"/>
        <item x="176"/>
        <item x="33"/>
        <item x="69"/>
        <item x="78"/>
        <item x="115"/>
        <item x="150"/>
        <item x="183"/>
        <item x="60"/>
        <item x="136"/>
        <item x="105"/>
        <item x="100"/>
        <item x="92"/>
        <item x="175"/>
        <item x="168"/>
        <item x="24"/>
        <item x="15"/>
        <item x="113"/>
        <item x="84"/>
        <item x="158"/>
        <item x="76"/>
        <item x="67"/>
        <item x="88"/>
        <item x="148"/>
        <item x="58"/>
        <item x="143"/>
        <item x="52"/>
        <item x="134"/>
        <item x="47"/>
        <item x="13"/>
        <item x="43"/>
        <item x="121"/>
        <item x="8"/>
        <item x="98"/>
        <item x="126"/>
        <item x="3"/>
        <item x="129"/>
        <item x="137"/>
        <item x="27"/>
        <item x="18"/>
        <item x="36"/>
        <item x="171"/>
        <item x="101"/>
        <item x="61"/>
        <item x="107"/>
        <item x="177"/>
        <item x="70"/>
        <item x="151"/>
        <item x="12"/>
        <item x="116"/>
        <item x="2"/>
        <item x="7"/>
        <item x="79"/>
        <item x="20"/>
        <item x="185"/>
        <item x="186"/>
        <item x="29"/>
        <item x="86"/>
        <item x="38"/>
        <item x="178"/>
        <item x="89"/>
        <item x="172"/>
        <item x="127"/>
        <item x="123"/>
        <item x="21"/>
        <item x="152"/>
        <item x="117"/>
        <item x="62"/>
        <item x="30"/>
        <item x="94"/>
        <item x="138"/>
        <item x="108"/>
        <item x="102"/>
        <item x="155"/>
        <item x="131"/>
        <item x="4"/>
        <item x="160"/>
        <item x="39"/>
        <item x="9"/>
        <item x="49"/>
        <item x="40"/>
        <item x="71"/>
        <item x="14"/>
        <item x="54"/>
        <item x="80"/>
        <item x="135"/>
        <item x="99"/>
        <item x="31"/>
        <item x="22"/>
        <item x="106"/>
        <item x="59"/>
        <item x="169"/>
        <item x="28"/>
        <item x="19"/>
        <item x="68"/>
        <item x="164"/>
        <item x="114"/>
        <item x="37"/>
        <item x="184"/>
        <item x="77"/>
        <item x="149"/>
        <item x="173"/>
        <item x="139"/>
        <item x="103"/>
        <item x="187"/>
        <item x="72"/>
        <item x="63"/>
        <item x="109"/>
        <item x="179"/>
        <item x="32"/>
        <item x="81"/>
        <item x="153"/>
        <item x="41"/>
        <item x="23"/>
        <item x="118"/>
        <item x="144"/>
        <item t="default"/>
      </items>
    </pivotField>
    <pivotField showAll="0"/>
  </pivotFields>
  <rowFields count="3">
    <field x="23"/>
    <field x="25"/>
    <field x="32"/>
  </rowFields>
  <rowItems count="15">
    <i>
      <x v="2"/>
    </i>
    <i r="1">
      <x v="1"/>
    </i>
    <i r="2">
      <x v="15"/>
    </i>
    <i r="2">
      <x v="20"/>
    </i>
    <i r="2">
      <x v="21"/>
    </i>
    <i r="2">
      <x v="23"/>
    </i>
    <i r="2">
      <x v="30"/>
    </i>
    <i>
      <x v="3"/>
    </i>
    <i r="1">
      <x v="1"/>
    </i>
    <i r="2">
      <x v="36"/>
    </i>
    <i r="2">
      <x v="42"/>
    </i>
    <i r="2">
      <x v="46"/>
    </i>
    <i r="2">
      <x v="47"/>
    </i>
    <i r="2">
      <x v="49"/>
    </i>
    <i t="grand">
      <x/>
    </i>
  </rowItems>
  <colItems count="1">
    <i/>
  </colItems>
  <pageFields count="8">
    <pageField fld="1" hier="-1"/>
    <pageField fld="2" hier="-1"/>
    <pageField fld="9" hier="-1"/>
    <pageField fld="18" hier="-1"/>
    <pageField fld="19" hier="-1"/>
    <pageField fld="20" hier="-1"/>
    <pageField fld="21" hier="-1"/>
    <pageField fld="22" hier="-1"/>
  </pageFields>
  <formats count="13">
    <format dxfId="90">
      <pivotArea dataOnly="0" labelOnly="1" fieldPosition="0">
        <references count="2">
          <reference field="23" count="1" selected="0">
            <x v="2"/>
          </reference>
          <reference field="32" count="2">
            <x v="62"/>
            <x v="106"/>
          </reference>
        </references>
      </pivotArea>
    </format>
    <format dxfId="89">
      <pivotArea dataOnly="0" labelOnly="1" fieldPosition="0">
        <references count="2">
          <reference field="23" count="1" selected="0">
            <x v="3"/>
          </reference>
          <reference field="32" count="1">
            <x v="134"/>
          </reference>
        </references>
      </pivotArea>
    </format>
    <format dxfId="88">
      <pivotArea dataOnly="0" labelOnly="1" fieldPosition="0">
        <references count="3">
          <reference field="23" count="1" selected="0">
            <x v="2"/>
          </reference>
          <reference field="25" count="1" selected="0">
            <x v="0"/>
          </reference>
          <reference field="32" count="1">
            <x v="104"/>
          </reference>
        </references>
      </pivotArea>
    </format>
    <format dxfId="87">
      <pivotArea dataOnly="0" labelOnly="1" fieldPosition="0">
        <references count="3">
          <reference field="23" count="1" selected="0">
            <x v="2"/>
          </reference>
          <reference field="25" count="1" selected="0">
            <x v="1"/>
          </reference>
          <reference field="32" count="1">
            <x v="123"/>
          </reference>
        </references>
      </pivotArea>
    </format>
    <format dxfId="86">
      <pivotArea dataOnly="0" labelOnly="1" fieldPosition="0">
        <references count="3">
          <reference field="23" count="1" selected="0">
            <x v="3"/>
          </reference>
          <reference field="25" count="1" selected="0">
            <x v="1"/>
          </reference>
          <reference field="32" count="1">
            <x v="150"/>
          </reference>
        </references>
      </pivotArea>
    </format>
    <format dxfId="85">
      <pivotArea dataOnly="0" labelOnly="1" fieldPosition="0">
        <references count="3">
          <reference field="23" count="1" selected="0">
            <x v="2"/>
          </reference>
          <reference field="25" count="1" selected="0">
            <x v="0"/>
          </reference>
          <reference field="32" count="1">
            <x v="68"/>
          </reference>
        </references>
      </pivotArea>
    </format>
    <format dxfId="84">
      <pivotArea dataOnly="0" labelOnly="1" fieldPosition="0">
        <references count="3">
          <reference field="23" count="1" selected="0">
            <x v="2"/>
          </reference>
          <reference field="25" count="1" selected="0">
            <x v="1"/>
          </reference>
          <reference field="32" count="1">
            <x v="94"/>
          </reference>
        </references>
      </pivotArea>
    </format>
    <format dxfId="83">
      <pivotArea dataOnly="0" labelOnly="1" fieldPosition="0">
        <references count="3">
          <reference field="23" count="1" selected="0">
            <x v="3"/>
          </reference>
          <reference field="25" count="1" selected="0">
            <x v="1"/>
          </reference>
          <reference field="32" count="1">
            <x v="132"/>
          </reference>
        </references>
      </pivotArea>
    </format>
    <format dxfId="82">
      <pivotArea dataOnly="0" labelOnly="1" fieldPosition="0">
        <references count="3">
          <reference field="23" count="1" selected="0">
            <x v="2"/>
          </reference>
          <reference field="25" count="1" selected="0">
            <x v="0"/>
          </reference>
          <reference field="32" count="1">
            <x v="68"/>
          </reference>
        </references>
      </pivotArea>
    </format>
    <format dxfId="81">
      <pivotArea dataOnly="0" labelOnly="1" fieldPosition="0">
        <references count="3">
          <reference field="23" count="1" selected="0">
            <x v="2"/>
          </reference>
          <reference field="25" count="1" selected="0">
            <x v="1"/>
          </reference>
          <reference field="32" count="1">
            <x v="94"/>
          </reference>
        </references>
      </pivotArea>
    </format>
    <format dxfId="80">
      <pivotArea dataOnly="0" labelOnly="1" fieldPosition="0">
        <references count="3">
          <reference field="23" count="1" selected="0">
            <x v="3"/>
          </reference>
          <reference field="25" count="1" selected="0">
            <x v="1"/>
          </reference>
          <reference field="32" count="1">
            <x v="132"/>
          </reference>
        </references>
      </pivotArea>
    </format>
    <format dxfId="79">
      <pivotArea dataOnly="0" labelOnly="1" fieldPosition="0">
        <references count="3">
          <reference field="23" count="1" selected="0">
            <x v="2"/>
          </reference>
          <reference field="25" count="1" selected="0">
            <x v="1"/>
          </reference>
          <reference field="32" count="5">
            <x v="15"/>
            <x v="20"/>
            <x v="21"/>
            <x v="23"/>
            <x v="30"/>
          </reference>
        </references>
      </pivotArea>
    </format>
    <format dxfId="78">
      <pivotArea dataOnly="0" labelOnly="1" fieldPosition="0">
        <references count="3">
          <reference field="23" count="1" selected="0">
            <x v="3"/>
          </reference>
          <reference field="25" count="1" selected="0">
            <x v="1"/>
          </reference>
          <reference field="32" count="5">
            <x v="36"/>
            <x v="42"/>
            <x v="46"/>
            <x v="47"/>
            <x v="4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0CD5C4-F0AE-4C41-A088-ECA9B79CBE01}" name="Tableau croisé dynamique12"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rowHeaderCaption="Gains de CO2 par solution posée">
  <location ref="H48:H63" firstHeaderRow="1" firstDataRow="1" firstDataCol="1" rowPageCount="8" colPageCount="1"/>
  <pivotFields count="34">
    <pivotField showAll="0"/>
    <pivotField axis="axisPage" multipleItemSelectionAllowed="1" showAll="0">
      <items count="6">
        <item h="1" x="3"/>
        <item h="1" x="0"/>
        <item x="2"/>
        <item h="1" x="1"/>
        <item h="1" x="4"/>
        <item t="default"/>
      </items>
    </pivotField>
    <pivotField axis="axisPage" multipleItemSelectionAllowed="1" showAll="0">
      <items count="4">
        <item h="1" x="0"/>
        <item x="1"/>
        <item h="1" x="2"/>
        <item t="default"/>
      </items>
    </pivotField>
    <pivotField showAll="0"/>
    <pivotField showAll="0"/>
    <pivotField showAll="0"/>
    <pivotField showAll="0"/>
    <pivotField showAll="0"/>
    <pivotField showAll="0"/>
    <pivotField axis="axisPage" multipleItemSelectionAllowed="1" showAll="0">
      <items count="3">
        <item x="1"/>
        <item h="1" x="0"/>
        <item t="default"/>
      </items>
    </pivotField>
    <pivotField showAll="0"/>
    <pivotField showAll="0"/>
    <pivotField showAll="0"/>
    <pivotField showAll="0"/>
    <pivotField showAll="0"/>
    <pivotField showAll="0"/>
    <pivotField showAll="0"/>
    <pivotField showAll="0"/>
    <pivotField axis="axisPage" multipleItemSelectionAllowed="1" showAll="0">
      <items count="3">
        <item h="1" x="0"/>
        <item x="1"/>
        <item t="default"/>
      </items>
    </pivotField>
    <pivotField axis="axisPage" multipleItemSelectionAllowed="1" showAll="0">
      <items count="3">
        <item h="1" x="0"/>
        <item x="1"/>
        <item t="default"/>
      </items>
    </pivotField>
    <pivotField axis="axisPage" multipleItemSelectionAllowed="1" showAll="0">
      <items count="3">
        <item h="1" x="0"/>
        <item x="1"/>
        <item t="default"/>
      </items>
    </pivotField>
    <pivotField axis="axisPage" multipleItemSelectionAllowed="1" showAll="0">
      <items count="3">
        <item h="1" x="0"/>
        <item x="1"/>
        <item t="default"/>
      </items>
    </pivotField>
    <pivotField axis="axisPage" multipleItemSelectionAllowed="1" showAll="0">
      <items count="3">
        <item h="1" x="0"/>
        <item x="1"/>
        <item t="default"/>
      </items>
    </pivotField>
    <pivotField axis="axisRow" showAll="0">
      <items count="9">
        <item x="3"/>
        <item x="2"/>
        <item x="0"/>
        <item x="1"/>
        <item x="5"/>
        <item x="6"/>
        <item x="4"/>
        <item x="7"/>
        <item t="default"/>
      </items>
    </pivotField>
    <pivotField showAll="0"/>
    <pivotField axis="axisRow" showAll="0">
      <items count="3">
        <item x="1"/>
        <item x="0"/>
        <item t="default"/>
      </items>
    </pivotField>
    <pivotField showAll="0"/>
    <pivotField showAll="0"/>
    <pivotField showAll="0"/>
    <pivotField showAll="0"/>
    <pivotField showAll="0"/>
    <pivotField showAll="0"/>
    <pivotField axis="axisRow" showAll="0">
      <items count="189">
        <item x="167"/>
        <item x="96"/>
        <item x="133"/>
        <item x="104"/>
        <item x="141"/>
        <item x="166"/>
        <item x="146"/>
        <item x="111"/>
        <item x="56"/>
        <item x="16"/>
        <item x="34"/>
        <item x="25"/>
        <item x="65"/>
        <item x="74"/>
        <item x="181"/>
        <item x="5"/>
        <item x="97"/>
        <item x="0"/>
        <item x="10"/>
        <item x="119"/>
        <item x="124"/>
        <item x="45"/>
        <item x="161"/>
        <item x="156"/>
        <item x="142"/>
        <item x="50"/>
        <item x="90"/>
        <item x="182"/>
        <item x="57"/>
        <item x="82"/>
        <item x="87"/>
        <item x="66"/>
        <item x="147"/>
        <item x="26"/>
        <item x="112"/>
        <item x="1"/>
        <item x="6"/>
        <item x="35"/>
        <item x="120"/>
        <item x="83"/>
        <item x="11"/>
        <item x="75"/>
        <item x="125"/>
        <item x="42"/>
        <item x="128"/>
        <item x="154"/>
        <item x="46"/>
        <item x="157"/>
        <item x="17"/>
        <item x="51"/>
        <item x="91"/>
        <item x="162"/>
        <item x="163"/>
        <item x="180"/>
        <item x="174"/>
        <item x="159"/>
        <item x="165"/>
        <item x="73"/>
        <item x="53"/>
        <item x="110"/>
        <item x="48"/>
        <item x="64"/>
        <item x="55"/>
        <item x="93"/>
        <item x="95"/>
        <item x="130"/>
        <item x="44"/>
        <item x="122"/>
        <item x="85"/>
        <item x="145"/>
        <item x="140"/>
        <item x="132"/>
        <item x="170"/>
        <item x="176"/>
        <item x="33"/>
        <item x="69"/>
        <item x="78"/>
        <item x="115"/>
        <item x="150"/>
        <item x="183"/>
        <item x="60"/>
        <item x="136"/>
        <item x="105"/>
        <item x="100"/>
        <item x="92"/>
        <item x="175"/>
        <item x="168"/>
        <item x="24"/>
        <item x="15"/>
        <item x="113"/>
        <item x="84"/>
        <item x="158"/>
        <item x="76"/>
        <item x="67"/>
        <item x="88"/>
        <item x="148"/>
        <item x="58"/>
        <item x="143"/>
        <item x="52"/>
        <item x="134"/>
        <item x="47"/>
        <item x="13"/>
        <item x="43"/>
        <item x="121"/>
        <item x="8"/>
        <item x="98"/>
        <item x="126"/>
        <item x="3"/>
        <item x="129"/>
        <item x="137"/>
        <item x="27"/>
        <item x="18"/>
        <item x="36"/>
        <item x="171"/>
        <item x="101"/>
        <item x="61"/>
        <item x="107"/>
        <item x="177"/>
        <item x="70"/>
        <item x="151"/>
        <item x="12"/>
        <item x="116"/>
        <item x="2"/>
        <item x="7"/>
        <item x="79"/>
        <item x="20"/>
        <item x="185"/>
        <item x="186"/>
        <item x="29"/>
        <item x="86"/>
        <item x="38"/>
        <item x="178"/>
        <item x="89"/>
        <item x="172"/>
        <item x="127"/>
        <item x="123"/>
        <item x="21"/>
        <item x="152"/>
        <item x="117"/>
        <item x="62"/>
        <item x="30"/>
        <item x="94"/>
        <item x="138"/>
        <item x="108"/>
        <item x="102"/>
        <item x="155"/>
        <item x="131"/>
        <item x="4"/>
        <item x="160"/>
        <item x="39"/>
        <item x="9"/>
        <item x="49"/>
        <item x="40"/>
        <item x="71"/>
        <item x="14"/>
        <item x="54"/>
        <item x="80"/>
        <item x="135"/>
        <item x="99"/>
        <item x="31"/>
        <item x="22"/>
        <item x="106"/>
        <item x="59"/>
        <item x="169"/>
        <item x="28"/>
        <item x="19"/>
        <item x="68"/>
        <item x="164"/>
        <item x="114"/>
        <item x="37"/>
        <item x="184"/>
        <item x="77"/>
        <item x="149"/>
        <item x="173"/>
        <item x="139"/>
        <item x="103"/>
        <item x="187"/>
        <item x="72"/>
        <item x="63"/>
        <item x="109"/>
        <item x="179"/>
        <item x="32"/>
        <item x="81"/>
        <item x="153"/>
        <item x="41"/>
        <item x="23"/>
        <item x="118"/>
        <item x="144"/>
        <item t="default"/>
      </items>
    </pivotField>
    <pivotField showAll="0"/>
  </pivotFields>
  <rowFields count="3">
    <field x="23"/>
    <field x="25"/>
    <field x="32"/>
  </rowFields>
  <rowItems count="15">
    <i>
      <x/>
    </i>
    <i r="1">
      <x v="1"/>
    </i>
    <i r="2">
      <x v="116"/>
    </i>
    <i>
      <x v="1"/>
    </i>
    <i r="1">
      <x/>
    </i>
    <i r="2">
      <x v="68"/>
    </i>
    <i r="1">
      <x v="1"/>
    </i>
    <i r="2">
      <x v="82"/>
    </i>
    <i>
      <x v="4"/>
    </i>
    <i r="1">
      <x v="1"/>
    </i>
    <i r="2">
      <x v="179"/>
    </i>
    <i>
      <x v="6"/>
    </i>
    <i r="1">
      <x v="1"/>
    </i>
    <i r="2">
      <x v="143"/>
    </i>
    <i t="grand">
      <x/>
    </i>
  </rowItems>
  <colItems count="1">
    <i/>
  </colItems>
  <pageFields count="8">
    <pageField fld="1" hier="-1"/>
    <pageField fld="2" hier="-1"/>
    <pageField fld="9" hier="-1"/>
    <pageField fld="18" hier="-1"/>
    <pageField fld="19" hier="-1"/>
    <pageField fld="20" hier="-1"/>
    <pageField fld="21" hier="-1"/>
    <pageField fld="22" hier="-1"/>
  </pageFields>
  <formats count="10">
    <format dxfId="100">
      <pivotArea dataOnly="0" labelOnly="1" fieldPosition="0">
        <references count="2">
          <reference field="23" count="1" selected="0">
            <x v="2"/>
          </reference>
          <reference field="32" count="2">
            <x v="62"/>
            <x v="106"/>
          </reference>
        </references>
      </pivotArea>
    </format>
    <format dxfId="99">
      <pivotArea dataOnly="0" labelOnly="1" fieldPosition="0">
        <references count="2">
          <reference field="23" count="1" selected="0">
            <x v="3"/>
          </reference>
          <reference field="32" count="1">
            <x v="134"/>
          </reference>
        </references>
      </pivotArea>
    </format>
    <format dxfId="98">
      <pivotArea dataOnly="0" fieldPosition="0">
        <references count="1">
          <reference field="32" count="4">
            <x v="87"/>
            <x v="140"/>
            <x v="159"/>
            <x v="181"/>
          </reference>
        </references>
      </pivotArea>
    </format>
    <format dxfId="97">
      <pivotArea dataOnly="0" labelOnly="1" fieldPosition="0">
        <references count="3">
          <reference field="23" count="1" selected="0">
            <x v="1"/>
          </reference>
          <reference field="25" count="1" selected="0">
            <x v="1"/>
          </reference>
          <reference field="32" count="1">
            <x v="128"/>
          </reference>
        </references>
      </pivotArea>
    </format>
    <format dxfId="96">
      <pivotArea dataOnly="0" labelOnly="1" fieldPosition="0">
        <references count="3">
          <reference field="23" count="1" selected="0">
            <x v="0"/>
          </reference>
          <reference field="25" count="1" selected="0">
            <x v="1"/>
          </reference>
          <reference field="32" count="1">
            <x v="116"/>
          </reference>
        </references>
      </pivotArea>
    </format>
    <format dxfId="95">
      <pivotArea dataOnly="0" labelOnly="1" fieldPosition="0">
        <references count="3">
          <reference field="23" count="1" selected="0">
            <x v="1"/>
          </reference>
          <reference field="25" count="1" selected="0">
            <x v="0"/>
          </reference>
          <reference field="32" count="1">
            <x v="68"/>
          </reference>
        </references>
      </pivotArea>
    </format>
    <format dxfId="94">
      <pivotArea dataOnly="0" labelOnly="1" fieldPosition="0">
        <references count="3">
          <reference field="23" count="1" selected="0">
            <x v="1"/>
          </reference>
          <reference field="25" count="1" selected="0">
            <x v="1"/>
          </reference>
          <reference field="32" count="1">
            <x v="82"/>
          </reference>
        </references>
      </pivotArea>
    </format>
    <format dxfId="93">
      <pivotArea dataOnly="0" labelOnly="1" fieldPosition="0">
        <references count="3">
          <reference field="23" count="1" selected="0">
            <x v="4"/>
          </reference>
          <reference field="25" count="1" selected="0">
            <x v="1"/>
          </reference>
          <reference field="32" count="1">
            <x v="179"/>
          </reference>
        </references>
      </pivotArea>
    </format>
    <format dxfId="92">
      <pivotArea dataOnly="0" labelOnly="1" fieldPosition="0">
        <references count="3">
          <reference field="23" count="1" selected="0">
            <x v="6"/>
          </reference>
          <reference field="25" count="1" selected="0">
            <x v="1"/>
          </reference>
          <reference field="32" count="1">
            <x v="143"/>
          </reference>
        </references>
      </pivotArea>
    </format>
    <format dxfId="91">
      <pivotArea dataOnly="0" labelOnly="1" fieldPosition="0">
        <references count="1">
          <reference field="3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690EF2-6DA2-4BEC-ACAD-25B35D779DEC}" name="Tableau croisé dynamique5"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rowHeaderCaption="Gains de CO2 par solution posée">
  <location ref="P20:P51" firstHeaderRow="1" firstDataRow="1" firstDataCol="1" rowPageCount="8" colPageCount="1"/>
  <pivotFields count="34">
    <pivotField showAll="0"/>
    <pivotField axis="axisPage" multipleItemSelectionAllowed="1" showAll="0">
      <items count="6">
        <item x="3"/>
        <item x="0"/>
        <item x="2"/>
        <item x="1"/>
        <item x="4"/>
        <item t="default"/>
      </items>
    </pivotField>
    <pivotField axis="axisPage" multipleItemSelectionAllowed="1" showAll="0">
      <items count="4">
        <item h="1" x="0"/>
        <item x="1"/>
        <item h="1" x="2"/>
        <item t="default"/>
      </items>
    </pivotField>
    <pivotField showAll="0"/>
    <pivotField showAll="0"/>
    <pivotField showAll="0"/>
    <pivotField showAll="0"/>
    <pivotField showAll="0"/>
    <pivotField showAll="0"/>
    <pivotField axis="axisPage" multipleItemSelectionAllowed="1" showAll="0">
      <items count="3">
        <item x="1"/>
        <item h="1" x="0"/>
        <item t="default"/>
      </items>
    </pivotField>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Row" showAll="0">
      <items count="9">
        <item x="3"/>
        <item x="2"/>
        <item x="0"/>
        <item x="1"/>
        <item x="5"/>
        <item x="6"/>
        <item x="4"/>
        <item x="7"/>
        <item t="default"/>
      </items>
    </pivotField>
    <pivotField showAll="0"/>
    <pivotField axis="axisRow" showAll="0">
      <items count="3">
        <item x="1"/>
        <item x="0"/>
        <item t="default"/>
      </items>
    </pivotField>
    <pivotField showAll="0"/>
    <pivotField showAll="0"/>
    <pivotField showAll="0"/>
    <pivotField showAll="0"/>
    <pivotField showAll="0"/>
    <pivotField showAll="0"/>
    <pivotField axis="axisRow" showAll="0">
      <items count="189">
        <item x="167"/>
        <item x="96"/>
        <item x="133"/>
        <item x="104"/>
        <item x="141"/>
        <item x="166"/>
        <item x="146"/>
        <item x="111"/>
        <item x="56"/>
        <item x="16"/>
        <item x="34"/>
        <item x="25"/>
        <item x="65"/>
        <item x="74"/>
        <item x="181"/>
        <item x="5"/>
        <item x="97"/>
        <item x="0"/>
        <item x="10"/>
        <item x="119"/>
        <item x="124"/>
        <item x="45"/>
        <item x="161"/>
        <item x="156"/>
        <item x="142"/>
        <item x="50"/>
        <item x="90"/>
        <item x="182"/>
        <item x="57"/>
        <item x="82"/>
        <item x="87"/>
        <item x="66"/>
        <item x="147"/>
        <item x="26"/>
        <item x="112"/>
        <item x="1"/>
        <item x="6"/>
        <item x="35"/>
        <item x="120"/>
        <item x="83"/>
        <item x="11"/>
        <item x="75"/>
        <item x="125"/>
        <item x="42"/>
        <item x="128"/>
        <item x="154"/>
        <item x="46"/>
        <item x="157"/>
        <item x="17"/>
        <item x="51"/>
        <item x="91"/>
        <item x="162"/>
        <item x="163"/>
        <item x="180"/>
        <item x="174"/>
        <item x="159"/>
        <item x="165"/>
        <item x="73"/>
        <item x="53"/>
        <item x="110"/>
        <item x="48"/>
        <item x="64"/>
        <item x="55"/>
        <item x="93"/>
        <item x="95"/>
        <item x="130"/>
        <item x="44"/>
        <item x="122"/>
        <item x="85"/>
        <item x="145"/>
        <item x="140"/>
        <item x="132"/>
        <item x="170"/>
        <item x="176"/>
        <item x="33"/>
        <item x="69"/>
        <item x="78"/>
        <item x="115"/>
        <item x="150"/>
        <item x="183"/>
        <item x="60"/>
        <item x="136"/>
        <item x="105"/>
        <item x="100"/>
        <item x="92"/>
        <item x="175"/>
        <item x="168"/>
        <item x="24"/>
        <item x="15"/>
        <item x="113"/>
        <item x="84"/>
        <item x="158"/>
        <item x="76"/>
        <item x="67"/>
        <item x="88"/>
        <item x="148"/>
        <item x="58"/>
        <item x="143"/>
        <item x="52"/>
        <item x="134"/>
        <item x="47"/>
        <item x="13"/>
        <item x="43"/>
        <item x="121"/>
        <item x="8"/>
        <item x="98"/>
        <item x="126"/>
        <item x="3"/>
        <item x="129"/>
        <item x="137"/>
        <item x="27"/>
        <item x="18"/>
        <item x="36"/>
        <item x="171"/>
        <item x="101"/>
        <item x="61"/>
        <item x="107"/>
        <item x="177"/>
        <item x="70"/>
        <item x="151"/>
        <item x="12"/>
        <item x="116"/>
        <item x="2"/>
        <item x="7"/>
        <item x="79"/>
        <item x="20"/>
        <item x="185"/>
        <item x="186"/>
        <item x="29"/>
        <item x="86"/>
        <item x="38"/>
        <item x="178"/>
        <item x="89"/>
        <item x="172"/>
        <item x="127"/>
        <item x="123"/>
        <item x="21"/>
        <item x="152"/>
        <item x="117"/>
        <item x="62"/>
        <item x="30"/>
        <item x="94"/>
        <item x="138"/>
        <item x="108"/>
        <item x="102"/>
        <item x="155"/>
        <item x="131"/>
        <item x="4"/>
        <item x="160"/>
        <item x="39"/>
        <item x="9"/>
        <item x="49"/>
        <item x="40"/>
        <item x="71"/>
        <item x="14"/>
        <item x="54"/>
        <item x="80"/>
        <item x="135"/>
        <item x="99"/>
        <item x="31"/>
        <item x="22"/>
        <item x="106"/>
        <item x="59"/>
        <item x="169"/>
        <item x="28"/>
        <item x="19"/>
        <item x="68"/>
        <item x="164"/>
        <item x="114"/>
        <item x="37"/>
        <item x="184"/>
        <item x="77"/>
        <item x="149"/>
        <item x="173"/>
        <item x="139"/>
        <item x="103"/>
        <item x="187"/>
        <item x="72"/>
        <item x="63"/>
        <item x="109"/>
        <item x="179"/>
        <item x="32"/>
        <item x="81"/>
        <item x="153"/>
        <item x="41"/>
        <item x="23"/>
        <item x="118"/>
        <item x="144"/>
        <item t="default"/>
      </items>
    </pivotField>
    <pivotField showAll="0"/>
  </pivotFields>
  <rowFields count="3">
    <field x="23"/>
    <field x="25"/>
    <field x="32"/>
  </rowFields>
  <rowItems count="31">
    <i>
      <x/>
    </i>
    <i r="1">
      <x v="1"/>
    </i>
    <i r="2">
      <x v="8"/>
    </i>
    <i r="2">
      <x v="24"/>
    </i>
    <i r="2">
      <x v="25"/>
    </i>
    <i r="2">
      <x v="31"/>
    </i>
    <i r="2">
      <x v="33"/>
    </i>
    <i>
      <x v="1"/>
    </i>
    <i r="1">
      <x v="1"/>
    </i>
    <i r="2">
      <x v="3"/>
    </i>
    <i r="2">
      <x v="4"/>
    </i>
    <i r="2">
      <x v="8"/>
    </i>
    <i r="2">
      <x v="11"/>
    </i>
    <i r="2">
      <x v="12"/>
    </i>
    <i>
      <x v="4"/>
    </i>
    <i r="1">
      <x v="1"/>
    </i>
    <i r="2">
      <x v="155"/>
    </i>
    <i r="2">
      <x v="161"/>
    </i>
    <i r="2">
      <x v="162"/>
    </i>
    <i r="2">
      <x v="164"/>
    </i>
    <i r="2">
      <x v="166"/>
    </i>
    <i>
      <x v="6"/>
    </i>
    <i r="1">
      <x v="1"/>
    </i>
    <i r="2">
      <x v="85"/>
    </i>
    <i r="2">
      <x v="93"/>
    </i>
    <i r="2">
      <x v="97"/>
    </i>
    <i r="2">
      <x v="110"/>
    </i>
    <i>
      <x v="7"/>
    </i>
    <i r="1">
      <x v="1"/>
    </i>
    <i r="2">
      <x v="82"/>
    </i>
    <i t="grand">
      <x/>
    </i>
  </rowItems>
  <colItems count="1">
    <i/>
  </colItems>
  <pageFields count="8">
    <pageField fld="1" hier="-1"/>
    <pageField fld="2" hier="-1"/>
    <pageField fld="9" hier="-1"/>
    <pageField fld="18" hier="-1"/>
    <pageField fld="19" hier="-1"/>
    <pageField fld="20" hier="-1"/>
    <pageField fld="21" hier="-1"/>
    <pageField fld="22" hier="-1"/>
  </pageFields>
  <formats count="12">
    <format dxfId="112">
      <pivotArea dataOnly="0" labelOnly="1" fieldPosition="0">
        <references count="2">
          <reference field="23" count="1" selected="0">
            <x v="2"/>
          </reference>
          <reference field="32" count="2">
            <x v="62"/>
            <x v="106"/>
          </reference>
        </references>
      </pivotArea>
    </format>
    <format dxfId="111">
      <pivotArea dataOnly="0" labelOnly="1" fieldPosition="0">
        <references count="2">
          <reference field="23" count="1" selected="0">
            <x v="3"/>
          </reference>
          <reference field="32" count="1">
            <x v="134"/>
          </reference>
        </references>
      </pivotArea>
    </format>
    <format dxfId="110">
      <pivotArea dataOnly="0" labelOnly="1" fieldPosition="0">
        <references count="3">
          <reference field="23" count="1" selected="0">
            <x v="2"/>
          </reference>
          <reference field="25" count="1" selected="0">
            <x v="0"/>
          </reference>
          <reference field="32" count="1">
            <x v="104"/>
          </reference>
        </references>
      </pivotArea>
    </format>
    <format dxfId="109">
      <pivotArea dataOnly="0" labelOnly="1" fieldPosition="0">
        <references count="3">
          <reference field="23" count="1" selected="0">
            <x v="2"/>
          </reference>
          <reference field="25" count="1" selected="0">
            <x v="1"/>
          </reference>
          <reference field="32" count="1">
            <x v="123"/>
          </reference>
        </references>
      </pivotArea>
    </format>
    <format dxfId="108">
      <pivotArea dataOnly="0" labelOnly="1" fieldPosition="0">
        <references count="3">
          <reference field="23" count="1" selected="0">
            <x v="3"/>
          </reference>
          <reference field="25" count="1" selected="0">
            <x v="1"/>
          </reference>
          <reference field="32" count="1">
            <x v="150"/>
          </reference>
        </references>
      </pivotArea>
    </format>
    <format dxfId="107">
      <pivotArea dataOnly="0" labelOnly="1" fieldPosition="0">
        <references count="3">
          <reference field="23" count="1" selected="0">
            <x v="2"/>
          </reference>
          <reference field="25" count="1" selected="0">
            <x v="0"/>
          </reference>
          <reference field="32" count="1">
            <x v="68"/>
          </reference>
        </references>
      </pivotArea>
    </format>
    <format dxfId="106">
      <pivotArea dataOnly="0" labelOnly="1" fieldPosition="0">
        <references count="3">
          <reference field="23" count="1" selected="0">
            <x v="2"/>
          </reference>
          <reference field="25" count="1" selected="0">
            <x v="1"/>
          </reference>
          <reference field="32" count="1">
            <x v="94"/>
          </reference>
        </references>
      </pivotArea>
    </format>
    <format dxfId="105">
      <pivotArea dataOnly="0" labelOnly="1" fieldPosition="0">
        <references count="3">
          <reference field="23" count="1" selected="0">
            <x v="3"/>
          </reference>
          <reference field="25" count="1" selected="0">
            <x v="1"/>
          </reference>
          <reference field="32" count="1">
            <x v="132"/>
          </reference>
        </references>
      </pivotArea>
    </format>
    <format dxfId="104">
      <pivotArea dataOnly="0" labelOnly="1" fieldPosition="0">
        <references count="3">
          <reference field="23" count="1" selected="0">
            <x v="2"/>
          </reference>
          <reference field="25" count="1" selected="0">
            <x v="0"/>
          </reference>
          <reference field="32" count="1">
            <x v="68"/>
          </reference>
        </references>
      </pivotArea>
    </format>
    <format dxfId="103">
      <pivotArea dataOnly="0" labelOnly="1" fieldPosition="0">
        <references count="3">
          <reference field="23" count="1" selected="0">
            <x v="2"/>
          </reference>
          <reference field="25" count="1" selected="0">
            <x v="1"/>
          </reference>
          <reference field="32" count="1">
            <x v="94"/>
          </reference>
        </references>
      </pivotArea>
    </format>
    <format dxfId="102">
      <pivotArea dataOnly="0" labelOnly="1" fieldPosition="0">
        <references count="3">
          <reference field="23" count="1" selected="0">
            <x v="3"/>
          </reference>
          <reference field="25" count="1" selected="0">
            <x v="1"/>
          </reference>
          <reference field="32" count="1">
            <x v="132"/>
          </reference>
        </references>
      </pivotArea>
    </format>
    <format dxfId="101">
      <pivotArea dataOnly="0" labelOnly="1" fieldPosition="0">
        <references count="1">
          <reference field="3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C62A35-72A0-47F2-8A58-C60BB525D3EF}" name="Tableau croisé dynamique10"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rowHeaderCaption="Gains de CO2 par solution posée">
  <location ref="E19:E26" firstHeaderRow="1" firstDataRow="1" firstDataCol="1" rowPageCount="8" colPageCount="1"/>
  <pivotFields count="34">
    <pivotField showAll="0"/>
    <pivotField axis="axisPage" multipleItemSelectionAllowed="1" showAll="0">
      <items count="6">
        <item h="1" x="3"/>
        <item x="0"/>
        <item h="1" x="2"/>
        <item h="1" x="1"/>
        <item h="1" x="4"/>
        <item t="default"/>
      </items>
    </pivotField>
    <pivotField axis="axisPage" multipleItemSelectionAllowed="1" showAll="0">
      <items count="4">
        <item h="1" x="0"/>
        <item x="1"/>
        <item h="1" x="2"/>
        <item t="default"/>
      </items>
    </pivotField>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Row" showAll="0">
      <items count="9">
        <item x="3"/>
        <item x="2"/>
        <item x="0"/>
        <item x="1"/>
        <item x="5"/>
        <item x="6"/>
        <item x="4"/>
        <item x="7"/>
        <item t="default"/>
      </items>
    </pivotField>
    <pivotField showAll="0"/>
    <pivotField axis="axisRow" showAll="0">
      <items count="3">
        <item x="1"/>
        <item x="0"/>
        <item t="default"/>
      </items>
    </pivotField>
    <pivotField showAll="0"/>
    <pivotField showAll="0"/>
    <pivotField showAll="0"/>
    <pivotField showAll="0"/>
    <pivotField showAll="0"/>
    <pivotField showAll="0"/>
    <pivotField axis="axisRow" showAll="0">
      <items count="189">
        <item x="167"/>
        <item x="96"/>
        <item x="133"/>
        <item x="104"/>
        <item x="141"/>
        <item x="166"/>
        <item x="146"/>
        <item x="111"/>
        <item x="56"/>
        <item x="16"/>
        <item x="34"/>
        <item x="25"/>
        <item x="65"/>
        <item x="74"/>
        <item x="181"/>
        <item x="5"/>
        <item x="97"/>
        <item x="0"/>
        <item x="10"/>
        <item x="119"/>
        <item x="124"/>
        <item x="45"/>
        <item x="161"/>
        <item x="156"/>
        <item x="142"/>
        <item x="50"/>
        <item x="90"/>
        <item x="182"/>
        <item x="57"/>
        <item x="82"/>
        <item x="87"/>
        <item x="66"/>
        <item x="147"/>
        <item x="26"/>
        <item x="112"/>
        <item x="1"/>
        <item x="6"/>
        <item x="35"/>
        <item x="120"/>
        <item x="83"/>
        <item x="11"/>
        <item x="75"/>
        <item x="125"/>
        <item x="42"/>
        <item x="128"/>
        <item x="154"/>
        <item x="46"/>
        <item x="157"/>
        <item x="17"/>
        <item x="51"/>
        <item x="91"/>
        <item x="162"/>
        <item x="163"/>
        <item x="180"/>
        <item x="174"/>
        <item x="159"/>
        <item x="165"/>
        <item x="73"/>
        <item x="53"/>
        <item x="110"/>
        <item x="48"/>
        <item x="64"/>
        <item x="55"/>
        <item x="93"/>
        <item x="95"/>
        <item x="130"/>
        <item x="44"/>
        <item x="122"/>
        <item x="85"/>
        <item x="145"/>
        <item x="140"/>
        <item x="132"/>
        <item x="170"/>
        <item x="176"/>
        <item x="33"/>
        <item x="69"/>
        <item x="78"/>
        <item x="115"/>
        <item x="150"/>
        <item x="183"/>
        <item x="60"/>
        <item x="136"/>
        <item x="105"/>
        <item x="100"/>
        <item x="92"/>
        <item x="175"/>
        <item x="168"/>
        <item x="24"/>
        <item x="15"/>
        <item x="113"/>
        <item x="84"/>
        <item x="158"/>
        <item x="76"/>
        <item x="67"/>
        <item x="88"/>
        <item x="148"/>
        <item x="58"/>
        <item x="143"/>
        <item x="52"/>
        <item x="134"/>
        <item x="47"/>
        <item x="13"/>
        <item x="43"/>
        <item x="121"/>
        <item x="8"/>
        <item x="98"/>
        <item x="126"/>
        <item x="3"/>
        <item x="129"/>
        <item x="137"/>
        <item x="27"/>
        <item x="18"/>
        <item x="36"/>
        <item x="171"/>
        <item x="101"/>
        <item x="61"/>
        <item x="107"/>
        <item x="177"/>
        <item x="70"/>
        <item x="151"/>
        <item x="12"/>
        <item x="116"/>
        <item x="2"/>
        <item x="7"/>
        <item x="79"/>
        <item x="20"/>
        <item x="185"/>
        <item x="186"/>
        <item x="29"/>
        <item x="86"/>
        <item x="38"/>
        <item x="178"/>
        <item x="89"/>
        <item x="172"/>
        <item x="127"/>
        <item x="123"/>
        <item x="21"/>
        <item x="152"/>
        <item x="117"/>
        <item x="62"/>
        <item x="30"/>
        <item x="94"/>
        <item x="138"/>
        <item x="108"/>
        <item x="102"/>
        <item x="155"/>
        <item x="131"/>
        <item x="4"/>
        <item x="160"/>
        <item x="39"/>
        <item x="9"/>
        <item x="49"/>
        <item x="40"/>
        <item x="71"/>
        <item x="14"/>
        <item x="54"/>
        <item x="80"/>
        <item x="135"/>
        <item x="99"/>
        <item x="31"/>
        <item x="22"/>
        <item x="106"/>
        <item x="59"/>
        <item x="169"/>
        <item x="28"/>
        <item x="19"/>
        <item x="68"/>
        <item x="164"/>
        <item x="114"/>
        <item x="37"/>
        <item x="184"/>
        <item x="77"/>
        <item x="149"/>
        <item x="173"/>
        <item x="139"/>
        <item x="103"/>
        <item x="187"/>
        <item x="72"/>
        <item x="63"/>
        <item x="109"/>
        <item x="179"/>
        <item x="32"/>
        <item x="81"/>
        <item x="153"/>
        <item x="41"/>
        <item x="23"/>
        <item x="118"/>
        <item x="144"/>
        <item t="default"/>
      </items>
    </pivotField>
    <pivotField showAll="0"/>
  </pivotFields>
  <rowFields count="3">
    <field x="23"/>
    <field x="25"/>
    <field x="32"/>
  </rowFields>
  <rowItems count="7">
    <i>
      <x v="2"/>
    </i>
    <i r="1">
      <x v="1"/>
    </i>
    <i r="2">
      <x v="15"/>
    </i>
    <i>
      <x v="3"/>
    </i>
    <i r="1">
      <x v="1"/>
    </i>
    <i r="2">
      <x v="36"/>
    </i>
    <i t="grand">
      <x/>
    </i>
  </rowItems>
  <colItems count="1">
    <i/>
  </colItems>
  <pageFields count="8">
    <pageField fld="1" hier="-1"/>
    <pageField fld="2" hier="-1"/>
    <pageField fld="9" hier="-1"/>
    <pageField fld="18" hier="-1"/>
    <pageField fld="19" hier="-1"/>
    <pageField fld="20" hier="-1"/>
    <pageField fld="21" hier="-1"/>
    <pageField fld="22" hier="-1"/>
  </pageFields>
  <formats count="8">
    <format dxfId="120">
      <pivotArea dataOnly="0" labelOnly="1" fieldPosition="0">
        <references count="2">
          <reference field="23" count="1" selected="0">
            <x v="2"/>
          </reference>
          <reference field="32" count="2">
            <x v="62"/>
            <x v="106"/>
          </reference>
        </references>
      </pivotArea>
    </format>
    <format dxfId="119">
      <pivotArea dataOnly="0" labelOnly="1" fieldPosition="0">
        <references count="2">
          <reference field="23" count="1" selected="0">
            <x v="3"/>
          </reference>
          <reference field="32" count="1">
            <x v="134"/>
          </reference>
        </references>
      </pivotArea>
    </format>
    <format dxfId="118">
      <pivotArea dataOnly="0" labelOnly="1" fieldPosition="0">
        <references count="3">
          <reference field="23" count="1" selected="0">
            <x v="2"/>
          </reference>
          <reference field="25" count="1" selected="0">
            <x v="0"/>
          </reference>
          <reference field="32" count="1">
            <x v="104"/>
          </reference>
        </references>
      </pivotArea>
    </format>
    <format dxfId="117">
      <pivotArea dataOnly="0" labelOnly="1" fieldPosition="0">
        <references count="3">
          <reference field="23" count="1" selected="0">
            <x v="2"/>
          </reference>
          <reference field="25" count="1" selected="0">
            <x v="1"/>
          </reference>
          <reference field="32" count="1">
            <x v="123"/>
          </reference>
        </references>
      </pivotArea>
    </format>
    <format dxfId="116">
      <pivotArea dataOnly="0" labelOnly="1" fieldPosition="0">
        <references count="3">
          <reference field="23" count="1" selected="0">
            <x v="3"/>
          </reference>
          <reference field="25" count="1" selected="0">
            <x v="1"/>
          </reference>
          <reference field="32" count="1">
            <x v="150"/>
          </reference>
        </references>
      </pivotArea>
    </format>
    <format dxfId="115">
      <pivotArea dataOnly="0" labelOnly="1" fieldPosition="0">
        <references count="1">
          <reference field="32" count="0"/>
        </references>
      </pivotArea>
    </format>
    <format dxfId="114">
      <pivotArea dataOnly="0" labelOnly="1" fieldPosition="0">
        <references count="3">
          <reference field="23" count="1" selected="0">
            <x v="2"/>
          </reference>
          <reference field="25" count="1" selected="0">
            <x v="1"/>
          </reference>
          <reference field="32" count="1">
            <x v="15"/>
          </reference>
        </references>
      </pivotArea>
    </format>
    <format dxfId="113">
      <pivotArea dataOnly="0" labelOnly="1" fieldPosition="0">
        <references count="3">
          <reference field="23" count="1" selected="0">
            <x v="3"/>
          </reference>
          <reference field="25" count="1" selected="0">
            <x v="1"/>
          </reference>
          <reference field="32" count="1">
            <x v="3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969BFE-0ACF-49B2-B70D-1E3B0E25D5D2}" name="Tableau croisé dynamique1"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rowHeaderCaption="Gains de CO2 par solution posée">
  <location ref="B19:B26" firstHeaderRow="1" firstDataRow="1" firstDataCol="1" rowPageCount="8" colPageCount="1"/>
  <pivotFields count="34">
    <pivotField showAll="0"/>
    <pivotField axis="axisPage" multipleItemSelectionAllowed="1" showAll="0">
      <items count="6">
        <item x="3"/>
        <item h="1" x="0"/>
        <item h="1" x="2"/>
        <item h="1" x="1"/>
        <item h="1" x="4"/>
        <item t="default"/>
      </items>
    </pivotField>
    <pivotField axis="axisPage" multipleItemSelectionAllowed="1" showAll="0">
      <items count="4">
        <item h="1" x="0"/>
        <item x="1"/>
        <item h="1" x="2"/>
        <item t="default"/>
      </items>
    </pivotField>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Page" multipleItemSelectionAllowed="1" showAll="0">
      <items count="3">
        <item x="0"/>
        <item h="1" x="1"/>
        <item t="default"/>
      </items>
    </pivotField>
    <pivotField axis="axisRow" showAll="0">
      <items count="9">
        <item x="3"/>
        <item x="2"/>
        <item x="0"/>
        <item x="1"/>
        <item x="5"/>
        <item x="6"/>
        <item x="4"/>
        <item x="7"/>
        <item t="default"/>
      </items>
    </pivotField>
    <pivotField showAll="0"/>
    <pivotField axis="axisRow" showAll="0">
      <items count="3">
        <item x="1"/>
        <item x="0"/>
        <item t="default"/>
      </items>
    </pivotField>
    <pivotField showAll="0"/>
    <pivotField showAll="0"/>
    <pivotField showAll="0"/>
    <pivotField showAll="0"/>
    <pivotField showAll="0"/>
    <pivotField showAll="0"/>
    <pivotField axis="axisRow" showAll="0">
      <items count="189">
        <item x="167"/>
        <item x="96"/>
        <item x="133"/>
        <item x="104"/>
        <item x="141"/>
        <item x="166"/>
        <item x="146"/>
        <item x="111"/>
        <item x="56"/>
        <item x="16"/>
        <item x="34"/>
        <item x="25"/>
        <item x="65"/>
        <item x="74"/>
        <item x="181"/>
        <item x="5"/>
        <item x="97"/>
        <item x="0"/>
        <item x="10"/>
        <item x="119"/>
        <item x="124"/>
        <item x="45"/>
        <item x="161"/>
        <item x="156"/>
        <item x="142"/>
        <item x="50"/>
        <item x="90"/>
        <item x="182"/>
        <item x="57"/>
        <item x="82"/>
        <item x="87"/>
        <item x="66"/>
        <item x="147"/>
        <item x="26"/>
        <item x="112"/>
        <item x="1"/>
        <item x="6"/>
        <item x="35"/>
        <item x="120"/>
        <item x="83"/>
        <item x="11"/>
        <item x="75"/>
        <item x="125"/>
        <item x="42"/>
        <item x="128"/>
        <item x="154"/>
        <item x="46"/>
        <item x="157"/>
        <item x="17"/>
        <item x="51"/>
        <item x="91"/>
        <item x="162"/>
        <item x="163"/>
        <item x="180"/>
        <item x="174"/>
        <item x="159"/>
        <item x="165"/>
        <item x="73"/>
        <item x="53"/>
        <item x="110"/>
        <item x="48"/>
        <item x="64"/>
        <item x="55"/>
        <item x="93"/>
        <item x="95"/>
        <item x="130"/>
        <item x="44"/>
        <item x="122"/>
        <item x="85"/>
        <item x="145"/>
        <item x="140"/>
        <item x="132"/>
        <item x="170"/>
        <item x="176"/>
        <item x="33"/>
        <item x="69"/>
        <item x="78"/>
        <item x="115"/>
        <item x="150"/>
        <item x="183"/>
        <item x="60"/>
        <item x="136"/>
        <item x="105"/>
        <item x="100"/>
        <item x="92"/>
        <item x="175"/>
        <item x="168"/>
        <item x="24"/>
        <item x="15"/>
        <item x="113"/>
        <item x="84"/>
        <item x="158"/>
        <item x="76"/>
        <item x="67"/>
        <item x="88"/>
        <item x="148"/>
        <item x="58"/>
        <item x="143"/>
        <item x="52"/>
        <item x="134"/>
        <item x="47"/>
        <item x="13"/>
        <item x="43"/>
        <item x="121"/>
        <item x="8"/>
        <item x="98"/>
        <item x="126"/>
        <item x="3"/>
        <item x="129"/>
        <item x="137"/>
        <item x="27"/>
        <item x="18"/>
        <item x="36"/>
        <item x="171"/>
        <item x="101"/>
        <item x="61"/>
        <item x="107"/>
        <item x="177"/>
        <item x="70"/>
        <item x="151"/>
        <item x="12"/>
        <item x="116"/>
        <item x="2"/>
        <item x="7"/>
        <item x="79"/>
        <item x="20"/>
        <item x="185"/>
        <item x="186"/>
        <item x="29"/>
        <item x="86"/>
        <item x="38"/>
        <item x="178"/>
        <item x="89"/>
        <item x="172"/>
        <item x="127"/>
        <item x="123"/>
        <item x="21"/>
        <item x="152"/>
        <item x="117"/>
        <item x="62"/>
        <item x="30"/>
        <item x="94"/>
        <item x="138"/>
        <item x="108"/>
        <item x="102"/>
        <item x="155"/>
        <item x="131"/>
        <item x="4"/>
        <item x="160"/>
        <item x="39"/>
        <item x="9"/>
        <item x="49"/>
        <item x="40"/>
        <item x="71"/>
        <item x="14"/>
        <item x="54"/>
        <item x="80"/>
        <item x="135"/>
        <item x="99"/>
        <item x="31"/>
        <item x="22"/>
        <item x="106"/>
        <item x="59"/>
        <item x="169"/>
        <item x="28"/>
        <item x="19"/>
        <item x="68"/>
        <item x="164"/>
        <item x="114"/>
        <item x="37"/>
        <item x="184"/>
        <item x="77"/>
        <item x="149"/>
        <item x="173"/>
        <item x="139"/>
        <item x="103"/>
        <item x="187"/>
        <item x="72"/>
        <item x="63"/>
        <item x="109"/>
        <item x="179"/>
        <item x="32"/>
        <item x="81"/>
        <item x="153"/>
        <item x="41"/>
        <item x="23"/>
        <item x="118"/>
        <item x="144"/>
        <item t="default"/>
      </items>
    </pivotField>
    <pivotField showAll="0"/>
  </pivotFields>
  <rowFields count="3">
    <field x="23"/>
    <field x="25"/>
    <field x="32"/>
  </rowFields>
  <rowItems count="7">
    <i>
      <x v="2"/>
    </i>
    <i r="1">
      <x v="1"/>
    </i>
    <i r="2">
      <x v="20"/>
    </i>
    <i>
      <x v="3"/>
    </i>
    <i r="1">
      <x v="1"/>
    </i>
    <i r="2">
      <x v="42"/>
    </i>
    <i t="grand">
      <x/>
    </i>
  </rowItems>
  <colItems count="1">
    <i/>
  </colItems>
  <pageFields count="8">
    <pageField fld="1" hier="-1"/>
    <pageField fld="2" hier="-1"/>
    <pageField fld="9" hier="-1"/>
    <pageField fld="18" hier="-1"/>
    <pageField fld="19" hier="-1"/>
    <pageField fld="20" hier="-1"/>
    <pageField fld="21" hier="-1"/>
    <pageField fld="22" hier="-1"/>
  </pageFields>
  <formats count="4">
    <format dxfId="124">
      <pivotArea dataOnly="0" labelOnly="1" fieldPosition="0">
        <references count="2">
          <reference field="23" count="1" selected="0">
            <x v="2"/>
          </reference>
          <reference field="32" count="2">
            <x v="62"/>
            <x v="106"/>
          </reference>
        </references>
      </pivotArea>
    </format>
    <format dxfId="123">
      <pivotArea dataOnly="0" labelOnly="1" fieldPosition="0">
        <references count="2">
          <reference field="23" count="1" selected="0">
            <x v="3"/>
          </reference>
          <reference field="32" count="1">
            <x v="134"/>
          </reference>
        </references>
      </pivotArea>
    </format>
    <format dxfId="122">
      <pivotArea dataOnly="0" labelOnly="1" fieldPosition="0">
        <references count="1">
          <reference field="32" count="0"/>
        </references>
      </pivotArea>
    </format>
    <format dxfId="121">
      <pivotArea dataOnly="0" labelOnly="1" fieldPosition="0">
        <references count="1">
          <reference field="3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Thème1">
  <a:themeElements>
    <a:clrScheme name="Personnalisé 5">
      <a:dk1>
        <a:srgbClr val="000000"/>
      </a:dk1>
      <a:lt1>
        <a:srgbClr val="FFFFFF"/>
      </a:lt1>
      <a:dk2>
        <a:srgbClr val="70B856"/>
      </a:dk2>
      <a:lt2>
        <a:srgbClr val="E7E6E6"/>
      </a:lt2>
      <a:accent1>
        <a:srgbClr val="70B856"/>
      </a:accent1>
      <a:accent2>
        <a:srgbClr val="1B92BA"/>
      </a:accent2>
      <a:accent3>
        <a:srgbClr val="F9B200"/>
      </a:accent3>
      <a:accent4>
        <a:srgbClr val="00B1AE"/>
      </a:accent4>
      <a:accent5>
        <a:srgbClr val="70B856"/>
      </a:accent5>
      <a:accent6>
        <a:srgbClr val="70B856"/>
      </a:accent6>
      <a:hlink>
        <a:srgbClr val="70B856"/>
      </a:hlink>
      <a:folHlink>
        <a:srgbClr val="003B71"/>
      </a:folHlink>
    </a:clrScheme>
    <a:fontScheme name="Arial">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Thème1" id="{330ACDE4-03AC-4209-99F7-FFA45E1639E5}" vid="{32CD70D4-6D2C-4A2E-BEC5-3086D39D330C}"/>
    </a:ext>
  </a:extLst>
</a:theme>
</file>

<file path=xl/threadedComments/threadedComment1.xml><?xml version="1.0" encoding="utf-8"?>
<ThreadedComments xmlns="http://schemas.microsoft.com/office/spreadsheetml/2018/threadedcomments" xmlns:x="http://schemas.openxmlformats.org/spreadsheetml/2006/main">
  <threadedComment ref="F35" dT="2025-08-29T14:33:02.15" personId="{D7FACAC8-76AB-4D3E-9A30-09921A54EFF9}" id="{AFE752D6-09FA-4AA5-B824-6372B1C1570B}">
    <text>Formule : =SI(zone clim="H2";formule H2;SI(zone clim="H1";formule H1;SI(zone climatique="H3";formule H2;rien)))</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base-empreinte.ademe.fr/" TargetMode="External"/><Relationship Id="rId2" Type="http://schemas.openxmlformats.org/officeDocument/2006/relationships/hyperlink" Target="https://www.statistiques.developpement-durable.gouv.fr/620-600-poids-lourds-en-circulation-au-1er-janvier-2023" TargetMode="External"/><Relationship Id="rId1" Type="http://schemas.openxmlformats.org/officeDocument/2006/relationships/hyperlink" Target="https://www.grdf.fr/acteurs-gnv/accompagnement-grdf-gnv/concevoir-projet/emissions-co2-carburants" TargetMode="External"/><Relationship Id="rId4" Type="http://schemas.openxmlformats.org/officeDocument/2006/relationships/hyperlink" Target="https://www.natrangroupe.com/sites/default/files/pa/panorama-gaz-renouvelables-2024.pdf"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grdf.sharepoint.com/:x:/r/sites/Projet-So/Documents%20partages/1.%20D%C3%A9carbonation%20Clients/R%C3%A9f%C3%A9rentiel%20de%20donn%C3%A9es%20d%C3%A9carbonation/Donn%C3%A9es%20de%20consommation%20DPEX/2702025%20-%20Consommations%20par%20solutions%20chauffage-ECS.xlsx?d=w924c29d23ca449769e97c6fa1df79c37&amp;csf=1&amp;web=1&amp;e=awGSc1" TargetMode="External"/><Relationship Id="rId13" Type="http://schemas.openxmlformats.org/officeDocument/2006/relationships/hyperlink" Target="https://grdf.sharepoint.com/:b:/r/sites/marches/Documents%20partages/Transverse/Bulletin%20des%20prix%20des%20%C3%A9nergies%20-%20Mars%202025.pdf?csf=1&amp;web=1&amp;e=ZvhT4g" TargetMode="External"/><Relationship Id="rId18" Type="http://schemas.openxmlformats.org/officeDocument/2006/relationships/hyperlink" Target="https://impactco2.fr/outils/comparateur" TargetMode="External"/><Relationship Id="rId3" Type="http://schemas.openxmlformats.org/officeDocument/2006/relationships/hyperlink" Target="https://cegibat.grdf.fr/solutions/residentiel/chauffe-eau-solaire-individuel-optimise-et-chaudiere-a-condensation" TargetMode="External"/><Relationship Id="rId7" Type="http://schemas.openxmlformats.org/officeDocument/2006/relationships/hyperlink" Target="https://grdf.sharepoint.com/:b:/r/sites/Projet-So/Documents%20partages/1.%20D%C3%A9carbonation%20Clients/R%C3%A9f%C3%A9rentiel%20de%20donn%C3%A9es%20d%C3%A9carbonation/Donn%C3%A9es%20financi%C3%A8res/Panorama%20des%20prix%20des%20%C3%A9nergies%20f%C3%A9vrier%202025%20version%20d%C3%A9taill%C3%A9e.pdf?csf=1&amp;web=1&amp;e=RQR8fi" TargetMode="External"/><Relationship Id="rId12" Type="http://schemas.openxmlformats.org/officeDocument/2006/relationships/hyperlink" Target="https://www.vattenfall.fr/le-mag-energie/consommation-maison-pompe-a-chaleur" TargetMode="External"/><Relationship Id="rId17" Type="http://schemas.openxmlformats.org/officeDocument/2006/relationships/hyperlink" Target="https://www.statistiques.developpement-durable.gouv.fr/le-parc-de-logements-par-classe-de-performance-energetique-au-1er-janvier-2024" TargetMode="External"/><Relationship Id="rId2" Type="http://schemas.openxmlformats.org/officeDocument/2006/relationships/hyperlink" Target="https://cegibat.grdf.fr/produit/chaudiere-individuelle-condensation" TargetMode="External"/><Relationship Id="rId16" Type="http://schemas.openxmlformats.org/officeDocument/2006/relationships/hyperlink" Target="https://particulier.hellio.com/blog/actualites/dpe-2025" TargetMode="External"/><Relationship Id="rId1" Type="http://schemas.openxmlformats.org/officeDocument/2006/relationships/hyperlink" Target="https://www.ademe.fr/presse/communique-national/decarboner-le-chauffage-quelle-place-pour-les-pompes-a-chaleur-lademe-publie-un-avis-dexpert/" TargetMode="External"/><Relationship Id="rId6" Type="http://schemas.openxmlformats.org/officeDocument/2006/relationships/hyperlink" Target="https://grdf.sharepoint.com/:b:/r/sites/Projet-So/Documents%20partages/1.%20D%C3%A9carbonation%20Clients/R%C3%A9f%C3%A9rentiel%20de%20donn%C3%A9es%20d%C3%A9carbonation/Donn%C3%A9es%20d%27%C3%A9volution%20du%20march%C3%A9/D%C3%A9formation%20portefeuille%20-%202030%20-%20Par%20r%C3%A9gion-1.pdf?csf=1&amp;web=1&amp;e=Snh0gD" TargetMode="External"/><Relationship Id="rId11" Type="http://schemas.openxmlformats.org/officeDocument/2006/relationships/hyperlink" Target="https://grdf.sharepoint.com/:x:/r/sites/Projet-So/Documents%20partages/1.%20D%C3%A9carbonation%20Clients/R%C3%A9f%C3%A9rentiel%20de%20donn%C3%A9es%20d%C3%A9carbonation/Donn%C3%A9es%20r%C3%A9novation/Outil%20d%C3%A9carbo%20LS%20-%20envoi4-1-1.xlsx?d=w66e79bf86f9b4004a91ec31a72e761cf&amp;csf=1&amp;web=1&amp;e=Q1W5vD" TargetMode="External"/><Relationship Id="rId5" Type="http://schemas.openxmlformats.org/officeDocument/2006/relationships/hyperlink" Target="https://www.francegaz.fr/wp-content/uploads/perspectives_gaz_2024_final_web-1.pdf" TargetMode="External"/><Relationship Id="rId15" Type="http://schemas.openxmlformats.org/officeDocument/2006/relationships/hyperlink" Target="https://www.service-public.fr/particuliers/vosdroits/F35083" TargetMode="External"/><Relationship Id="rId10" Type="http://schemas.openxmlformats.org/officeDocument/2006/relationships/hyperlink" Target="https://grdf.sharepoint.com/:x:/r/sites/Projet-So/Documents%20partages/1.%20D%C3%A9carbonation%20Clients/R%C3%A9f%C3%A9rentiel%20de%20donn%C3%A9es%20d%C3%A9carbonation/Donn%C3%A9es%20d%27%C3%A9volution%20du%20march%C3%A9/PG24_Hypoth%C3%A8ses%20par%20r%C3%A9gion_PE-1.xlsx?d=wa6ac6bb159ba437db7ad9b67eb5dfb7a&amp;csf=1&amp;web=1&amp;e=osOssP" TargetMode="External"/><Relationship Id="rId4" Type="http://schemas.openxmlformats.org/officeDocument/2006/relationships/hyperlink" Target="https://cegibat.grdf.fr/solutions/residentiel/chaudiere-hybride" TargetMode="External"/><Relationship Id="rId9" Type="http://schemas.openxmlformats.org/officeDocument/2006/relationships/hyperlink" Target="https://base-empreinte.ademe.fr/donnees/jeu-donnees?state=Sy1Bek11LkVhQnVJbE1id1k5WFBIbXB4YURycGUudVhvM3BWazhJLjhxWFBo&amp;session_state=e0f72e21-9c1d-4690-9529-cfa07e45d607&amp;iss=https:%2F%2Fmoncompte.ademe.fr%2Fauth%2Frealms%2Fmaster&amp;code=e25c89a%206-04cc-43ed-a738-2807d43ebf83.e0f72e21-9c1d-4690-9529-cfa07e45d607.e8e7e1ec-ca0a-42ac-bf39-2abdf82b7fb2" TargetMode="External"/><Relationship Id="rId14" Type="http://schemas.openxmlformats.org/officeDocument/2006/relationships/hyperlink" Target="https://www.economie.gouv.fr/particuliers/prime-renovation-energetique"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insee.fr/fr/statistiques/8251576"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1ccvklcu8wg4s.cloudfront.net/pr/cfr-fiches/pdf/chaufferie-vapeur-a-haut-rendement-gaz-naturel.pdf"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0.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1.xml"/><Relationship Id="rId1" Type="http://schemas.openxmlformats.org/officeDocument/2006/relationships/hyperlink" Target="https://france-chaleur-urbaine.beta.gouv.fr/reseaux-chaleur" TargetMode="External"/><Relationship Id="rId4" Type="http://schemas.openxmlformats.org/officeDocument/2006/relationships/comments" Target="../comments3.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5.xml"/><Relationship Id="rId4" Type="http://schemas.microsoft.com/office/2017/10/relationships/threadedComment" Target="../threadedComments/threadedComment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35C7E-C60B-45CA-8D4B-66FFB748C7B8}">
  <sheetPr>
    <tabColor theme="1"/>
  </sheetPr>
  <dimension ref="C3:K48"/>
  <sheetViews>
    <sheetView showGridLines="0" topLeftCell="B13" zoomScale="115" zoomScaleNormal="115" workbookViewId="0">
      <selection activeCell="D34" sqref="D34"/>
    </sheetView>
  </sheetViews>
  <sheetFormatPr baseColWidth="10" defaultColWidth="11" defaultRowHeight="14.25" x14ac:dyDescent="0.2"/>
  <cols>
    <col min="3" max="3" width="98.875" customWidth="1"/>
    <col min="4" max="5" width="23.625" customWidth="1"/>
    <col min="6" max="6" width="19.375" customWidth="1"/>
    <col min="7" max="7" width="47.875" customWidth="1"/>
    <col min="8" max="9" width="24" customWidth="1"/>
    <col min="10" max="10" width="70.75" customWidth="1"/>
  </cols>
  <sheetData>
    <row r="3" spans="3:10" ht="18" x14ac:dyDescent="0.25">
      <c r="D3" s="680"/>
      <c r="E3" s="680"/>
      <c r="F3" s="273"/>
    </row>
    <row r="4" spans="3:10" ht="18" x14ac:dyDescent="0.25">
      <c r="C4" s="273"/>
      <c r="D4" s="273"/>
      <c r="E4" s="273"/>
      <c r="F4" s="273"/>
    </row>
    <row r="5" spans="3:10" ht="18" x14ac:dyDescent="0.25">
      <c r="C5" s="680" t="s">
        <v>0</v>
      </c>
      <c r="D5" s="273"/>
      <c r="E5" s="273"/>
      <c r="F5" s="273"/>
    </row>
    <row r="6" spans="3:10" ht="18" x14ac:dyDescent="0.25">
      <c r="C6" s="273"/>
      <c r="D6" s="273"/>
      <c r="E6" s="273"/>
      <c r="F6" s="273"/>
    </row>
    <row r="7" spans="3:10" ht="36" x14ac:dyDescent="0.2">
      <c r="C7" s="998" t="s">
        <v>3738</v>
      </c>
      <c r="D7" s="998" t="s">
        <v>3636</v>
      </c>
      <c r="E7" s="998" t="s">
        <v>821</v>
      </c>
      <c r="F7" s="1031" t="s">
        <v>3731</v>
      </c>
      <c r="G7" s="998" t="s">
        <v>2</v>
      </c>
      <c r="H7" s="998" t="s">
        <v>3</v>
      </c>
      <c r="I7" s="1031" t="s">
        <v>3722</v>
      </c>
      <c r="J7" s="998" t="s">
        <v>3740</v>
      </c>
    </row>
    <row r="8" spans="3:10" ht="18" x14ac:dyDescent="0.25">
      <c r="C8" s="999" t="s">
        <v>3639</v>
      </c>
      <c r="D8" s="991"/>
      <c r="E8" s="993"/>
      <c r="F8" s="991"/>
      <c r="G8" s="991"/>
      <c r="H8" s="991"/>
      <c r="I8" s="991"/>
      <c r="J8" s="992"/>
    </row>
    <row r="9" spans="3:10" ht="15" x14ac:dyDescent="0.25">
      <c r="C9" s="1000" t="s">
        <v>4</v>
      </c>
      <c r="D9" s="686"/>
      <c r="E9" s="995"/>
      <c r="F9" s="686"/>
      <c r="G9" s="687"/>
      <c r="H9" s="688"/>
      <c r="I9" s="688"/>
      <c r="J9" s="689"/>
    </row>
    <row r="10" spans="3:10" ht="57" x14ac:dyDescent="0.2">
      <c r="C10" s="1001" t="s">
        <v>3729</v>
      </c>
      <c r="D10" s="1045" t="s">
        <v>3638</v>
      </c>
      <c r="E10" s="427" t="s">
        <v>3640</v>
      </c>
      <c r="F10" s="1045" t="s">
        <v>5</v>
      </c>
      <c r="G10" s="681" t="s">
        <v>3744</v>
      </c>
      <c r="H10" s="428" t="s">
        <v>7</v>
      </c>
      <c r="I10" s="428" t="s">
        <v>3723</v>
      </c>
      <c r="J10" s="1046" t="s">
        <v>3741</v>
      </c>
    </row>
    <row r="11" spans="3:10" ht="171" x14ac:dyDescent="0.2">
      <c r="C11" s="1001" t="s">
        <v>3736</v>
      </c>
      <c r="D11" s="1045" t="s">
        <v>3637</v>
      </c>
      <c r="E11" s="427" t="s">
        <v>3648</v>
      </c>
      <c r="F11" s="1045" t="s">
        <v>5</v>
      </c>
      <c r="G11" s="681" t="s">
        <v>3745</v>
      </c>
      <c r="H11" s="428" t="s">
        <v>7</v>
      </c>
      <c r="I11" s="428" t="s">
        <v>3723</v>
      </c>
      <c r="J11" s="1046" t="s">
        <v>3741</v>
      </c>
    </row>
    <row r="12" spans="3:10" ht="57" x14ac:dyDescent="0.2">
      <c r="C12" s="873" t="s">
        <v>3737</v>
      </c>
      <c r="D12" s="1045" t="s">
        <v>3637</v>
      </c>
      <c r="E12" s="427" t="s">
        <v>3648</v>
      </c>
      <c r="F12" s="874" t="s">
        <v>5</v>
      </c>
      <c r="G12" s="682" t="s">
        <v>3746</v>
      </c>
      <c r="H12" s="1007" t="s">
        <v>8</v>
      </c>
      <c r="I12" s="428" t="s">
        <v>3723</v>
      </c>
      <c r="J12" s="1046" t="s">
        <v>3741</v>
      </c>
    </row>
    <row r="13" spans="3:10" ht="28.5" x14ac:dyDescent="0.2">
      <c r="C13" s="1001" t="s">
        <v>3641</v>
      </c>
      <c r="D13" s="1045" t="s">
        <v>3642</v>
      </c>
      <c r="E13" s="427" t="s">
        <v>3643</v>
      </c>
      <c r="F13" s="1045" t="s">
        <v>5</v>
      </c>
      <c r="G13" s="681" t="s">
        <v>3644</v>
      </c>
      <c r="H13" s="681" t="s">
        <v>3645</v>
      </c>
      <c r="I13" s="1032" t="s">
        <v>3723</v>
      </c>
      <c r="J13" s="684"/>
    </row>
    <row r="14" spans="3:10" s="336" customFormat="1" ht="3.95" customHeight="1" x14ac:dyDescent="0.2">
      <c r="C14" s="994"/>
      <c r="E14" s="996"/>
      <c r="G14" s="683"/>
      <c r="H14" s="683"/>
      <c r="I14" s="1033"/>
      <c r="J14" s="683"/>
    </row>
    <row r="15" spans="3:10" ht="15" x14ac:dyDescent="0.25">
      <c r="C15" s="1000" t="s">
        <v>9</v>
      </c>
      <c r="D15" s="686"/>
      <c r="E15" s="995"/>
      <c r="F15" s="686"/>
      <c r="G15" s="688"/>
      <c r="H15" s="688"/>
      <c r="I15" s="1034"/>
      <c r="J15" s="689"/>
    </row>
    <row r="16" spans="3:10" ht="28.5" x14ac:dyDescent="0.2">
      <c r="C16" s="873" t="s">
        <v>3730</v>
      </c>
      <c r="D16" s="679" t="s">
        <v>3649</v>
      </c>
      <c r="E16" s="67" t="s">
        <v>3647</v>
      </c>
      <c r="F16" s="679" t="s">
        <v>1</v>
      </c>
      <c r="G16" s="682" t="s">
        <v>10</v>
      </c>
      <c r="H16" s="682" t="s">
        <v>11</v>
      </c>
      <c r="I16" s="1035" t="s">
        <v>3724</v>
      </c>
      <c r="J16" s="685"/>
    </row>
    <row r="17" spans="3:11" ht="28.5" x14ac:dyDescent="0.2">
      <c r="C17" s="873" t="s">
        <v>3646</v>
      </c>
      <c r="D17" s="997" t="s">
        <v>3650</v>
      </c>
      <c r="E17" s="67"/>
      <c r="F17" s="679" t="s">
        <v>1</v>
      </c>
      <c r="G17" s="682" t="s">
        <v>10</v>
      </c>
      <c r="H17" s="682" t="s">
        <v>11</v>
      </c>
      <c r="I17" s="1035"/>
      <c r="J17" s="685" t="s">
        <v>3651</v>
      </c>
    </row>
    <row r="18" spans="3:11" x14ac:dyDescent="0.2">
      <c r="C18" s="873" t="s">
        <v>3732</v>
      </c>
      <c r="D18" s="679" t="s">
        <v>3652</v>
      </c>
      <c r="E18" s="67" t="s">
        <v>3643</v>
      </c>
      <c r="F18" s="679" t="s">
        <v>5</v>
      </c>
      <c r="G18" s="682" t="s">
        <v>12</v>
      </c>
      <c r="H18" s="682" t="s">
        <v>11</v>
      </c>
      <c r="I18" s="1035" t="s">
        <v>3725</v>
      </c>
      <c r="J18" s="685"/>
    </row>
    <row r="19" spans="3:11" ht="3.6" customHeight="1" x14ac:dyDescent="0.2">
      <c r="C19" s="131"/>
      <c r="E19" s="11"/>
      <c r="G19" s="207"/>
      <c r="H19" s="207"/>
      <c r="I19" s="1036"/>
      <c r="J19" s="207"/>
    </row>
    <row r="20" spans="3:11" ht="15" x14ac:dyDescent="0.25">
      <c r="C20" s="1000" t="s">
        <v>3653</v>
      </c>
      <c r="D20" s="686"/>
      <c r="E20" s="995"/>
      <c r="F20" s="686"/>
      <c r="G20" s="688"/>
      <c r="H20" s="688"/>
      <c r="I20" s="1034"/>
      <c r="J20" s="689"/>
    </row>
    <row r="21" spans="3:11" x14ac:dyDescent="0.2">
      <c r="C21" s="873" t="s">
        <v>3739</v>
      </c>
      <c r="D21" s="679" t="s">
        <v>3654</v>
      </c>
      <c r="E21" s="67" t="s">
        <v>1302</v>
      </c>
      <c r="F21" s="679" t="s">
        <v>18</v>
      </c>
      <c r="G21" s="682" t="s">
        <v>3656</v>
      </c>
      <c r="H21" s="682"/>
      <c r="I21" s="1035" t="s">
        <v>3725</v>
      </c>
      <c r="J21" s="1021" t="s">
        <v>3692</v>
      </c>
      <c r="K21" s="136"/>
    </row>
    <row r="22" spans="3:11" ht="28.5" x14ac:dyDescent="0.2">
      <c r="C22" s="873" t="s">
        <v>3655</v>
      </c>
      <c r="D22" s="679" t="s">
        <v>3654</v>
      </c>
      <c r="E22" s="1007" t="s">
        <v>3657</v>
      </c>
      <c r="F22" s="679" t="s">
        <v>5</v>
      </c>
      <c r="G22" s="682" t="s">
        <v>3660</v>
      </c>
      <c r="H22" s="682" t="s">
        <v>3658</v>
      </c>
      <c r="I22" s="1035" t="s">
        <v>3725</v>
      </c>
      <c r="J22" s="1008" t="s">
        <v>3659</v>
      </c>
    </row>
    <row r="23" spans="3:11" ht="3.6" customHeight="1" x14ac:dyDescent="0.2">
      <c r="C23" s="131"/>
      <c r="E23" s="11"/>
      <c r="G23" s="207"/>
      <c r="H23" s="207"/>
      <c r="I23" s="1036"/>
      <c r="J23" s="207"/>
    </row>
    <row r="24" spans="3:11" ht="15" x14ac:dyDescent="0.25">
      <c r="C24" s="1000" t="s">
        <v>3675</v>
      </c>
      <c r="D24" s="686"/>
      <c r="E24" s="995"/>
      <c r="F24" s="686"/>
      <c r="G24" s="688"/>
      <c r="H24" s="688"/>
      <c r="I24" s="1034"/>
      <c r="J24" s="689"/>
    </row>
    <row r="25" spans="3:11" x14ac:dyDescent="0.2">
      <c r="C25" s="1002" t="s">
        <v>14</v>
      </c>
      <c r="D25" s="1003"/>
      <c r="E25" s="1004"/>
      <c r="F25" s="1003" t="s">
        <v>5</v>
      </c>
      <c r="G25" s="1005" t="s">
        <v>15</v>
      </c>
      <c r="H25" s="1005"/>
      <c r="I25" s="1037"/>
      <c r="J25" s="1006"/>
    </row>
    <row r="26" spans="3:11" s="336" customFormat="1" ht="3.95" customHeight="1" x14ac:dyDescent="0.2">
      <c r="C26" s="994"/>
      <c r="E26" s="996"/>
      <c r="G26" s="683"/>
      <c r="H26" s="683"/>
      <c r="I26" s="1033"/>
      <c r="J26" s="683"/>
    </row>
    <row r="27" spans="3:11" ht="18" x14ac:dyDescent="0.25">
      <c r="C27" s="999" t="s">
        <v>3665</v>
      </c>
      <c r="D27" s="1026"/>
      <c r="E27" s="1027"/>
      <c r="F27" s="1026"/>
      <c r="G27" s="1028"/>
      <c r="H27" s="1028"/>
      <c r="I27" s="1038"/>
      <c r="J27" s="1029"/>
    </row>
    <row r="28" spans="3:11" ht="28.5" x14ac:dyDescent="0.2">
      <c r="C28" s="873" t="s">
        <v>3661</v>
      </c>
      <c r="D28" s="874" t="s">
        <v>3663</v>
      </c>
      <c r="E28" s="67" t="s">
        <v>3662</v>
      </c>
      <c r="F28" s="874" t="s">
        <v>18</v>
      </c>
      <c r="G28" s="875" t="s">
        <v>19</v>
      </c>
      <c r="H28" s="682" t="s">
        <v>3669</v>
      </c>
      <c r="I28" s="1035" t="s">
        <v>3726</v>
      </c>
      <c r="J28" s="1009" t="s">
        <v>3664</v>
      </c>
    </row>
    <row r="29" spans="3:11" ht="28.5" x14ac:dyDescent="0.2">
      <c r="C29" s="873" t="s">
        <v>3733</v>
      </c>
      <c r="D29" s="874" t="s">
        <v>3663</v>
      </c>
      <c r="E29" s="427" t="s">
        <v>3640</v>
      </c>
      <c r="F29" s="874" t="s">
        <v>18</v>
      </c>
      <c r="G29" s="875"/>
      <c r="H29" s="682"/>
      <c r="I29" s="1007" t="s">
        <v>3725</v>
      </c>
      <c r="J29" s="1009" t="s">
        <v>3734</v>
      </c>
    </row>
    <row r="30" spans="3:11" ht="42.75" x14ac:dyDescent="0.2">
      <c r="C30" s="873" t="s">
        <v>3666</v>
      </c>
      <c r="D30" s="679" t="s">
        <v>3667</v>
      </c>
      <c r="E30" s="67" t="s">
        <v>871</v>
      </c>
      <c r="F30" s="679" t="s">
        <v>18</v>
      </c>
      <c r="G30" s="682" t="s">
        <v>3668</v>
      </c>
      <c r="H30" s="682"/>
      <c r="I30" s="1035" t="s">
        <v>3725</v>
      </c>
      <c r="J30" s="1009" t="s">
        <v>3735</v>
      </c>
    </row>
    <row r="31" spans="3:11" s="336" customFormat="1" ht="3.95" customHeight="1" x14ac:dyDescent="0.2">
      <c r="C31" s="994"/>
      <c r="E31" s="996"/>
      <c r="G31" s="683"/>
      <c r="H31" s="683"/>
      <c r="I31" s="1033"/>
      <c r="J31" s="683"/>
    </row>
    <row r="32" spans="3:11" ht="18" x14ac:dyDescent="0.25">
      <c r="C32" s="999" t="s">
        <v>3670</v>
      </c>
      <c r="D32" s="1026"/>
      <c r="E32" s="1027"/>
      <c r="F32" s="1026"/>
      <c r="G32" s="1028"/>
      <c r="H32" s="1028"/>
      <c r="I32" s="1038"/>
      <c r="J32" s="1029"/>
    </row>
    <row r="33" spans="3:10" ht="28.5" x14ac:dyDescent="0.2">
      <c r="C33" s="873" t="s">
        <v>3673</v>
      </c>
      <c r="D33" s="679" t="s">
        <v>3672</v>
      </c>
      <c r="E33" s="67" t="s">
        <v>3671</v>
      </c>
      <c r="F33" s="679" t="s">
        <v>5</v>
      </c>
      <c r="G33" s="682" t="s">
        <v>6</v>
      </c>
      <c r="H33" s="682" t="s">
        <v>7</v>
      </c>
      <c r="I33" s="1032" t="s">
        <v>3723</v>
      </c>
      <c r="J33" s="685"/>
    </row>
    <row r="34" spans="3:10" x14ac:dyDescent="0.2">
      <c r="C34" s="873" t="s">
        <v>3680</v>
      </c>
      <c r="D34" s="679" t="s">
        <v>3672</v>
      </c>
      <c r="E34" s="67" t="s">
        <v>3674</v>
      </c>
      <c r="F34" s="874" t="s">
        <v>18</v>
      </c>
      <c r="G34" s="875" t="s">
        <v>3683</v>
      </c>
      <c r="H34" s="875"/>
      <c r="I34" s="1007" t="s">
        <v>3727</v>
      </c>
      <c r="J34" s="402" t="s">
        <v>3684</v>
      </c>
    </row>
    <row r="35" spans="3:10" x14ac:dyDescent="0.2">
      <c r="C35" s="873" t="s">
        <v>3681</v>
      </c>
      <c r="D35" s="679" t="s">
        <v>3672</v>
      </c>
      <c r="E35" s="67" t="s">
        <v>3682</v>
      </c>
      <c r="F35" s="874" t="s">
        <v>18</v>
      </c>
      <c r="G35" s="875" t="s">
        <v>3683</v>
      </c>
      <c r="H35" s="875"/>
      <c r="I35" s="1007" t="s">
        <v>3727</v>
      </c>
      <c r="J35" s="402" t="s">
        <v>3684</v>
      </c>
    </row>
    <row r="36" spans="3:10" x14ac:dyDescent="0.2">
      <c r="C36" s="873" t="s">
        <v>3687</v>
      </c>
      <c r="D36" s="679" t="s">
        <v>3672</v>
      </c>
      <c r="E36" s="67" t="s">
        <v>3674</v>
      </c>
      <c r="F36" s="874" t="s">
        <v>18</v>
      </c>
      <c r="G36" s="875" t="s">
        <v>3690</v>
      </c>
      <c r="H36" s="875"/>
      <c r="I36" s="1007" t="s">
        <v>3727</v>
      </c>
      <c r="J36" s="402" t="s">
        <v>3691</v>
      </c>
    </row>
    <row r="37" spans="3:10" x14ac:dyDescent="0.2">
      <c r="C37" s="873" t="s">
        <v>3688</v>
      </c>
      <c r="D37" s="679" t="s">
        <v>3672</v>
      </c>
      <c r="E37" s="67" t="s">
        <v>3674</v>
      </c>
      <c r="F37" s="874" t="s">
        <v>18</v>
      </c>
      <c r="G37" s="875" t="s">
        <v>3690</v>
      </c>
      <c r="H37" s="875"/>
      <c r="I37" s="1007" t="s">
        <v>3727</v>
      </c>
      <c r="J37" s="402" t="s">
        <v>3691</v>
      </c>
    </row>
    <row r="38" spans="3:10" x14ac:dyDescent="0.2">
      <c r="C38" s="873" t="s">
        <v>3685</v>
      </c>
      <c r="D38" s="679" t="s">
        <v>3672</v>
      </c>
      <c r="E38" s="67" t="s">
        <v>3674</v>
      </c>
      <c r="F38" s="874" t="s">
        <v>18</v>
      </c>
      <c r="G38" s="875" t="s">
        <v>3689</v>
      </c>
      <c r="H38" s="875" t="s">
        <v>26</v>
      </c>
      <c r="I38" s="1007" t="s">
        <v>3727</v>
      </c>
      <c r="J38" s="402"/>
    </row>
    <row r="39" spans="3:10" x14ac:dyDescent="0.2">
      <c r="C39" s="873" t="s">
        <v>3686</v>
      </c>
      <c r="D39" s="679" t="s">
        <v>3672</v>
      </c>
      <c r="E39" s="67" t="s">
        <v>3674</v>
      </c>
      <c r="F39" s="874" t="s">
        <v>5</v>
      </c>
      <c r="G39" s="875" t="s">
        <v>3689</v>
      </c>
      <c r="H39" s="875" t="s">
        <v>26</v>
      </c>
      <c r="I39" s="1007" t="s">
        <v>3727</v>
      </c>
      <c r="J39" s="402"/>
    </row>
    <row r="40" spans="3:10" s="336" customFormat="1" ht="3.95" customHeight="1" x14ac:dyDescent="0.2">
      <c r="G40" s="683"/>
      <c r="H40" s="683"/>
      <c r="I40" s="683"/>
      <c r="J40" s="683"/>
    </row>
    <row r="41" spans="3:10" ht="18" x14ac:dyDescent="0.25">
      <c r="C41" s="999" t="s">
        <v>20</v>
      </c>
      <c r="D41" s="1026"/>
      <c r="E41" s="1027"/>
      <c r="F41" s="1026"/>
      <c r="G41" s="1028"/>
      <c r="H41" s="1028"/>
      <c r="I41" s="1028"/>
      <c r="J41" s="1029"/>
    </row>
    <row r="42" spans="3:10" ht="28.5" x14ac:dyDescent="0.2">
      <c r="C42" s="873" t="s">
        <v>883</v>
      </c>
      <c r="D42" s="1040" t="s">
        <v>3694</v>
      </c>
      <c r="E42" s="67" t="s">
        <v>3693</v>
      </c>
      <c r="F42" s="874" t="s">
        <v>5</v>
      </c>
      <c r="G42" s="682" t="s">
        <v>3718</v>
      </c>
      <c r="H42" s="682" t="s">
        <v>3719</v>
      </c>
      <c r="I42" s="1039" t="s">
        <v>3728</v>
      </c>
      <c r="J42" s="685"/>
    </row>
    <row r="43" spans="3:10" ht="28.5" x14ac:dyDescent="0.2">
      <c r="C43" s="873" t="s">
        <v>3696</v>
      </c>
      <c r="D43" s="1040" t="s">
        <v>3694</v>
      </c>
      <c r="E43" s="67" t="s">
        <v>3697</v>
      </c>
      <c r="F43" s="874" t="s">
        <v>1</v>
      </c>
      <c r="G43" s="682" t="s">
        <v>21</v>
      </c>
      <c r="H43" s="682" t="s">
        <v>65</v>
      </c>
      <c r="I43" s="1039" t="s">
        <v>3728</v>
      </c>
      <c r="J43" s="685"/>
    </row>
    <row r="44" spans="3:10" ht="28.5" x14ac:dyDescent="0.2">
      <c r="C44" s="873" t="s">
        <v>3698</v>
      </c>
      <c r="D44" s="1040" t="s">
        <v>3694</v>
      </c>
      <c r="E44" s="67" t="s">
        <v>3693</v>
      </c>
      <c r="F44" s="874" t="s">
        <v>1</v>
      </c>
      <c r="G44" s="682" t="s">
        <v>21</v>
      </c>
      <c r="H44" s="682" t="s">
        <v>22</v>
      </c>
      <c r="I44" s="1039" t="s">
        <v>3728</v>
      </c>
      <c r="J44" s="685" t="s">
        <v>23</v>
      </c>
    </row>
    <row r="45" spans="3:10" ht="28.5" x14ac:dyDescent="0.2">
      <c r="C45" s="873" t="s">
        <v>3699</v>
      </c>
      <c r="D45" s="1040" t="s">
        <v>3694</v>
      </c>
      <c r="E45" s="67" t="s">
        <v>3693</v>
      </c>
      <c r="F45" s="874" t="s">
        <v>1</v>
      </c>
      <c r="G45" s="682" t="s">
        <v>21</v>
      </c>
      <c r="H45" s="682" t="s">
        <v>22</v>
      </c>
      <c r="I45" s="1039" t="s">
        <v>3728</v>
      </c>
      <c r="J45" s="685" t="s">
        <v>23</v>
      </c>
    </row>
    <row r="46" spans="3:10" ht="28.5" x14ac:dyDescent="0.2">
      <c r="C46" s="873" t="s">
        <v>924</v>
      </c>
      <c r="D46" s="1040" t="s">
        <v>3694</v>
      </c>
      <c r="E46" s="67" t="s">
        <v>3693</v>
      </c>
      <c r="F46" s="874" t="s">
        <v>1</v>
      </c>
      <c r="G46" s="682" t="s">
        <v>3695</v>
      </c>
      <c r="H46" s="682" t="s">
        <v>24</v>
      </c>
      <c r="I46" s="1039" t="s">
        <v>3728</v>
      </c>
      <c r="J46" s="685"/>
    </row>
    <row r="47" spans="3:10" ht="57" x14ac:dyDescent="0.2">
      <c r="C47" s="873" t="s">
        <v>3711</v>
      </c>
      <c r="D47" s="1040" t="s">
        <v>3694</v>
      </c>
      <c r="E47" s="67" t="s">
        <v>3693</v>
      </c>
      <c r="F47" s="874" t="s">
        <v>18</v>
      </c>
      <c r="G47" s="875" t="s">
        <v>3700</v>
      </c>
      <c r="H47" s="875"/>
      <c r="I47" s="1039" t="s">
        <v>3728</v>
      </c>
      <c r="J47" s="685" t="s">
        <v>3720</v>
      </c>
    </row>
    <row r="48" spans="3:10" ht="28.5" x14ac:dyDescent="0.2">
      <c r="C48" s="873" t="s">
        <v>3713</v>
      </c>
      <c r="D48" s="1040" t="s">
        <v>3694</v>
      </c>
      <c r="E48" s="67" t="s">
        <v>3643</v>
      </c>
      <c r="F48" s="874" t="s">
        <v>1</v>
      </c>
      <c r="G48" s="875" t="s">
        <v>3712</v>
      </c>
      <c r="H48" s="875"/>
      <c r="I48" s="1039" t="s">
        <v>3728</v>
      </c>
      <c r="J48" s="1009" t="s">
        <v>3721</v>
      </c>
    </row>
  </sheetData>
  <hyperlinks>
    <hyperlink ref="J22" r:id="rId1" xr:uid="{F3856CFD-6580-466A-AEF1-5FFDC2D1D732}"/>
    <hyperlink ref="J21" r:id="rId2" display="https://www.statistiques.developpement-durable.gouv.fr/620-600-poids-lourds-en-circulation-au-1er-janvier-2023 " xr:uid="{AA4727C1-7705-42CB-A48C-3256B32F8BB1}"/>
    <hyperlink ref="J28" r:id="rId3" xr:uid="{CFDE8EE2-0D42-46FE-AA1B-EAB99BD87356}"/>
    <hyperlink ref="J48" r:id="rId4" xr:uid="{DED7A2EC-8925-4754-AFC8-BB0388B15A7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2826E-E87C-4435-84AD-60A40642BB56}">
  <sheetPr>
    <tabColor theme="6"/>
  </sheetPr>
  <dimension ref="E3:I46"/>
  <sheetViews>
    <sheetView showGridLines="0" zoomScale="67" zoomScaleNormal="100" workbookViewId="0">
      <selection activeCell="I8" sqref="I8"/>
    </sheetView>
  </sheetViews>
  <sheetFormatPr baseColWidth="10" defaultColWidth="11" defaultRowHeight="14.25" x14ac:dyDescent="0.2"/>
  <cols>
    <col min="5" max="5" width="50.875" bestFit="1" customWidth="1"/>
    <col min="6" max="6" width="18.375" customWidth="1"/>
    <col min="7" max="7" width="26.75" customWidth="1"/>
    <col min="8" max="8" width="35.25" customWidth="1"/>
    <col min="9" max="9" width="136.5" customWidth="1"/>
  </cols>
  <sheetData>
    <row r="3" spans="5:9" ht="23.25" x14ac:dyDescent="0.35">
      <c r="G3" s="737" t="s">
        <v>29</v>
      </c>
    </row>
    <row r="5" spans="5:9" ht="15.75" x14ac:dyDescent="0.25">
      <c r="E5" s="18" t="s">
        <v>30</v>
      </c>
      <c r="F5" s="18"/>
    </row>
    <row r="7" spans="5:9" ht="15" x14ac:dyDescent="0.25">
      <c r="E7" s="122" t="s">
        <v>31</v>
      </c>
      <c r="F7" s="122" t="s">
        <v>32</v>
      </c>
      <c r="G7" s="85" t="s">
        <v>33</v>
      </c>
      <c r="H7" s="85" t="s">
        <v>3</v>
      </c>
      <c r="I7" s="85" t="s">
        <v>34</v>
      </c>
    </row>
    <row r="8" spans="5:9" ht="27" customHeight="1" x14ac:dyDescent="0.2">
      <c r="E8" s="15" t="s">
        <v>17</v>
      </c>
      <c r="F8" s="24"/>
      <c r="G8" s="15" t="s">
        <v>19</v>
      </c>
      <c r="H8" s="15" t="s">
        <v>35</v>
      </c>
      <c r="I8" s="261" t="s">
        <v>36</v>
      </c>
    </row>
    <row r="9" spans="5:9" ht="27" customHeight="1" x14ac:dyDescent="0.2">
      <c r="E9" s="15" t="s">
        <v>37</v>
      </c>
      <c r="F9" s="24"/>
      <c r="G9" s="15" t="s">
        <v>38</v>
      </c>
      <c r="H9" s="15"/>
      <c r="I9" s="133" t="s">
        <v>39</v>
      </c>
    </row>
    <row r="10" spans="5:9" ht="27" customHeight="1" x14ac:dyDescent="0.2">
      <c r="E10" s="15" t="s">
        <v>40</v>
      </c>
      <c r="F10" s="24" t="s">
        <v>25</v>
      </c>
      <c r="G10" s="15" t="s">
        <v>41</v>
      </c>
      <c r="H10" s="15" t="s">
        <v>42</v>
      </c>
      <c r="I10" s="133" t="s">
        <v>43</v>
      </c>
    </row>
    <row r="11" spans="5:9" ht="27" customHeight="1" x14ac:dyDescent="0.2">
      <c r="E11" s="15" t="s">
        <v>44</v>
      </c>
      <c r="F11" s="24" t="s">
        <v>45</v>
      </c>
      <c r="G11" s="15" t="s">
        <v>46</v>
      </c>
      <c r="H11" s="15" t="s">
        <v>47</v>
      </c>
      <c r="I11" s="133" t="s">
        <v>48</v>
      </c>
    </row>
    <row r="12" spans="5:9" ht="27" customHeight="1" x14ac:dyDescent="0.2">
      <c r="E12" s="15" t="s">
        <v>49</v>
      </c>
      <c r="F12" s="24" t="s">
        <v>50</v>
      </c>
      <c r="G12" s="15" t="s">
        <v>51</v>
      </c>
      <c r="H12" s="15" t="s">
        <v>52</v>
      </c>
      <c r="I12" s="133" t="s">
        <v>53</v>
      </c>
    </row>
    <row r="13" spans="5:9" ht="27" customHeight="1" x14ac:dyDescent="0.2">
      <c r="E13" s="15" t="s">
        <v>54</v>
      </c>
      <c r="F13" s="24" t="s">
        <v>45</v>
      </c>
      <c r="G13" s="15" t="s">
        <v>55</v>
      </c>
      <c r="H13" s="15"/>
      <c r="I13" s="133" t="s">
        <v>56</v>
      </c>
    </row>
    <row r="14" spans="5:9" ht="27" customHeight="1" x14ac:dyDescent="0.2">
      <c r="E14" s="15" t="s">
        <v>57</v>
      </c>
      <c r="F14" s="24" t="s">
        <v>25</v>
      </c>
      <c r="G14" s="15" t="s">
        <v>58</v>
      </c>
      <c r="H14" s="15"/>
      <c r="I14" s="133" t="s">
        <v>59</v>
      </c>
    </row>
    <row r="15" spans="5:9" ht="27" customHeight="1" x14ac:dyDescent="0.2">
      <c r="E15" s="15" t="s">
        <v>60</v>
      </c>
      <c r="F15" s="24" t="s">
        <v>25</v>
      </c>
      <c r="G15" s="15" t="s">
        <v>58</v>
      </c>
      <c r="H15" s="15"/>
      <c r="I15" s="133" t="s">
        <v>61</v>
      </c>
    </row>
    <row r="16" spans="5:9" ht="27" customHeight="1" x14ac:dyDescent="0.2">
      <c r="E16" s="15" t="s">
        <v>62</v>
      </c>
      <c r="F16" s="24" t="s">
        <v>25</v>
      </c>
      <c r="G16" s="15" t="s">
        <v>58</v>
      </c>
      <c r="H16" s="15"/>
      <c r="I16" s="133" t="s">
        <v>63</v>
      </c>
    </row>
    <row r="17" spans="5:9" ht="27" customHeight="1" x14ac:dyDescent="0.2">
      <c r="E17" s="15" t="s">
        <v>64</v>
      </c>
      <c r="F17" s="24" t="s">
        <v>50</v>
      </c>
      <c r="G17" s="15" t="s">
        <v>21</v>
      </c>
      <c r="H17" s="15" t="s">
        <v>65</v>
      </c>
      <c r="I17" s="133" t="s">
        <v>66</v>
      </c>
    </row>
    <row r="18" spans="5:9" ht="27" customHeight="1" x14ac:dyDescent="0.2">
      <c r="E18" s="15" t="s">
        <v>67</v>
      </c>
      <c r="F18" s="24" t="s">
        <v>50</v>
      </c>
      <c r="G18" s="15" t="s">
        <v>21</v>
      </c>
      <c r="H18" s="15" t="s">
        <v>68</v>
      </c>
      <c r="I18" s="136" t="s">
        <v>69</v>
      </c>
    </row>
    <row r="19" spans="5:9" ht="27" customHeight="1" x14ac:dyDescent="0.2">
      <c r="E19" s="15" t="s">
        <v>70</v>
      </c>
      <c r="F19" s="24" t="s">
        <v>13</v>
      </c>
      <c r="G19" s="15" t="s">
        <v>71</v>
      </c>
      <c r="H19" s="15" t="s">
        <v>16</v>
      </c>
      <c r="I19" s="136" t="s">
        <v>72</v>
      </c>
    </row>
    <row r="20" spans="5:9" ht="25.5" customHeight="1" x14ac:dyDescent="0.2">
      <c r="E20" s="15" t="s">
        <v>73</v>
      </c>
      <c r="F20" s="24" t="s">
        <v>45</v>
      </c>
      <c r="G20" s="15"/>
      <c r="H20" s="15"/>
      <c r="I20" s="133" t="s">
        <v>74</v>
      </c>
    </row>
    <row r="21" spans="5:9" ht="25.5" customHeight="1" x14ac:dyDescent="0.2">
      <c r="E21" s="15" t="s">
        <v>75</v>
      </c>
      <c r="F21" s="24" t="s">
        <v>25</v>
      </c>
      <c r="G21" s="15" t="s">
        <v>76</v>
      </c>
      <c r="H21" s="15" t="s">
        <v>42</v>
      </c>
      <c r="I21" s="15"/>
    </row>
    <row r="22" spans="5:9" ht="28.5" x14ac:dyDescent="0.2">
      <c r="E22" s="15" t="s">
        <v>77</v>
      </c>
      <c r="F22" s="24" t="s">
        <v>25</v>
      </c>
      <c r="G22" s="24" t="s">
        <v>78</v>
      </c>
      <c r="H22" s="15" t="s">
        <v>79</v>
      </c>
      <c r="I22" s="136" t="s">
        <v>80</v>
      </c>
    </row>
    <row r="23" spans="5:9" ht="28.5" x14ac:dyDescent="0.2">
      <c r="E23" s="15" t="s">
        <v>81</v>
      </c>
      <c r="F23" s="24" t="s">
        <v>25</v>
      </c>
      <c r="G23" s="15"/>
      <c r="H23" s="15"/>
      <c r="I23" s="133" t="s">
        <v>82</v>
      </c>
    </row>
    <row r="24" spans="5:9" ht="28.5" x14ac:dyDescent="0.2">
      <c r="E24" s="15" t="s">
        <v>83</v>
      </c>
      <c r="F24" s="24" t="s">
        <v>25</v>
      </c>
      <c r="G24" s="15"/>
      <c r="H24" s="15"/>
      <c r="I24" s="133" t="s">
        <v>84</v>
      </c>
    </row>
    <row r="25" spans="5:9" x14ac:dyDescent="0.2">
      <c r="E25" s="15" t="s">
        <v>85</v>
      </c>
      <c r="F25" s="15" t="s">
        <v>86</v>
      </c>
      <c r="G25" s="15" t="s">
        <v>87</v>
      </c>
      <c r="H25" s="15"/>
      <c r="I25" s="133" t="s">
        <v>88</v>
      </c>
    </row>
    <row r="26" spans="5:9" x14ac:dyDescent="0.2">
      <c r="E26" s="15" t="s">
        <v>89</v>
      </c>
      <c r="F26" s="15" t="s">
        <v>86</v>
      </c>
      <c r="G26" s="15"/>
      <c r="H26" s="15"/>
      <c r="I26" s="133" t="s">
        <v>90</v>
      </c>
    </row>
    <row r="27" spans="5:9" x14ac:dyDescent="0.2">
      <c r="E27" s="15" t="s">
        <v>91</v>
      </c>
      <c r="F27" s="15" t="s">
        <v>92</v>
      </c>
      <c r="G27" s="15" t="s">
        <v>93</v>
      </c>
      <c r="H27" s="15"/>
      <c r="I27" s="136" t="s">
        <v>94</v>
      </c>
    </row>
    <row r="28" spans="5:9" x14ac:dyDescent="0.2">
      <c r="E28" s="15" t="s">
        <v>95</v>
      </c>
      <c r="F28" s="15" t="s">
        <v>25</v>
      </c>
      <c r="G28" s="15"/>
      <c r="H28" s="15"/>
      <c r="I28" s="15" t="s">
        <v>96</v>
      </c>
    </row>
    <row r="29" spans="5:9" x14ac:dyDescent="0.2">
      <c r="E29" s="15"/>
      <c r="F29" s="15"/>
      <c r="G29" s="15"/>
      <c r="H29" s="15"/>
      <c r="I29" s="15"/>
    </row>
    <row r="30" spans="5:9" x14ac:dyDescent="0.2">
      <c r="E30" s="15"/>
      <c r="F30" s="15"/>
      <c r="G30" s="15"/>
      <c r="H30" s="15"/>
      <c r="I30" s="15"/>
    </row>
    <row r="31" spans="5:9" x14ac:dyDescent="0.2">
      <c r="E31" s="15"/>
      <c r="F31" s="15"/>
      <c r="G31" s="15"/>
      <c r="H31" s="15"/>
      <c r="I31" s="15"/>
    </row>
    <row r="32" spans="5:9" x14ac:dyDescent="0.2">
      <c r="E32" s="15"/>
      <c r="F32" s="15"/>
      <c r="G32" s="15"/>
      <c r="H32" s="15"/>
      <c r="I32" s="15"/>
    </row>
    <row r="33" spans="5:9" x14ac:dyDescent="0.2">
      <c r="E33" s="15"/>
      <c r="F33" s="15"/>
      <c r="G33" s="15"/>
      <c r="H33" s="15"/>
      <c r="I33" s="15"/>
    </row>
    <row r="34" spans="5:9" x14ac:dyDescent="0.2">
      <c r="E34" s="15"/>
      <c r="F34" s="15"/>
      <c r="G34" s="15"/>
      <c r="H34" s="15"/>
      <c r="I34" s="15"/>
    </row>
    <row r="35" spans="5:9" x14ac:dyDescent="0.2">
      <c r="E35" s="15"/>
      <c r="F35" s="15"/>
      <c r="G35" s="15"/>
      <c r="H35" s="15"/>
      <c r="I35" s="15"/>
    </row>
    <row r="36" spans="5:9" x14ac:dyDescent="0.2">
      <c r="E36" s="15"/>
      <c r="F36" s="15"/>
      <c r="G36" s="15"/>
      <c r="H36" s="15"/>
      <c r="I36" s="15"/>
    </row>
    <row r="37" spans="5:9" x14ac:dyDescent="0.2">
      <c r="E37" s="15"/>
      <c r="F37" s="15"/>
      <c r="G37" s="15"/>
      <c r="H37" s="15"/>
      <c r="I37" s="15"/>
    </row>
    <row r="38" spans="5:9" x14ac:dyDescent="0.2">
      <c r="E38" s="15"/>
      <c r="F38" s="15"/>
      <c r="G38" s="15"/>
      <c r="H38" s="15"/>
      <c r="I38" s="15"/>
    </row>
    <row r="39" spans="5:9" x14ac:dyDescent="0.2">
      <c r="E39" s="15"/>
      <c r="F39" s="15"/>
      <c r="G39" s="15"/>
      <c r="H39" s="15"/>
      <c r="I39" s="15"/>
    </row>
    <row r="40" spans="5:9" x14ac:dyDescent="0.2">
      <c r="E40" s="15"/>
      <c r="F40" s="15"/>
      <c r="G40" s="15"/>
      <c r="H40" s="15"/>
      <c r="I40" s="15"/>
    </row>
    <row r="41" spans="5:9" x14ac:dyDescent="0.2">
      <c r="E41" s="15"/>
      <c r="F41" s="15"/>
      <c r="G41" s="15"/>
      <c r="H41" s="15"/>
      <c r="I41" s="15"/>
    </row>
    <row r="42" spans="5:9" x14ac:dyDescent="0.2">
      <c r="E42" s="15"/>
      <c r="F42" s="15"/>
      <c r="G42" s="15"/>
      <c r="H42" s="15"/>
      <c r="I42" s="15"/>
    </row>
    <row r="43" spans="5:9" x14ac:dyDescent="0.2">
      <c r="E43" s="15"/>
      <c r="F43" s="15"/>
      <c r="G43" s="15"/>
      <c r="H43" s="15"/>
      <c r="I43" s="15"/>
    </row>
    <row r="44" spans="5:9" x14ac:dyDescent="0.2">
      <c r="E44" s="15"/>
      <c r="F44" s="15"/>
      <c r="G44" s="15"/>
      <c r="H44" s="15"/>
      <c r="I44" s="15"/>
    </row>
    <row r="45" spans="5:9" x14ac:dyDescent="0.2">
      <c r="E45" s="15"/>
      <c r="F45" s="15"/>
      <c r="G45" s="15"/>
      <c r="H45" s="15"/>
      <c r="I45" s="15"/>
    </row>
    <row r="46" spans="5:9" x14ac:dyDescent="0.2">
      <c r="E46" s="15"/>
      <c r="F46" s="15"/>
      <c r="G46" s="15"/>
      <c r="H46" s="15"/>
      <c r="I46" s="15"/>
    </row>
  </sheetData>
  <hyperlinks>
    <hyperlink ref="I9" r:id="rId1" xr:uid="{7FCE72AE-28B3-4891-95DD-BB93F833034E}"/>
    <hyperlink ref="I14" r:id="rId2" display="https://cegibat.grdf.fr/produit/chaudiere-individuelle-condensation" xr:uid="{6D8568BF-EE69-4C4E-AD0D-ED9BCB756326}"/>
    <hyperlink ref="I15" r:id="rId3" display="https://cegibat.grdf.fr/solutions/residentiel/chauffe-eau-solaire-individuel-optimise-et-chaudiere-a-condensation" xr:uid="{3E4B2882-202D-4C6D-9468-0F0BB34B9AD5}"/>
    <hyperlink ref="I16" r:id="rId4" display="https://cegibat.grdf.fr/solutions/residentiel/chaudiere-hybride" xr:uid="{B773DEDF-0D1E-4136-88CE-541F5ADA119A}"/>
    <hyperlink ref="I17" r:id="rId5" display="https://www.francegaz.fr/wp-content/uploads/perspectives_gaz_2024_final_web-1.pdf" xr:uid="{DA6F7F5E-6EC9-4739-8C4D-510BB963C5A9}"/>
    <hyperlink ref="I12" r:id="rId6" display="../../../../../:b:/r/sites/Projet-So/Documents partages/1. D%C3%A9carbonation Clients/R%C3%A9f%C3%A9rentiel de donn%C3%A9es d%C3%A9carbonation/Donn%C3%A9es d%27%C3%A9volution du march%C3%A9/D%C3%A9formation portefeuille - 2030 - Par r%C3%A9gion-1.pdf?csf=1&amp;web=1&amp;e=Snh0gD" xr:uid="{C48A555F-7B04-44C3-93BD-1E4FA6E7429D}"/>
    <hyperlink ref="I10" r:id="rId7" display="../../../../../:b:/r/sites/Projet-So/Documents partages/1. D%C3%A9carbonation Clients/R%C3%A9f%C3%A9rentiel de donn%C3%A9es d%C3%A9carbonation/Donn%C3%A9es financi%C3%A8res/Panorama des prix des %C3%A9nergies f%C3%A9vrier 2025 version d%C3%A9taill%C3%A9e.pdf?csf=1&amp;web=1&amp;e=RQR8fi" xr:uid="{7986D3CC-0BAE-4E1E-97F4-049F6714BA1E}"/>
    <hyperlink ref="I11" r:id="rId8" display="../../../../../:x:/r/sites/Projet-So/Documents partages/1. D%C3%A9carbonation Clients/R%C3%A9f%C3%A9rentiel de donn%C3%A9es d%C3%A9carbonation/Donn%C3%A9es de consommation DPEX/2702025 - Consommations par solutions chauffage-ECS.xlsx?d=w924c29d23ca449769e97c6fa1df79c37&amp;csf=1&amp;web=1&amp;e=awGSc1" xr:uid="{EAA5C2BE-C135-4F84-A792-CC4D3EEE92DC}"/>
    <hyperlink ref="I8" r:id="rId9" display="https://base-empreinte.ademe.fr/donnees/jeu-donnees?state=Sy1Bek11LkVhQnVJbE1id1k5WFBIbXB4YURycGUudVhvM3BWazhJLjhxWFBo&amp;session_state=e0f72e21-9c1d-4690-9529-cfa07e45d607&amp;iss=https:%2F%2Fmoncompte.ademe.fr%2Fauth%2Frealms%2Fmaster&amp;code=e25c89a 6-04cc-43ed-a738-2807d43ebf83.e0f72e21-9c1d-4690-9529-cfa07e45d607.e8e7e1ec-ca0a-42ac-bf39-2abdf82b7fb2" xr:uid="{9CFE3C36-AF1C-4CD7-8DB8-2A25788149CD}"/>
    <hyperlink ref="I18" r:id="rId10" display="../../../../../:x:/r/sites/Projet-So/Documents partages/1. D%C3%A9carbonation Clients/R%C3%A9f%C3%A9rentiel de donn%C3%A9es d%C3%A9carbonation/Donn%C3%A9es d%27%C3%A9volution du march%C3%A9/PG24_Hypoth%C3%A8ses par r%C3%A9gion_PE-1.xlsx?d=wa6ac6bb159ba437db7ad9b67eb5dfb7a&amp;csf=1&amp;web=1&amp;e=osOssP" xr:uid="{7A25A8E8-0575-46A9-AF35-8C5D05B24A5F}"/>
    <hyperlink ref="I19" r:id="rId11" display="../../../../../:x:/r/sites/Projet-So/Documents partages/1. D%C3%A9carbonation Clients/R%C3%A9f%C3%A9rentiel de donn%C3%A9es d%C3%A9carbonation/Donn%C3%A9es r%C3%A9novation/Outil d%C3%A9carbo LS - envoi4-1-1.xlsx?d=w66e79bf86f9b4004a91ec31a72e761cf&amp;csf=1&amp;web=1&amp;e=Q1W5vD" xr:uid="{AC0A788B-626D-445D-ACD7-2084EB39207E}"/>
    <hyperlink ref="I20" r:id="rId12" xr:uid="{7FEBF748-5AC9-4D84-A0E0-E3EC08C94BF4}"/>
    <hyperlink ref="I22" r:id="rId13" display="../../../../../:b:/r/sites/marches/Documents partages/Transverse/Bulletin des prix des %C3%A9nergies - Mars 2025.pdf?csf=1&amp;web=1&amp;e=ZvhT4g" xr:uid="{165D2712-CE46-4850-B407-8DD9394714A0}"/>
    <hyperlink ref="I23" r:id="rId14" location="quel-est-le-montant-de-l-aide-_5 " xr:uid="{402005F9-E601-4001-97EE-CBC49696DDB0}"/>
    <hyperlink ref="I24" r:id="rId15" xr:uid="{52A1187D-8E83-4B8F-8B65-C9129FA4B31D}"/>
    <hyperlink ref="I25" r:id="rId16" xr:uid="{415FEAB0-1C5D-4F66-ACEE-866633A229C4}"/>
    <hyperlink ref="I26" r:id="rId17" xr:uid="{9E129BEC-CA7F-422D-9DAD-C2485105F2C3}"/>
    <hyperlink ref="I27" r:id="rId18" location="etiquette" display="https://impactco2.fr/outils/comparateur - etiquette" xr:uid="{0EE1C069-0F5A-45AF-8985-9630E5F92F2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29FE6-E478-4266-9E13-E5146112284C}">
  <sheetPr>
    <tabColor theme="8"/>
  </sheetPr>
  <dimension ref="A3:AB78"/>
  <sheetViews>
    <sheetView showGridLines="0" topLeftCell="A17" zoomScale="70" zoomScaleNormal="70" workbookViewId="0">
      <selection activeCell="H73" sqref="H73"/>
    </sheetView>
  </sheetViews>
  <sheetFormatPr baseColWidth="10" defaultColWidth="10.625" defaultRowHeight="15" x14ac:dyDescent="0.25"/>
  <cols>
    <col min="1" max="2" width="10.625" style="104"/>
    <col min="3" max="3" width="28.75" style="104" customWidth="1"/>
    <col min="4" max="4" width="6.375" style="104" customWidth="1"/>
    <col min="5" max="5" width="62.375" style="104" customWidth="1"/>
    <col min="6" max="6" width="38.375" style="104" customWidth="1"/>
    <col min="7" max="16384" width="10.625" style="104"/>
  </cols>
  <sheetData>
    <row r="3" spans="2:10" ht="28.5" x14ac:dyDescent="0.45">
      <c r="B3" s="959">
        <v>1</v>
      </c>
      <c r="C3" s="956" t="s">
        <v>3532</v>
      </c>
    </row>
    <row r="5" spans="2:10" ht="18.75" x14ac:dyDescent="0.3">
      <c r="C5" s="271"/>
    </row>
    <row r="9" spans="2:10" ht="21" x14ac:dyDescent="0.35">
      <c r="B9" s="141"/>
      <c r="C9" s="140"/>
    </row>
    <row r="11" spans="2:10" ht="15.75" x14ac:dyDescent="0.25">
      <c r="C11" s="96"/>
    </row>
    <row r="14" spans="2:10" ht="28.5" x14ac:dyDescent="0.45">
      <c r="B14" s="960">
        <v>2</v>
      </c>
      <c r="C14" s="956" t="s">
        <v>3533</v>
      </c>
    </row>
    <row r="16" spans="2:10" ht="72" customHeight="1" x14ac:dyDescent="0.25">
      <c r="C16" s="1133"/>
      <c r="D16" s="1133"/>
      <c r="E16" s="1133"/>
      <c r="F16" s="1133"/>
      <c r="G16" s="1133"/>
      <c r="H16" s="1133"/>
      <c r="I16" s="1133"/>
      <c r="J16" s="1133"/>
    </row>
    <row r="17" spans="2:13" ht="15.75" x14ac:dyDescent="0.25">
      <c r="C17" s="96"/>
    </row>
    <row r="20" spans="2:13" ht="21" x14ac:dyDescent="0.35">
      <c r="B20" s="141"/>
      <c r="C20" s="140"/>
    </row>
    <row r="22" spans="2:13" ht="18.75" x14ac:dyDescent="0.3">
      <c r="C22" s="942"/>
      <c r="D22" s="96"/>
      <c r="G22" s="96"/>
      <c r="H22" s="96"/>
      <c r="I22" s="96"/>
      <c r="J22" s="96"/>
      <c r="K22" s="96"/>
      <c r="L22" s="96"/>
      <c r="M22" s="96"/>
    </row>
    <row r="23" spans="2:13" ht="15.75" x14ac:dyDescent="0.25">
      <c r="C23" s="943"/>
      <c r="D23" s="96"/>
      <c r="G23" s="96"/>
      <c r="H23" s="96"/>
      <c r="I23" s="96"/>
      <c r="J23" s="96"/>
      <c r="K23" s="96"/>
      <c r="L23" s="96"/>
      <c r="M23" s="96"/>
    </row>
    <row r="24" spans="2:13" ht="15.75" x14ac:dyDescent="0.25">
      <c r="C24" s="944"/>
      <c r="D24" s="945"/>
      <c r="E24" s="193"/>
      <c r="F24" s="193"/>
      <c r="G24" s="96"/>
      <c r="H24" s="96"/>
      <c r="I24" s="96"/>
      <c r="J24" s="96"/>
      <c r="K24" s="96"/>
      <c r="L24" s="96"/>
      <c r="M24" s="96"/>
    </row>
    <row r="25" spans="2:13" ht="15.75" x14ac:dyDescent="0.25">
      <c r="C25" s="946"/>
      <c r="D25" s="945"/>
      <c r="E25" s="947"/>
      <c r="F25" s="96"/>
      <c r="G25" s="96"/>
      <c r="H25" s="96"/>
      <c r="I25" s="96"/>
      <c r="J25" s="96"/>
      <c r="K25" s="96"/>
      <c r="L25" s="96"/>
      <c r="M25" s="96"/>
    </row>
    <row r="26" spans="2:13" ht="15.75" x14ac:dyDescent="0.25">
      <c r="D26" s="96"/>
      <c r="E26" s="947"/>
      <c r="F26" s="948"/>
      <c r="G26" s="96"/>
      <c r="H26" s="96"/>
      <c r="I26" s="96"/>
      <c r="J26" s="96"/>
      <c r="K26" s="96"/>
      <c r="L26" s="96"/>
      <c r="M26" s="96"/>
    </row>
    <row r="27" spans="2:13" ht="15.75" x14ac:dyDescent="0.25">
      <c r="D27" s="96"/>
      <c r="E27" s="949"/>
      <c r="F27" s="950"/>
      <c r="G27" s="96"/>
      <c r="H27" s="96"/>
      <c r="I27" s="96"/>
      <c r="J27" s="96"/>
      <c r="K27" s="96"/>
      <c r="L27" s="96"/>
      <c r="M27" s="96"/>
    </row>
    <row r="28" spans="2:13" ht="15.75" x14ac:dyDescent="0.25">
      <c r="C28" s="951"/>
      <c r="D28" s="96"/>
      <c r="E28" s="947"/>
      <c r="F28" s="96"/>
      <c r="G28" s="96"/>
      <c r="H28" s="96"/>
      <c r="I28" s="96"/>
      <c r="J28" s="96"/>
      <c r="K28" s="96"/>
      <c r="L28" s="96"/>
      <c r="M28" s="96"/>
    </row>
    <row r="29" spans="2:13" ht="15.75" x14ac:dyDescent="0.25">
      <c r="C29" s="951"/>
      <c r="D29" s="96"/>
      <c r="E29" s="947"/>
      <c r="F29" s="96"/>
      <c r="G29" s="96"/>
      <c r="H29" s="96"/>
      <c r="I29" s="96"/>
      <c r="J29" s="96"/>
      <c r="K29" s="96"/>
      <c r="L29" s="96"/>
      <c r="M29" s="96"/>
    </row>
    <row r="30" spans="2:13" ht="15.75" x14ac:dyDescent="0.25">
      <c r="D30" s="96"/>
      <c r="E30" s="947"/>
      <c r="F30" s="96"/>
      <c r="G30" s="96"/>
      <c r="H30" s="96"/>
      <c r="I30" s="96"/>
      <c r="J30" s="96"/>
      <c r="K30" s="96"/>
      <c r="L30" s="96"/>
      <c r="M30" s="96"/>
    </row>
    <row r="31" spans="2:13" ht="15.75" x14ac:dyDescent="0.25">
      <c r="C31" s="951"/>
      <c r="D31" s="96"/>
      <c r="E31" s="952"/>
      <c r="F31" s="96"/>
      <c r="G31" s="96"/>
      <c r="H31" s="96"/>
      <c r="I31" s="96"/>
      <c r="J31" s="96"/>
      <c r="K31" s="96"/>
      <c r="L31" s="96"/>
      <c r="M31" s="96"/>
    </row>
    <row r="32" spans="2:13" ht="15.75" x14ac:dyDescent="0.25">
      <c r="C32" s="951"/>
      <c r="D32" s="96"/>
      <c r="E32" s="947"/>
      <c r="F32" s="96"/>
      <c r="G32" s="96"/>
      <c r="H32" s="96"/>
      <c r="I32" s="96"/>
      <c r="J32" s="96"/>
      <c r="K32" s="96"/>
      <c r="L32" s="96"/>
      <c r="M32" s="96"/>
    </row>
    <row r="33" spans="1:28" ht="15.75" x14ac:dyDescent="0.25">
      <c r="C33" s="951"/>
      <c r="D33" s="96"/>
      <c r="E33" s="96"/>
      <c r="F33" s="96"/>
      <c r="G33" s="96"/>
      <c r="H33" s="96"/>
      <c r="I33" s="96"/>
      <c r="J33" s="96"/>
      <c r="K33" s="96"/>
      <c r="L33" s="96"/>
      <c r="M33" s="96"/>
    </row>
    <row r="34" spans="1:28" ht="28.5" x14ac:dyDescent="0.45">
      <c r="B34" s="959">
        <v>3</v>
      </c>
      <c r="C34" s="956" t="s">
        <v>97</v>
      </c>
      <c r="D34" s="945"/>
      <c r="E34" s="947"/>
      <c r="F34" s="96"/>
      <c r="G34" s="96"/>
      <c r="H34" s="96"/>
      <c r="I34" s="96"/>
      <c r="J34" s="96"/>
      <c r="K34" s="96"/>
      <c r="L34" s="96"/>
      <c r="M34" s="96"/>
    </row>
    <row r="35" spans="1:28" ht="15.75" x14ac:dyDescent="0.25">
      <c r="C35" s="946"/>
      <c r="D35" s="96"/>
      <c r="E35" s="947"/>
      <c r="F35" s="96"/>
      <c r="G35" s="96"/>
      <c r="H35" s="96"/>
      <c r="I35" s="96"/>
      <c r="J35" s="96"/>
      <c r="K35" s="96"/>
      <c r="L35" s="96"/>
      <c r="M35" s="96"/>
    </row>
    <row r="36" spans="1:28" ht="15.75" x14ac:dyDescent="0.25">
      <c r="C36" s="951"/>
      <c r="D36" s="96"/>
      <c r="E36" s="947"/>
      <c r="F36" s="96"/>
      <c r="G36" s="96"/>
      <c r="H36" s="96"/>
      <c r="I36" s="96"/>
      <c r="J36" s="96"/>
      <c r="K36" s="96"/>
      <c r="L36" s="96"/>
      <c r="M36" s="96"/>
    </row>
    <row r="37" spans="1:28" ht="15.75" x14ac:dyDescent="0.25">
      <c r="C37" s="951"/>
      <c r="D37" s="96"/>
      <c r="E37" s="96"/>
      <c r="F37" s="96"/>
      <c r="G37" s="96"/>
      <c r="H37" s="96"/>
      <c r="I37" s="96"/>
      <c r="J37" s="96"/>
      <c r="K37" s="96"/>
      <c r="L37" s="96"/>
      <c r="M37" s="96"/>
    </row>
    <row r="38" spans="1:28" ht="15.75" x14ac:dyDescent="0.25">
      <c r="C38" s="944"/>
      <c r="D38" s="945"/>
      <c r="E38" s="947"/>
      <c r="F38" s="96"/>
      <c r="G38" s="96"/>
      <c r="H38" s="96"/>
      <c r="I38" s="96"/>
      <c r="J38" s="96"/>
      <c r="K38" s="96"/>
      <c r="L38" s="96"/>
      <c r="M38" s="96"/>
    </row>
    <row r="39" spans="1:28" ht="15.75" x14ac:dyDescent="0.25">
      <c r="C39" s="946"/>
      <c r="D39" s="96"/>
      <c r="E39" s="947"/>
      <c r="F39" s="96"/>
      <c r="G39" s="96"/>
      <c r="H39" s="96"/>
      <c r="I39" s="96"/>
      <c r="J39" s="96"/>
      <c r="K39" s="96"/>
      <c r="L39" s="96"/>
      <c r="M39" s="96"/>
    </row>
    <row r="40" spans="1:28" ht="24" x14ac:dyDescent="0.4">
      <c r="C40" s="957" t="s">
        <v>98</v>
      </c>
      <c r="D40" s="96"/>
      <c r="E40" s="96"/>
      <c r="F40" s="96"/>
      <c r="G40" s="96"/>
      <c r="H40" s="96"/>
      <c r="I40" s="96"/>
      <c r="J40" s="96"/>
      <c r="K40" s="96"/>
      <c r="L40" s="96"/>
      <c r="M40" s="96"/>
    </row>
    <row r="41" spans="1:28" ht="15.75" x14ac:dyDescent="0.25">
      <c r="C41" s="944"/>
      <c r="D41" s="945"/>
      <c r="E41" s="948"/>
      <c r="F41" s="96"/>
      <c r="G41" s="96"/>
      <c r="H41" s="96"/>
      <c r="I41" s="96"/>
      <c r="J41" s="96"/>
      <c r="K41" s="96"/>
      <c r="L41" s="96"/>
      <c r="M41" s="96"/>
    </row>
    <row r="42" spans="1:28" ht="15.75" x14ac:dyDescent="0.25">
      <c r="A42" s="96"/>
      <c r="B42" s="96"/>
      <c r="C42" s="946"/>
      <c r="D42" s="96"/>
      <c r="E42" s="96"/>
      <c r="F42" s="96"/>
      <c r="G42" s="96"/>
      <c r="H42" s="96"/>
      <c r="I42" s="96"/>
      <c r="J42" s="96"/>
      <c r="K42" s="96"/>
      <c r="L42" s="96"/>
      <c r="M42" s="96"/>
      <c r="N42" s="96"/>
      <c r="O42" s="96"/>
      <c r="P42" s="96"/>
      <c r="Q42" s="96"/>
      <c r="R42" s="96"/>
      <c r="S42" s="96"/>
      <c r="T42" s="96"/>
      <c r="U42" s="96"/>
      <c r="V42" s="96"/>
      <c r="W42" s="96"/>
      <c r="X42" s="96"/>
      <c r="Y42" s="96"/>
      <c r="Z42" s="96"/>
      <c r="AA42" s="96"/>
      <c r="AB42" s="96"/>
    </row>
    <row r="43" spans="1:28" ht="15.75" x14ac:dyDescent="0.25">
      <c r="A43" s="96"/>
      <c r="B43" s="96"/>
      <c r="C43" s="946"/>
      <c r="D43" s="96"/>
      <c r="E43" s="96"/>
      <c r="F43" s="96"/>
      <c r="G43" s="96"/>
      <c r="H43" s="96"/>
      <c r="I43" s="96"/>
      <c r="J43" s="96"/>
      <c r="K43" s="96"/>
      <c r="L43" s="96"/>
      <c r="M43" s="96"/>
      <c r="N43" s="96"/>
      <c r="O43" s="96"/>
      <c r="P43" s="96"/>
      <c r="Q43" s="96"/>
      <c r="R43" s="96"/>
      <c r="S43" s="96"/>
      <c r="T43" s="96"/>
      <c r="U43" s="96"/>
      <c r="V43" s="96"/>
      <c r="W43" s="96"/>
      <c r="X43" s="96"/>
      <c r="Y43" s="96"/>
      <c r="Z43" s="96"/>
      <c r="AA43" s="96"/>
      <c r="AB43" s="96"/>
    </row>
    <row r="44" spans="1:28" ht="15.75" x14ac:dyDescent="0.25">
      <c r="A44" s="96"/>
      <c r="B44" s="96"/>
      <c r="C44" s="946"/>
      <c r="D44" s="96"/>
      <c r="E44" s="96"/>
      <c r="F44" s="96"/>
      <c r="G44" s="96"/>
      <c r="H44" s="96"/>
      <c r="I44" s="96"/>
      <c r="J44" s="96"/>
      <c r="K44" s="96"/>
      <c r="L44" s="96"/>
      <c r="M44" s="96"/>
      <c r="N44" s="96"/>
      <c r="O44" s="96"/>
      <c r="P44" s="96"/>
      <c r="Q44" s="96"/>
      <c r="R44" s="96"/>
      <c r="S44" s="96"/>
      <c r="T44" s="96"/>
      <c r="U44" s="96"/>
      <c r="V44" s="96"/>
      <c r="W44" s="96"/>
      <c r="X44" s="96"/>
      <c r="Y44" s="96"/>
      <c r="Z44" s="96"/>
      <c r="AA44" s="96"/>
      <c r="AB44" s="96"/>
    </row>
    <row r="45" spans="1:28" ht="15.75" x14ac:dyDescent="0.25">
      <c r="A45" s="96"/>
      <c r="B45" s="96"/>
      <c r="C45" s="946"/>
      <c r="D45" s="96"/>
      <c r="E45" s="96"/>
      <c r="F45" s="96"/>
      <c r="G45" s="96"/>
      <c r="H45" s="96"/>
      <c r="I45" s="96"/>
      <c r="J45" s="96"/>
      <c r="K45" s="96"/>
      <c r="L45" s="96"/>
      <c r="M45" s="96"/>
      <c r="N45" s="96"/>
      <c r="O45" s="96"/>
      <c r="P45" s="96"/>
      <c r="Q45" s="96"/>
      <c r="R45" s="96"/>
      <c r="S45" s="96"/>
      <c r="T45" s="96"/>
      <c r="U45" s="96"/>
      <c r="V45" s="96"/>
      <c r="W45" s="96"/>
      <c r="X45" s="96"/>
      <c r="Y45" s="96"/>
      <c r="Z45" s="96"/>
      <c r="AA45" s="96"/>
      <c r="AB45" s="96"/>
    </row>
    <row r="46" spans="1:28" ht="15.75" x14ac:dyDescent="0.25">
      <c r="A46" s="96"/>
      <c r="B46" s="96"/>
      <c r="C46" s="946"/>
      <c r="D46" s="96"/>
      <c r="E46" s="96"/>
      <c r="F46" s="96"/>
      <c r="G46" s="96"/>
      <c r="H46" s="96"/>
      <c r="I46" s="96"/>
      <c r="J46" s="96"/>
      <c r="K46" s="96"/>
      <c r="L46" s="96"/>
      <c r="M46" s="96"/>
      <c r="N46" s="96"/>
      <c r="O46" s="96"/>
      <c r="P46" s="96"/>
      <c r="Q46" s="96"/>
      <c r="R46" s="96"/>
      <c r="S46" s="96"/>
      <c r="T46" s="96"/>
      <c r="U46" s="96"/>
      <c r="V46" s="96"/>
      <c r="W46" s="96"/>
      <c r="X46" s="96"/>
      <c r="Y46" s="96"/>
      <c r="Z46" s="96"/>
      <c r="AA46" s="96"/>
      <c r="AB46" s="96"/>
    </row>
    <row r="47" spans="1:28" ht="15.75" x14ac:dyDescent="0.25">
      <c r="A47" s="96"/>
      <c r="B47" s="96"/>
      <c r="C47" s="946"/>
      <c r="D47" s="96"/>
      <c r="E47" s="96"/>
      <c r="F47" s="96"/>
      <c r="G47" s="96"/>
      <c r="H47" s="96"/>
      <c r="I47" s="96"/>
      <c r="J47" s="96"/>
      <c r="K47" s="96"/>
      <c r="L47" s="96"/>
      <c r="M47" s="96"/>
      <c r="N47" s="96"/>
      <c r="O47" s="96"/>
      <c r="P47" s="96"/>
      <c r="Q47" s="96"/>
      <c r="R47" s="96"/>
      <c r="S47" s="96"/>
      <c r="T47" s="96"/>
      <c r="U47" s="96"/>
      <c r="V47" s="96"/>
      <c r="W47" s="96"/>
      <c r="X47" s="96"/>
      <c r="Y47" s="96"/>
      <c r="Z47" s="96"/>
      <c r="AA47" s="96"/>
      <c r="AB47" s="96"/>
    </row>
    <row r="48" spans="1:28" ht="15.75" x14ac:dyDescent="0.25">
      <c r="A48" s="96"/>
      <c r="B48" s="96"/>
      <c r="C48" s="946"/>
      <c r="D48" s="96"/>
      <c r="E48" s="96"/>
      <c r="F48" s="96"/>
      <c r="G48" s="96"/>
      <c r="H48" s="96"/>
      <c r="I48" s="96"/>
      <c r="J48" s="96"/>
      <c r="K48" s="96"/>
      <c r="L48" s="96"/>
      <c r="M48" s="96"/>
      <c r="N48" s="96"/>
      <c r="O48" s="96"/>
      <c r="P48" s="96"/>
      <c r="Q48" s="96"/>
      <c r="R48" s="96"/>
      <c r="S48" s="96"/>
      <c r="T48" s="96"/>
      <c r="U48" s="96"/>
      <c r="V48" s="96"/>
      <c r="W48" s="96"/>
      <c r="X48" s="96"/>
      <c r="Y48" s="96"/>
      <c r="Z48" s="96"/>
      <c r="AA48" s="96"/>
      <c r="AB48" s="96"/>
    </row>
    <row r="49" spans="1:28" ht="15.75" x14ac:dyDescent="0.25">
      <c r="A49" s="96"/>
      <c r="B49" s="96"/>
      <c r="C49" s="946"/>
      <c r="D49" s="96"/>
      <c r="E49" s="96"/>
      <c r="F49" s="96"/>
      <c r="G49" s="96"/>
      <c r="H49" s="96"/>
      <c r="I49" s="96"/>
      <c r="J49" s="96"/>
      <c r="K49" s="96"/>
      <c r="L49" s="96"/>
      <c r="M49" s="96"/>
      <c r="N49" s="96"/>
      <c r="O49" s="96"/>
      <c r="P49" s="96"/>
      <c r="Q49" s="96"/>
      <c r="R49" s="96"/>
      <c r="S49" s="96"/>
      <c r="T49" s="96"/>
      <c r="U49" s="96"/>
      <c r="V49" s="96"/>
      <c r="W49" s="96"/>
      <c r="X49" s="96"/>
      <c r="Y49" s="96"/>
      <c r="Z49" s="96"/>
      <c r="AA49" s="96"/>
      <c r="AB49" s="96"/>
    </row>
    <row r="50" spans="1:28" ht="15.75" x14ac:dyDescent="0.25">
      <c r="A50" s="96"/>
      <c r="B50" s="96"/>
      <c r="C50" s="944"/>
      <c r="D50" s="945"/>
      <c r="E50" s="948"/>
      <c r="F50" s="96"/>
      <c r="G50" s="96"/>
      <c r="H50" s="96"/>
      <c r="I50" s="96"/>
      <c r="J50" s="96"/>
      <c r="K50" s="96"/>
      <c r="L50" s="96"/>
      <c r="M50" s="96"/>
      <c r="N50" s="96"/>
      <c r="O50" s="96"/>
      <c r="P50" s="96"/>
      <c r="Q50" s="96"/>
      <c r="R50" s="96"/>
      <c r="S50" s="96"/>
      <c r="T50" s="96"/>
      <c r="U50" s="96"/>
      <c r="V50" s="96"/>
      <c r="W50" s="96"/>
      <c r="X50" s="96"/>
      <c r="Y50" s="96"/>
      <c r="Z50" s="96"/>
      <c r="AA50" s="96"/>
      <c r="AB50" s="96"/>
    </row>
    <row r="51" spans="1:28" ht="15.75" x14ac:dyDescent="0.25">
      <c r="A51" s="96"/>
      <c r="B51" s="96"/>
      <c r="C51" s="953"/>
      <c r="D51" s="96"/>
      <c r="E51" s="952"/>
      <c r="F51" s="96"/>
      <c r="G51" s="96"/>
      <c r="H51" s="96"/>
      <c r="I51" s="96"/>
      <c r="J51" s="96"/>
      <c r="K51" s="96"/>
      <c r="L51" s="96"/>
      <c r="M51" s="96"/>
      <c r="N51" s="96"/>
      <c r="O51" s="96"/>
      <c r="P51" s="96"/>
      <c r="Q51" s="96"/>
      <c r="R51" s="96"/>
      <c r="S51" s="96"/>
      <c r="T51" s="96"/>
      <c r="U51" s="96"/>
      <c r="V51" s="96"/>
      <c r="W51" s="96"/>
      <c r="X51" s="96"/>
      <c r="Y51" s="96"/>
      <c r="Z51" s="96"/>
      <c r="AA51" s="96"/>
      <c r="AB51" s="96"/>
    </row>
    <row r="52" spans="1:28" ht="15.75" x14ac:dyDescent="0.25">
      <c r="A52" s="96"/>
      <c r="B52" s="96"/>
      <c r="C52" s="96"/>
      <c r="D52" s="96"/>
      <c r="E52" s="96"/>
      <c r="F52" s="96"/>
      <c r="G52" s="96"/>
      <c r="H52" s="96"/>
      <c r="I52" s="96"/>
      <c r="J52" s="96"/>
      <c r="K52" s="96"/>
      <c r="L52" s="96"/>
      <c r="M52" s="96"/>
      <c r="N52" s="96"/>
      <c r="O52" s="96"/>
      <c r="P52" s="96"/>
      <c r="Q52" s="96"/>
      <c r="R52" s="96"/>
      <c r="S52" s="96"/>
      <c r="T52" s="96"/>
      <c r="U52" s="96"/>
      <c r="V52" s="96"/>
      <c r="W52" s="96"/>
      <c r="X52" s="96"/>
      <c r="Y52" s="96"/>
      <c r="Z52" s="96"/>
      <c r="AA52" s="96"/>
      <c r="AB52" s="96"/>
    </row>
    <row r="53" spans="1:28" ht="15.75" x14ac:dyDescent="0.25">
      <c r="A53" s="96"/>
      <c r="B53" s="96"/>
      <c r="C53" s="96"/>
      <c r="D53" s="96"/>
      <c r="E53" s="96"/>
      <c r="F53" s="96"/>
      <c r="G53" s="96"/>
      <c r="H53" s="96"/>
      <c r="I53" s="96"/>
      <c r="J53" s="96"/>
      <c r="K53" s="96"/>
      <c r="L53" s="96"/>
      <c r="M53" s="96"/>
      <c r="N53" s="96"/>
      <c r="O53" s="96"/>
      <c r="P53" s="96"/>
      <c r="Q53" s="96"/>
      <c r="R53" s="96"/>
      <c r="S53" s="96"/>
      <c r="T53" s="96"/>
      <c r="U53" s="96"/>
      <c r="V53" s="96"/>
      <c r="W53" s="96"/>
      <c r="X53" s="96"/>
      <c r="Y53" s="96"/>
      <c r="Z53" s="96"/>
      <c r="AA53" s="96"/>
      <c r="AB53" s="96"/>
    </row>
    <row r="54" spans="1:28" ht="15.75" x14ac:dyDescent="0.25">
      <c r="A54" s="96"/>
      <c r="B54" s="96"/>
      <c r="C54" s="96"/>
      <c r="D54" s="96"/>
      <c r="E54" s="96"/>
      <c r="F54" s="96"/>
      <c r="G54" s="96"/>
      <c r="H54" s="96"/>
      <c r="I54" s="96"/>
      <c r="J54" s="96"/>
      <c r="K54" s="96"/>
      <c r="L54" s="96"/>
      <c r="M54" s="96"/>
      <c r="N54" s="96"/>
      <c r="O54" s="96"/>
      <c r="P54" s="96"/>
      <c r="Q54" s="96"/>
      <c r="R54" s="96"/>
      <c r="S54" s="96"/>
      <c r="T54" s="96"/>
      <c r="U54" s="96"/>
      <c r="V54" s="96"/>
      <c r="W54" s="96"/>
      <c r="X54" s="96"/>
      <c r="Y54" s="96"/>
      <c r="Z54" s="96"/>
      <c r="AA54" s="96"/>
      <c r="AB54" s="96"/>
    </row>
    <row r="55" spans="1:28" ht="15.75" x14ac:dyDescent="0.25">
      <c r="A55" s="96"/>
      <c r="B55" s="96"/>
      <c r="C55" s="943"/>
      <c r="D55" s="954"/>
      <c r="E55" s="96"/>
      <c r="F55" s="96"/>
      <c r="G55" s="96"/>
      <c r="H55" s="96"/>
      <c r="I55" s="96"/>
      <c r="J55" s="96"/>
      <c r="K55" s="96"/>
      <c r="L55" s="96"/>
      <c r="M55" s="96"/>
      <c r="N55" s="96"/>
      <c r="O55" s="96"/>
      <c r="P55" s="96"/>
      <c r="Q55" s="96"/>
      <c r="R55" s="96"/>
      <c r="S55" s="96"/>
      <c r="T55" s="96"/>
      <c r="U55" s="96"/>
      <c r="V55" s="96"/>
      <c r="W55" s="96"/>
      <c r="X55" s="96"/>
      <c r="Y55" s="96"/>
      <c r="Z55" s="96"/>
      <c r="AA55" s="96"/>
      <c r="AB55" s="96"/>
    </row>
    <row r="56" spans="1:28" ht="15.75" x14ac:dyDescent="0.25">
      <c r="A56" s="96"/>
      <c r="B56" s="96"/>
      <c r="C56" s="955"/>
      <c r="D56" s="96"/>
      <c r="E56" s="96"/>
      <c r="F56" s="96"/>
      <c r="G56" s="96"/>
      <c r="H56" s="96"/>
      <c r="I56" s="96"/>
      <c r="J56" s="96"/>
      <c r="K56" s="96"/>
      <c r="L56" s="96"/>
      <c r="M56" s="96"/>
      <c r="N56" s="96"/>
      <c r="O56" s="96"/>
      <c r="P56" s="96"/>
      <c r="Q56" s="96"/>
      <c r="R56" s="96"/>
      <c r="S56" s="96"/>
      <c r="T56" s="96"/>
      <c r="U56" s="96"/>
      <c r="V56" s="96"/>
      <c r="W56" s="96"/>
      <c r="X56" s="96"/>
      <c r="Y56" s="96"/>
      <c r="Z56" s="96"/>
      <c r="AA56" s="96"/>
      <c r="AB56" s="96"/>
    </row>
    <row r="57" spans="1:28" ht="15.75" x14ac:dyDescent="0.25">
      <c r="A57" s="96"/>
      <c r="B57" s="96"/>
      <c r="C57" s="96"/>
      <c r="D57" s="96"/>
      <c r="E57" s="96"/>
      <c r="F57" s="96"/>
      <c r="G57" s="96"/>
      <c r="H57" s="96"/>
      <c r="I57" s="96"/>
      <c r="J57" s="96"/>
      <c r="K57" s="96"/>
      <c r="L57" s="96"/>
      <c r="M57" s="96"/>
      <c r="N57" s="96"/>
      <c r="O57" s="96"/>
      <c r="P57" s="96"/>
      <c r="Q57" s="96"/>
      <c r="R57" s="96"/>
      <c r="S57" s="96"/>
      <c r="T57" s="96"/>
      <c r="U57" s="96"/>
      <c r="V57" s="96"/>
      <c r="W57" s="96"/>
      <c r="X57" s="96"/>
      <c r="Y57" s="96"/>
      <c r="Z57" s="96"/>
      <c r="AA57" s="96"/>
      <c r="AB57" s="96"/>
    </row>
    <row r="58" spans="1:28" ht="15.75" x14ac:dyDescent="0.25">
      <c r="A58" s="96"/>
      <c r="B58" s="96"/>
      <c r="C58" s="96"/>
      <c r="D58" s="96"/>
      <c r="E58" s="96"/>
      <c r="F58" s="96"/>
      <c r="G58" s="96"/>
      <c r="H58" s="96"/>
      <c r="I58" s="96"/>
      <c r="J58" s="96"/>
      <c r="K58" s="96"/>
      <c r="L58" s="96"/>
      <c r="M58" s="96"/>
      <c r="N58" s="96"/>
      <c r="O58" s="96"/>
      <c r="P58" s="96"/>
      <c r="Q58" s="96"/>
      <c r="R58" s="96"/>
      <c r="S58" s="96"/>
      <c r="T58" s="96"/>
      <c r="U58" s="96"/>
      <c r="V58" s="96"/>
      <c r="W58" s="96"/>
      <c r="X58" s="96"/>
      <c r="Y58" s="96"/>
      <c r="Z58" s="96"/>
      <c r="AA58" s="96"/>
      <c r="AB58" s="96"/>
    </row>
    <row r="59" spans="1:28" ht="15.75" x14ac:dyDescent="0.25">
      <c r="A59" s="96"/>
      <c r="B59" s="96"/>
      <c r="D59" s="96"/>
      <c r="E59" s="96"/>
      <c r="F59" s="96"/>
      <c r="G59" s="96"/>
      <c r="H59" s="96"/>
      <c r="I59" s="96"/>
      <c r="J59" s="96"/>
      <c r="K59" s="96"/>
      <c r="L59" s="96"/>
      <c r="M59" s="96"/>
      <c r="N59" s="96"/>
      <c r="O59" s="96"/>
      <c r="P59" s="96"/>
      <c r="Q59" s="96"/>
      <c r="R59" s="96"/>
      <c r="S59" s="96"/>
      <c r="T59" s="96"/>
      <c r="U59" s="96"/>
      <c r="V59" s="96"/>
      <c r="W59" s="96"/>
      <c r="X59" s="96"/>
      <c r="Y59" s="96"/>
      <c r="Z59" s="96"/>
      <c r="AA59" s="96"/>
      <c r="AB59" s="96"/>
    </row>
    <row r="60" spans="1:28" ht="15.75" x14ac:dyDescent="0.25">
      <c r="A60" s="96"/>
      <c r="B60" s="96"/>
      <c r="D60" s="96"/>
      <c r="E60" s="96"/>
      <c r="F60" s="96"/>
      <c r="G60" s="96"/>
      <c r="H60" s="96"/>
      <c r="I60" s="96"/>
      <c r="J60" s="96"/>
      <c r="K60" s="96"/>
      <c r="L60" s="96"/>
      <c r="M60" s="96"/>
      <c r="N60" s="96"/>
      <c r="O60" s="96"/>
      <c r="P60" s="96"/>
      <c r="Q60" s="96"/>
      <c r="R60" s="96"/>
      <c r="S60" s="96"/>
      <c r="T60" s="96"/>
      <c r="U60" s="96"/>
      <c r="V60" s="96"/>
      <c r="W60" s="96"/>
      <c r="X60" s="96"/>
      <c r="Y60" s="96"/>
      <c r="Z60" s="96"/>
      <c r="AA60" s="96"/>
      <c r="AB60" s="96"/>
    </row>
    <row r="61" spans="1:28" ht="15.75" x14ac:dyDescent="0.25">
      <c r="A61" s="96"/>
      <c r="B61" s="96"/>
      <c r="D61" s="96"/>
      <c r="E61" s="96"/>
      <c r="F61" s="96"/>
      <c r="G61" s="96"/>
      <c r="H61" s="96"/>
      <c r="I61" s="96"/>
      <c r="J61" s="96"/>
      <c r="K61" s="96"/>
      <c r="L61" s="96"/>
      <c r="M61" s="96"/>
      <c r="N61" s="96"/>
      <c r="O61" s="96"/>
      <c r="P61" s="96"/>
      <c r="Q61" s="96"/>
      <c r="R61" s="96"/>
      <c r="S61" s="96"/>
      <c r="T61" s="96"/>
      <c r="U61" s="96"/>
      <c r="V61" s="96"/>
      <c r="W61" s="96"/>
      <c r="X61" s="96"/>
      <c r="Y61" s="96"/>
      <c r="Z61" s="96"/>
      <c r="AA61" s="96"/>
      <c r="AB61" s="96"/>
    </row>
    <row r="62" spans="1:28" ht="15.75" x14ac:dyDescent="0.25">
      <c r="A62" s="96"/>
      <c r="B62" s="96"/>
      <c r="D62" s="96"/>
      <c r="E62" s="96"/>
      <c r="F62" s="96"/>
      <c r="G62" s="96"/>
      <c r="H62" s="96"/>
      <c r="I62" s="96"/>
      <c r="J62" s="96"/>
      <c r="K62" s="96"/>
      <c r="L62" s="96"/>
      <c r="M62" s="96"/>
      <c r="N62" s="96"/>
      <c r="O62" s="96"/>
      <c r="P62" s="96"/>
      <c r="Q62" s="96"/>
      <c r="R62" s="96"/>
      <c r="S62" s="96"/>
      <c r="T62" s="96"/>
      <c r="U62" s="96"/>
      <c r="V62" s="96"/>
      <c r="W62" s="96"/>
      <c r="X62" s="96"/>
      <c r="Y62" s="96"/>
      <c r="Z62" s="96"/>
      <c r="AA62" s="96"/>
      <c r="AB62" s="96"/>
    </row>
    <row r="63" spans="1:28" ht="24" x14ac:dyDescent="0.4">
      <c r="A63" s="96"/>
      <c r="B63" s="96"/>
      <c r="C63" s="957" t="s">
        <v>99</v>
      </c>
      <c r="D63" s="96"/>
      <c r="E63" s="96"/>
      <c r="F63" s="96"/>
      <c r="G63" s="96"/>
      <c r="H63" s="96"/>
      <c r="I63" s="96"/>
      <c r="J63" s="96"/>
      <c r="K63" s="96"/>
      <c r="L63" s="96"/>
      <c r="M63" s="96"/>
      <c r="N63" s="96"/>
      <c r="O63" s="96"/>
      <c r="P63" s="96"/>
      <c r="Q63" s="96"/>
      <c r="R63" s="96"/>
      <c r="S63" s="96"/>
      <c r="T63" s="96"/>
      <c r="U63" s="96"/>
      <c r="V63" s="96"/>
      <c r="W63" s="96"/>
      <c r="X63" s="96"/>
      <c r="Y63" s="96"/>
      <c r="Z63" s="96"/>
      <c r="AA63" s="96"/>
      <c r="AB63" s="96"/>
    </row>
    <row r="64" spans="1:28" ht="15.75" x14ac:dyDescent="0.25">
      <c r="A64" s="96"/>
      <c r="B64" s="96"/>
      <c r="D64" s="96"/>
      <c r="E64" s="96"/>
      <c r="F64" s="96"/>
      <c r="G64" s="96"/>
      <c r="H64" s="96"/>
      <c r="I64" s="96"/>
      <c r="J64" s="96"/>
      <c r="K64" s="96"/>
      <c r="L64" s="96"/>
      <c r="M64" s="96"/>
      <c r="N64" s="96"/>
      <c r="O64" s="96"/>
      <c r="P64" s="96"/>
      <c r="Q64" s="96"/>
      <c r="R64" s="96"/>
      <c r="S64" s="96"/>
      <c r="T64" s="96"/>
      <c r="U64" s="96"/>
      <c r="V64" s="96"/>
      <c r="W64" s="96"/>
      <c r="X64" s="96"/>
      <c r="Y64" s="96"/>
      <c r="Z64" s="96"/>
      <c r="AA64" s="96"/>
      <c r="AB64" s="96"/>
    </row>
    <row r="65" spans="1:28" ht="18.75" x14ac:dyDescent="0.25">
      <c r="A65" s="96"/>
      <c r="B65" s="96"/>
      <c r="C65" s="958"/>
      <c r="D65" s="96"/>
      <c r="E65" s="96"/>
      <c r="F65" s="96"/>
      <c r="G65" s="96"/>
      <c r="H65" s="96"/>
      <c r="I65" s="96"/>
      <c r="J65" s="96"/>
      <c r="K65" s="96"/>
      <c r="L65" s="96"/>
      <c r="M65" s="96"/>
      <c r="N65" s="96"/>
      <c r="O65" s="96"/>
      <c r="P65" s="96"/>
      <c r="Q65" s="96"/>
      <c r="R65" s="96"/>
      <c r="S65" s="96"/>
      <c r="T65" s="96"/>
      <c r="U65" s="96"/>
      <c r="V65" s="96"/>
      <c r="W65" s="96"/>
      <c r="X65" s="96"/>
      <c r="Y65" s="96"/>
      <c r="Z65" s="96"/>
      <c r="AA65" s="96"/>
      <c r="AB65" s="96"/>
    </row>
    <row r="66" spans="1:28" ht="15.75" x14ac:dyDescent="0.25">
      <c r="A66" s="96"/>
      <c r="B66" s="96"/>
      <c r="C66" s="943"/>
      <c r="D66" s="96"/>
      <c r="E66" s="96"/>
      <c r="F66" s="96"/>
      <c r="G66" s="96"/>
      <c r="H66" s="96"/>
      <c r="I66" s="96"/>
      <c r="J66" s="96"/>
      <c r="K66" s="96"/>
      <c r="L66" s="96"/>
      <c r="M66" s="96"/>
      <c r="N66" s="96"/>
      <c r="O66" s="96"/>
      <c r="P66" s="96"/>
      <c r="Q66" s="96"/>
      <c r="R66" s="96"/>
      <c r="S66" s="96"/>
      <c r="T66" s="96"/>
      <c r="U66" s="96"/>
      <c r="V66" s="96"/>
      <c r="W66" s="96"/>
      <c r="X66" s="96"/>
      <c r="Y66" s="96"/>
      <c r="Z66" s="96"/>
      <c r="AA66" s="96"/>
      <c r="AB66" s="96"/>
    </row>
    <row r="67" spans="1:28" ht="15.75" x14ac:dyDescent="0.25">
      <c r="A67" s="96"/>
      <c r="B67" s="96"/>
      <c r="C67" s="96"/>
      <c r="D67" s="96"/>
      <c r="E67" s="96"/>
      <c r="F67" s="96"/>
      <c r="G67" s="96"/>
      <c r="H67" s="96"/>
      <c r="I67" s="96"/>
      <c r="J67" s="96"/>
      <c r="K67" s="96"/>
      <c r="L67" s="96"/>
      <c r="M67" s="96"/>
      <c r="N67" s="96"/>
      <c r="O67" s="96"/>
      <c r="P67" s="96"/>
      <c r="Q67" s="96"/>
      <c r="R67" s="96"/>
      <c r="S67" s="96"/>
      <c r="T67" s="96"/>
      <c r="U67" s="96"/>
      <c r="V67" s="96"/>
      <c r="W67" s="96"/>
      <c r="X67" s="96"/>
      <c r="Y67" s="96"/>
      <c r="Z67" s="96"/>
      <c r="AA67" s="96"/>
      <c r="AB67" s="96"/>
    </row>
    <row r="68" spans="1:28" ht="15.75" x14ac:dyDescent="0.25">
      <c r="A68" s="96"/>
      <c r="B68" s="96"/>
      <c r="C68" s="96"/>
      <c r="D68" s="96"/>
      <c r="E68" s="96"/>
      <c r="F68" s="96"/>
      <c r="G68" s="96"/>
      <c r="H68" s="96"/>
      <c r="I68" s="96"/>
      <c r="J68" s="96"/>
      <c r="K68" s="96"/>
      <c r="L68" s="96"/>
      <c r="M68" s="96"/>
      <c r="N68" s="96"/>
      <c r="O68" s="96"/>
      <c r="P68" s="96"/>
      <c r="Q68" s="96"/>
      <c r="R68" s="96"/>
      <c r="S68" s="96"/>
      <c r="T68" s="96"/>
      <c r="U68" s="96"/>
      <c r="V68" s="96"/>
      <c r="W68" s="96"/>
      <c r="X68" s="96"/>
      <c r="Y68" s="96"/>
      <c r="Z68" s="96"/>
      <c r="AA68" s="96"/>
      <c r="AB68" s="96"/>
    </row>
    <row r="69" spans="1:28" ht="15.75" x14ac:dyDescent="0.25">
      <c r="A69" s="96"/>
      <c r="B69" s="96"/>
      <c r="C69" s="96"/>
      <c r="D69" s="96"/>
      <c r="E69" s="96"/>
      <c r="F69" s="96"/>
      <c r="G69" s="96"/>
      <c r="H69" s="96"/>
      <c r="I69" s="96"/>
      <c r="J69" s="96"/>
      <c r="K69" s="96"/>
      <c r="L69" s="96"/>
      <c r="M69" s="96"/>
      <c r="N69" s="96"/>
      <c r="O69" s="96"/>
      <c r="P69" s="96"/>
      <c r="Q69" s="96"/>
      <c r="R69" s="96"/>
      <c r="S69" s="96"/>
      <c r="T69" s="96"/>
      <c r="U69" s="96"/>
      <c r="V69" s="96"/>
      <c r="W69" s="96"/>
      <c r="X69" s="96"/>
      <c r="Y69" s="96"/>
      <c r="Z69" s="96"/>
      <c r="AA69" s="96"/>
      <c r="AB69" s="96"/>
    </row>
    <row r="70" spans="1:28" ht="15.75" x14ac:dyDescent="0.25">
      <c r="A70" s="96"/>
      <c r="B70" s="96"/>
      <c r="C70" s="96"/>
      <c r="D70" s="96"/>
      <c r="E70" s="96"/>
      <c r="F70" s="96"/>
      <c r="G70" s="96"/>
      <c r="H70" s="96"/>
      <c r="I70" s="96"/>
      <c r="J70" s="96"/>
      <c r="K70" s="96"/>
      <c r="L70" s="96"/>
      <c r="M70" s="96"/>
      <c r="N70" s="96"/>
      <c r="O70" s="96"/>
      <c r="P70" s="96"/>
      <c r="Q70" s="96"/>
      <c r="R70" s="96"/>
      <c r="S70" s="96"/>
      <c r="T70" s="96"/>
      <c r="U70" s="96"/>
      <c r="V70" s="96"/>
      <c r="W70" s="96"/>
      <c r="X70" s="96"/>
      <c r="Y70" s="96"/>
      <c r="Z70" s="96"/>
      <c r="AA70" s="96"/>
      <c r="AB70" s="96"/>
    </row>
    <row r="71" spans="1:28" ht="15.75" x14ac:dyDescent="0.25">
      <c r="A71" s="96"/>
      <c r="B71" s="96"/>
      <c r="C71" s="943"/>
      <c r="D71" s="96"/>
      <c r="E71" s="96"/>
      <c r="F71" s="96"/>
      <c r="G71" s="96"/>
      <c r="H71" s="96"/>
      <c r="I71" s="96"/>
      <c r="J71" s="96"/>
      <c r="K71" s="96"/>
      <c r="L71" s="96"/>
      <c r="M71" s="96"/>
      <c r="N71" s="96"/>
      <c r="O71" s="96"/>
      <c r="P71" s="96"/>
      <c r="Q71" s="96"/>
      <c r="R71" s="96"/>
      <c r="S71" s="96"/>
      <c r="T71" s="96"/>
      <c r="U71" s="96"/>
      <c r="V71" s="96"/>
      <c r="W71" s="96"/>
      <c r="X71" s="96"/>
      <c r="Y71" s="96"/>
      <c r="Z71" s="96"/>
      <c r="AA71" s="96"/>
      <c r="AB71" s="96"/>
    </row>
    <row r="72" spans="1:28" ht="15.75" x14ac:dyDescent="0.25">
      <c r="A72" s="96"/>
      <c r="B72" s="96"/>
      <c r="C72" s="96"/>
      <c r="D72" s="96"/>
      <c r="E72" s="96"/>
      <c r="F72" s="96"/>
      <c r="G72" s="96"/>
      <c r="H72" s="96"/>
      <c r="I72" s="96"/>
      <c r="J72" s="96"/>
      <c r="K72" s="96"/>
      <c r="L72" s="96"/>
      <c r="M72" s="96"/>
      <c r="N72" s="96"/>
      <c r="O72" s="96"/>
      <c r="P72" s="96"/>
      <c r="Q72" s="96"/>
      <c r="R72" s="96"/>
      <c r="S72" s="96"/>
      <c r="T72" s="96"/>
      <c r="U72" s="96"/>
      <c r="V72" s="96"/>
      <c r="W72" s="96"/>
      <c r="X72" s="96"/>
      <c r="Y72" s="96"/>
      <c r="Z72" s="96"/>
      <c r="AA72" s="96"/>
      <c r="AB72" s="96"/>
    </row>
    <row r="73" spans="1:28" ht="15.75" x14ac:dyDescent="0.25">
      <c r="A73" s="96"/>
      <c r="B73" s="96"/>
      <c r="C73" s="96"/>
      <c r="D73" s="96"/>
      <c r="E73" s="96"/>
      <c r="F73" s="96"/>
      <c r="G73" s="96"/>
      <c r="H73" s="96"/>
      <c r="I73" s="96"/>
      <c r="J73" s="96"/>
      <c r="K73" s="96"/>
      <c r="L73" s="96"/>
      <c r="M73" s="96"/>
      <c r="N73" s="96"/>
      <c r="O73" s="96"/>
      <c r="P73" s="96"/>
      <c r="Q73" s="96"/>
      <c r="R73" s="96"/>
      <c r="S73" s="96"/>
      <c r="T73" s="96"/>
      <c r="U73" s="96"/>
      <c r="V73" s="96"/>
      <c r="W73" s="96"/>
      <c r="X73" s="96"/>
      <c r="Y73" s="96"/>
      <c r="Z73" s="96"/>
      <c r="AA73" s="96"/>
      <c r="AB73" s="96"/>
    </row>
    <row r="74" spans="1:28" ht="15.75" x14ac:dyDescent="0.25">
      <c r="A74" s="96"/>
      <c r="B74" s="96"/>
      <c r="C74" s="96"/>
      <c r="D74" s="96"/>
      <c r="E74" s="96"/>
      <c r="F74" s="96"/>
      <c r="G74" s="96"/>
      <c r="H74" s="96"/>
      <c r="I74" s="96"/>
      <c r="J74" s="96"/>
      <c r="K74" s="96"/>
      <c r="L74" s="96"/>
      <c r="M74" s="96"/>
      <c r="N74" s="96"/>
      <c r="O74" s="96"/>
      <c r="P74" s="96"/>
      <c r="Q74" s="96"/>
      <c r="R74" s="96"/>
      <c r="S74" s="96"/>
      <c r="T74" s="96"/>
      <c r="U74" s="96"/>
      <c r="V74" s="96"/>
      <c r="W74" s="96"/>
      <c r="X74" s="96"/>
      <c r="Y74" s="96"/>
      <c r="Z74" s="96"/>
      <c r="AA74" s="96"/>
      <c r="AB74" s="96"/>
    </row>
    <row r="75" spans="1:28" ht="15.75" x14ac:dyDescent="0.25">
      <c r="A75" s="96"/>
      <c r="B75" s="96"/>
      <c r="C75" s="96"/>
      <c r="D75" s="96"/>
      <c r="E75" s="96"/>
      <c r="F75" s="96"/>
      <c r="G75" s="96"/>
      <c r="H75" s="96"/>
      <c r="I75" s="96"/>
      <c r="J75" s="96"/>
      <c r="K75" s="96"/>
      <c r="L75" s="96"/>
      <c r="M75" s="96"/>
      <c r="N75" s="96"/>
      <c r="O75" s="96"/>
      <c r="P75" s="96"/>
      <c r="Q75" s="96"/>
      <c r="R75" s="96"/>
      <c r="S75" s="96"/>
      <c r="T75" s="96"/>
      <c r="U75" s="96"/>
      <c r="V75" s="96"/>
      <c r="W75" s="96"/>
      <c r="X75" s="96"/>
      <c r="Y75" s="96"/>
      <c r="Z75" s="96"/>
      <c r="AA75" s="96"/>
      <c r="AB75" s="96"/>
    </row>
    <row r="76" spans="1:28" ht="15.75" x14ac:dyDescent="0.25">
      <c r="A76" s="96"/>
      <c r="B76" s="96"/>
      <c r="C76" s="96"/>
      <c r="D76" s="96"/>
      <c r="E76" s="96"/>
      <c r="F76" s="96"/>
      <c r="G76" s="96"/>
      <c r="H76" s="96"/>
      <c r="I76" s="96"/>
      <c r="J76" s="96"/>
      <c r="K76" s="96"/>
      <c r="L76" s="96"/>
      <c r="M76" s="96"/>
      <c r="N76" s="96"/>
      <c r="O76" s="96"/>
      <c r="P76" s="96"/>
      <c r="Q76" s="96"/>
      <c r="R76" s="96"/>
      <c r="S76" s="96"/>
      <c r="T76" s="96"/>
      <c r="U76" s="96"/>
      <c r="V76" s="96"/>
      <c r="W76" s="96"/>
      <c r="X76" s="96"/>
      <c r="Y76" s="96"/>
      <c r="Z76" s="96"/>
      <c r="AA76" s="96"/>
      <c r="AB76" s="96"/>
    </row>
    <row r="77" spans="1:28" ht="15.75" x14ac:dyDescent="0.25">
      <c r="A77" s="96"/>
      <c r="B77" s="96"/>
      <c r="C77" s="96"/>
      <c r="D77" s="96"/>
      <c r="E77" s="96"/>
      <c r="F77" s="96"/>
      <c r="G77" s="96"/>
      <c r="H77" s="96"/>
      <c r="I77" s="96"/>
      <c r="J77" s="96"/>
      <c r="K77" s="96"/>
      <c r="L77" s="96"/>
      <c r="M77" s="96"/>
      <c r="N77" s="96"/>
      <c r="O77" s="96"/>
      <c r="P77" s="96"/>
      <c r="Q77" s="96"/>
      <c r="R77" s="96"/>
      <c r="S77" s="96"/>
      <c r="T77" s="96"/>
      <c r="U77" s="96"/>
      <c r="V77" s="96"/>
      <c r="W77" s="96"/>
      <c r="X77" s="96"/>
      <c r="Y77" s="96"/>
      <c r="Z77" s="96"/>
      <c r="AA77" s="96"/>
      <c r="AB77" s="96"/>
    </row>
    <row r="78" spans="1:28" ht="15.75" x14ac:dyDescent="0.25">
      <c r="A78" s="96"/>
      <c r="B78" s="96"/>
      <c r="C78" s="96"/>
      <c r="D78" s="96"/>
      <c r="E78" s="96"/>
      <c r="F78" s="96"/>
      <c r="G78" s="96"/>
      <c r="H78" s="96"/>
      <c r="I78" s="96"/>
      <c r="J78" s="96"/>
      <c r="K78" s="96"/>
      <c r="L78" s="96"/>
      <c r="M78" s="96"/>
      <c r="N78" s="96"/>
      <c r="O78" s="96"/>
      <c r="P78" s="96"/>
      <c r="Q78" s="96"/>
      <c r="R78" s="96"/>
      <c r="S78" s="96"/>
      <c r="T78" s="96"/>
      <c r="U78" s="96"/>
      <c r="V78" s="96"/>
      <c r="W78" s="96"/>
      <c r="X78" s="96"/>
      <c r="Y78" s="96"/>
      <c r="Z78" s="96"/>
      <c r="AA78" s="96"/>
      <c r="AB78" s="96"/>
    </row>
  </sheetData>
  <mergeCells count="1">
    <mergeCell ref="C16:J1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771C0-372C-4229-B017-BEC1307170A1}">
  <sheetPr>
    <tabColor theme="9"/>
  </sheetPr>
  <dimension ref="A1:C38"/>
  <sheetViews>
    <sheetView showGridLines="0" topLeftCell="A5" zoomScaleNormal="100" workbookViewId="0">
      <selection activeCell="C43" sqref="C43"/>
    </sheetView>
  </sheetViews>
  <sheetFormatPr baseColWidth="10" defaultColWidth="11" defaultRowHeight="14.25" x14ac:dyDescent="0.2"/>
  <cols>
    <col min="2" max="2" width="3.5" customWidth="1"/>
    <col min="3" max="3" width="81" customWidth="1"/>
    <col min="5" max="5" width="47.375" customWidth="1"/>
  </cols>
  <sheetData>
    <row r="1" spans="1:3" ht="15" customHeight="1" x14ac:dyDescent="0.2"/>
    <row r="2" spans="1:3" ht="15" customHeight="1" x14ac:dyDescent="0.2"/>
    <row r="3" spans="1:3" ht="15" customHeight="1" x14ac:dyDescent="0.2"/>
    <row r="4" spans="1:3" ht="25.5" customHeight="1" x14ac:dyDescent="0.4">
      <c r="C4" s="939" t="s">
        <v>100</v>
      </c>
    </row>
    <row r="5" spans="1:3" ht="15" customHeight="1" x14ac:dyDescent="0.2"/>
    <row r="6" spans="1:3" ht="15" customHeight="1" x14ac:dyDescent="0.2">
      <c r="A6" s="33"/>
      <c r="C6" s="941" t="s">
        <v>101</v>
      </c>
    </row>
    <row r="7" spans="1:3" ht="15" customHeight="1" x14ac:dyDescent="0.2">
      <c r="A7" s="33"/>
    </row>
    <row r="8" spans="1:3" ht="15" customHeight="1" x14ac:dyDescent="0.2">
      <c r="A8" s="33"/>
      <c r="C8" s="941" t="s">
        <v>102</v>
      </c>
    </row>
    <row r="9" spans="1:3" x14ac:dyDescent="0.2">
      <c r="A9" s="33"/>
    </row>
    <row r="10" spans="1:3" ht="15.75" x14ac:dyDescent="0.25">
      <c r="A10" s="33"/>
      <c r="C10" s="940" t="s">
        <v>103</v>
      </c>
    </row>
    <row r="11" spans="1:3" ht="15" x14ac:dyDescent="0.25">
      <c r="A11" s="33"/>
      <c r="C11" s="937" t="s">
        <v>104</v>
      </c>
    </row>
    <row r="12" spans="1:3" ht="15" x14ac:dyDescent="0.25">
      <c r="A12" s="33"/>
      <c r="C12" s="938" t="s">
        <v>105</v>
      </c>
    </row>
    <row r="13" spans="1:3" ht="15" x14ac:dyDescent="0.25">
      <c r="A13" s="33"/>
      <c r="C13" s="938" t="s">
        <v>3534</v>
      </c>
    </row>
    <row r="14" spans="1:3" ht="15" x14ac:dyDescent="0.25">
      <c r="A14" s="33"/>
      <c r="C14" s="938" t="s">
        <v>106</v>
      </c>
    </row>
    <row r="15" spans="1:3" ht="15" x14ac:dyDescent="0.25">
      <c r="A15" s="33"/>
      <c r="C15" s="938" t="s">
        <v>107</v>
      </c>
    </row>
    <row r="16" spans="1:3" x14ac:dyDescent="0.2">
      <c r="A16" s="33"/>
      <c r="C16" s="938" t="s">
        <v>108</v>
      </c>
    </row>
    <row r="17" spans="1:3" ht="15" x14ac:dyDescent="0.25">
      <c r="A17" s="33"/>
      <c r="C17" s="938" t="s">
        <v>109</v>
      </c>
    </row>
    <row r="18" spans="1:3" ht="15" x14ac:dyDescent="0.25">
      <c r="A18" s="33"/>
      <c r="C18" s="938" t="s">
        <v>110</v>
      </c>
    </row>
    <row r="19" spans="1:3" x14ac:dyDescent="0.2">
      <c r="A19" s="33"/>
      <c r="C19" s="936" t="s">
        <v>111</v>
      </c>
    </row>
    <row r="20" spans="1:3" x14ac:dyDescent="0.2">
      <c r="A20" s="33"/>
    </row>
    <row r="21" spans="1:3" ht="15" x14ac:dyDescent="0.25">
      <c r="A21" s="33"/>
      <c r="C21" s="937" t="s">
        <v>112</v>
      </c>
    </row>
    <row r="22" spans="1:3" ht="15" x14ac:dyDescent="0.25">
      <c r="A22" s="33"/>
      <c r="C22" s="897" t="s">
        <v>3743</v>
      </c>
    </row>
    <row r="23" spans="1:3" x14ac:dyDescent="0.2">
      <c r="A23" s="33"/>
    </row>
    <row r="24" spans="1:3" ht="15" x14ac:dyDescent="0.25">
      <c r="A24" s="33"/>
      <c r="C24" s="937" t="s">
        <v>113</v>
      </c>
    </row>
    <row r="25" spans="1:3" ht="15" x14ac:dyDescent="0.25">
      <c r="A25" s="33"/>
      <c r="C25" s="938" t="s">
        <v>114</v>
      </c>
    </row>
    <row r="26" spans="1:3" x14ac:dyDescent="0.2">
      <c r="A26" s="33"/>
    </row>
    <row r="27" spans="1:3" ht="15" x14ac:dyDescent="0.25">
      <c r="A27" s="33"/>
      <c r="C27" s="937" t="s">
        <v>115</v>
      </c>
    </row>
    <row r="28" spans="1:3" ht="15" x14ac:dyDescent="0.25">
      <c r="A28" s="33"/>
      <c r="C28" s="938" t="s">
        <v>3742</v>
      </c>
    </row>
    <row r="29" spans="1:3" ht="15" x14ac:dyDescent="0.25">
      <c r="A29" s="33"/>
      <c r="C29" s="938" t="s">
        <v>116</v>
      </c>
    </row>
    <row r="30" spans="1:3" x14ac:dyDescent="0.2">
      <c r="A30" s="33"/>
    </row>
    <row r="31" spans="1:3" x14ac:dyDescent="0.2">
      <c r="A31" s="33"/>
    </row>
    <row r="32" spans="1:3" ht="15.75" x14ac:dyDescent="0.25">
      <c r="A32" s="33"/>
      <c r="C32" s="940" t="s">
        <v>117</v>
      </c>
    </row>
    <row r="33" spans="1:3" ht="15" x14ac:dyDescent="0.25">
      <c r="A33" s="33"/>
      <c r="C33" s="937" t="s">
        <v>118</v>
      </c>
    </row>
    <row r="34" spans="1:3" x14ac:dyDescent="0.2">
      <c r="A34" s="33"/>
    </row>
    <row r="35" spans="1:3" x14ac:dyDescent="0.2">
      <c r="A35" s="33"/>
    </row>
    <row r="36" spans="1:3" ht="15.75" x14ac:dyDescent="0.25">
      <c r="A36" s="33"/>
      <c r="C36" s="940" t="s">
        <v>119</v>
      </c>
    </row>
    <row r="37" spans="1:3" ht="15" x14ac:dyDescent="0.25">
      <c r="A37" s="33"/>
      <c r="C37" s="937" t="s">
        <v>120</v>
      </c>
    </row>
    <row r="38" spans="1:3" ht="15" x14ac:dyDescent="0.25">
      <c r="A38" s="33"/>
      <c r="C38" s="937" t="s">
        <v>121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5E99-3498-44C7-B02D-7325BD4969CD}">
  <dimension ref="B3:J88"/>
  <sheetViews>
    <sheetView showGridLines="0" workbookViewId="0">
      <selection activeCell="H23" sqref="H23"/>
    </sheetView>
  </sheetViews>
  <sheetFormatPr baseColWidth="10" defaultColWidth="11" defaultRowHeight="14.25" x14ac:dyDescent="0.2"/>
  <cols>
    <col min="2" max="2" width="29.75" customWidth="1"/>
    <col min="3" max="3" width="15.375" customWidth="1"/>
  </cols>
  <sheetData>
    <row r="3" spans="2:5" ht="15.75" x14ac:dyDescent="0.25">
      <c r="B3" s="18" t="s">
        <v>3805</v>
      </c>
    </row>
    <row r="5" spans="2:5" ht="15" x14ac:dyDescent="0.25">
      <c r="C5" s="27" t="s">
        <v>3801</v>
      </c>
    </row>
    <row r="6" spans="2:5" ht="15" x14ac:dyDescent="0.25">
      <c r="B6" s="1107">
        <v>45505</v>
      </c>
      <c r="C6" s="1109">
        <v>1663</v>
      </c>
    </row>
    <row r="7" spans="2:5" ht="15" hidden="1" x14ac:dyDescent="0.25">
      <c r="B7" s="1107">
        <v>45627</v>
      </c>
      <c r="C7" s="1109">
        <v>3397</v>
      </c>
    </row>
    <row r="8" spans="2:5" ht="15" x14ac:dyDescent="0.25">
      <c r="B8" s="1107">
        <v>45870</v>
      </c>
      <c r="C8" s="1109">
        <v>2636</v>
      </c>
    </row>
    <row r="9" spans="2:5" x14ac:dyDescent="0.2">
      <c r="B9" s="455" t="s">
        <v>3803</v>
      </c>
      <c r="C9" s="197">
        <f>C8-C6</f>
        <v>973</v>
      </c>
      <c r="E9" s="198"/>
    </row>
    <row r="10" spans="2:5" ht="15" x14ac:dyDescent="0.25">
      <c r="B10" s="1108" t="s">
        <v>3802</v>
      </c>
      <c r="C10" s="1118">
        <f>+C9/C6</f>
        <v>0.58508719182200841</v>
      </c>
    </row>
    <row r="11" spans="2:5" x14ac:dyDescent="0.2">
      <c r="C11" s="61"/>
    </row>
    <row r="12" spans="2:5" ht="31.5" customHeight="1" x14ac:dyDescent="0.2">
      <c r="B12" s="1135" t="s">
        <v>3818</v>
      </c>
      <c r="C12" s="1135"/>
      <c r="D12" s="1135"/>
      <c r="E12" s="1135"/>
    </row>
    <row r="14" spans="2:5" ht="15" x14ac:dyDescent="0.25">
      <c r="B14" s="1119">
        <f>C9*'Gains CO2 B2C par zone'!E65</f>
        <v>-2432.5</v>
      </c>
      <c r="C14" t="s">
        <v>3804</v>
      </c>
    </row>
    <row r="15" spans="2:5" ht="15" x14ac:dyDescent="0.25">
      <c r="B15" s="1" t="s">
        <v>3819</v>
      </c>
    </row>
    <row r="17" spans="2:5" ht="15.75" x14ac:dyDescent="0.25">
      <c r="B17" s="18" t="s">
        <v>3823</v>
      </c>
    </row>
    <row r="18" spans="2:5" ht="60" customHeight="1" x14ac:dyDescent="0.2">
      <c r="B18" s="1134" t="s">
        <v>3824</v>
      </c>
      <c r="C18" s="1134"/>
      <c r="D18" s="1134"/>
      <c r="E18" s="1134"/>
    </row>
    <row r="20" spans="2:5" ht="15" x14ac:dyDescent="0.25">
      <c r="B20" s="1" t="s">
        <v>3806</v>
      </c>
      <c r="C20">
        <v>210</v>
      </c>
      <c r="D20" t="s">
        <v>3825</v>
      </c>
    </row>
    <row r="21" spans="2:5" ht="15" x14ac:dyDescent="0.25">
      <c r="B21" s="1" t="s">
        <v>3807</v>
      </c>
      <c r="C21">
        <v>6</v>
      </c>
    </row>
    <row r="22" spans="2:5" ht="15" x14ac:dyDescent="0.25">
      <c r="B22" s="1" t="s">
        <v>3826</v>
      </c>
      <c r="C22">
        <f>C20*C21</f>
        <v>1260</v>
      </c>
      <c r="D22" t="s">
        <v>3820</v>
      </c>
    </row>
    <row r="24" spans="2:5" ht="15" x14ac:dyDescent="0.25">
      <c r="B24" s="436"/>
      <c r="C24" s="1119">
        <f>((C22*10^6*'D.1. Facteur d''émissions'!C9)-(C22*10^6*'D.1. Facteur d''émissions'!C12))/1000</f>
        <v>224028</v>
      </c>
      <c r="D24" s="1" t="s">
        <v>3822</v>
      </c>
    </row>
    <row r="25" spans="2:5" ht="15" x14ac:dyDescent="0.25">
      <c r="B25" s="1" t="s">
        <v>3794</v>
      </c>
      <c r="C25" s="373">
        <f>C24/6</f>
        <v>37338</v>
      </c>
      <c r="D25" s="1" t="s">
        <v>3821</v>
      </c>
    </row>
    <row r="27" spans="2:5" x14ac:dyDescent="0.2">
      <c r="C27" s="197">
        <f>C22*10^6</f>
        <v>1260000000</v>
      </c>
    </row>
    <row r="31" spans="2:5" x14ac:dyDescent="0.2">
      <c r="D31" s="197"/>
    </row>
    <row r="41" spans="2:3" x14ac:dyDescent="0.2">
      <c r="C41" t="s">
        <v>122</v>
      </c>
    </row>
    <row r="45" spans="2:3" ht="42.75" x14ac:dyDescent="0.2">
      <c r="B45" s="207" t="s">
        <v>123</v>
      </c>
    </row>
    <row r="46" spans="2:3" ht="42.75" x14ac:dyDescent="0.2">
      <c r="B46" s="207" t="s">
        <v>124</v>
      </c>
    </row>
    <row r="47" spans="2:3" x14ac:dyDescent="0.2">
      <c r="B47" s="136" t="s">
        <v>125</v>
      </c>
    </row>
    <row r="49" spans="2:5" x14ac:dyDescent="0.2">
      <c r="C49" t="s">
        <v>126</v>
      </c>
    </row>
    <row r="50" spans="2:5" x14ac:dyDescent="0.2">
      <c r="C50" t="s">
        <v>127</v>
      </c>
    </row>
    <row r="53" spans="2:5" ht="28.5" x14ac:dyDescent="0.2">
      <c r="C53" s="428" t="s">
        <v>129</v>
      </c>
      <c r="D53" t="s">
        <v>130</v>
      </c>
    </row>
    <row r="54" spans="2:5" x14ac:dyDescent="0.2">
      <c r="B54" s="207" t="s">
        <v>131</v>
      </c>
      <c r="C54" s="198" t="e">
        <f>#REF!*#REF!</f>
        <v>#REF!</v>
      </c>
      <c r="D54" s="198" t="e">
        <f>SUM(C54:C54)</f>
        <v>#REF!</v>
      </c>
    </row>
    <row r="55" spans="2:5" ht="30" customHeight="1" x14ac:dyDescent="0.2">
      <c r="B55" s="425" t="s">
        <v>132</v>
      </c>
      <c r="C55" s="198" t="e">
        <f>(C54*'A.1. Conso_bâtiment_EF H2'!#REF!*'A.1. Conso_bâtiment_EF H2'!U103)/1000</f>
        <v>#REF!</v>
      </c>
    </row>
    <row r="56" spans="2:5" ht="28.5" x14ac:dyDescent="0.2">
      <c r="B56" s="425" t="s">
        <v>133</v>
      </c>
      <c r="C56" s="198" t="e">
        <f>(C54*'A.1. Conso_bâtiment_EF H2'!#REF!*'A.1. Conso_bâtiment_EF H2'!U106)/1000</f>
        <v>#REF!</v>
      </c>
    </row>
    <row r="57" spans="2:5" x14ac:dyDescent="0.2">
      <c r="B57" t="s">
        <v>134</v>
      </c>
      <c r="C57" s="426" t="e">
        <f t="shared" ref="C57" si="0">C55-C56</f>
        <v>#REF!</v>
      </c>
      <c r="D57" s="198" t="e">
        <f>SUM(C57:C57)</f>
        <v>#REF!</v>
      </c>
    </row>
    <row r="58" spans="2:5" x14ac:dyDescent="0.2">
      <c r="C58" s="429" t="e">
        <f>C56/C55-1</f>
        <v>#REF!</v>
      </c>
    </row>
    <row r="59" spans="2:5" ht="15" x14ac:dyDescent="0.25">
      <c r="B59" t="s">
        <v>135</v>
      </c>
      <c r="C59" s="198" t="e">
        <f>C57*'D.1. Facteur d''émissions'!$C$8</f>
        <v>#REF!</v>
      </c>
      <c r="D59" s="430" t="e">
        <f>SUM(C59:C59)</f>
        <v>#REF!</v>
      </c>
      <c r="E59" t="s">
        <v>136</v>
      </c>
    </row>
    <row r="60" spans="2:5" x14ac:dyDescent="0.2">
      <c r="D60" s="198" t="s">
        <v>137</v>
      </c>
    </row>
    <row r="74" spans="2:10" ht="15" x14ac:dyDescent="0.25">
      <c r="C74" t="s">
        <v>138</v>
      </c>
      <c r="J74" s="1" t="s">
        <v>139</v>
      </c>
    </row>
    <row r="75" spans="2:10" x14ac:dyDescent="0.2">
      <c r="C75" t="s">
        <v>140</v>
      </c>
    </row>
    <row r="76" spans="2:10" x14ac:dyDescent="0.2">
      <c r="C76" t="s">
        <v>141</v>
      </c>
    </row>
    <row r="78" spans="2:10" ht="15" x14ac:dyDescent="0.25">
      <c r="B78" s="32" t="s">
        <v>142</v>
      </c>
      <c r="C78" t="s">
        <v>143</v>
      </c>
    </row>
    <row r="81" spans="2:5" ht="15" x14ac:dyDescent="0.25">
      <c r="B81" s="199" t="s">
        <v>144</v>
      </c>
    </row>
    <row r="84" spans="2:5" ht="15" x14ac:dyDescent="0.25">
      <c r="C84" s="200" t="s">
        <v>146</v>
      </c>
    </row>
    <row r="85" spans="2:5" x14ac:dyDescent="0.2">
      <c r="B85" t="s">
        <v>147</v>
      </c>
      <c r="C85" s="198" t="e">
        <f>#REF!*'D.1. Facteur d''émissions'!C9/1000</f>
        <v>#REF!</v>
      </c>
    </row>
    <row r="86" spans="2:5" x14ac:dyDescent="0.2">
      <c r="B86" t="s">
        <v>148</v>
      </c>
      <c r="C86" s="198" t="e">
        <f>#REF!*'D.1. Facteur d''émissions'!C9/1000</f>
        <v>#REF!</v>
      </c>
      <c r="D86" s="198" t="e">
        <f>C86*0.3</f>
        <v>#REF!</v>
      </c>
      <c r="E86" s="198" t="e">
        <f>C86*0.27</f>
        <v>#REF!</v>
      </c>
    </row>
    <row r="87" spans="2:5" x14ac:dyDescent="0.2">
      <c r="B87" t="s">
        <v>149</v>
      </c>
      <c r="C87" s="198" t="e">
        <f>#REF!*'D.1. Facteur d''émissions'!C9/1000</f>
        <v>#REF!</v>
      </c>
      <c r="D87" s="198" t="e">
        <f>C87*0.3</f>
        <v>#REF!</v>
      </c>
    </row>
    <row r="88" spans="2:5" ht="15" x14ac:dyDescent="0.25">
      <c r="C88" s="32" t="s">
        <v>130</v>
      </c>
    </row>
  </sheetData>
  <mergeCells count="2">
    <mergeCell ref="B18:E18"/>
    <mergeCell ref="B12:E12"/>
  </mergeCells>
  <hyperlinks>
    <hyperlink ref="B47" r:id="rId1" xr:uid="{C5C77E12-2FED-4D26-8ACA-0ED8AF3A3D3D}"/>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44C2-883D-41FB-B4CC-5C469D3A07C8}">
  <sheetPr>
    <tabColor theme="6"/>
  </sheetPr>
  <dimension ref="D6"/>
  <sheetViews>
    <sheetView showGridLines="0" topLeftCell="J1" zoomScale="55" zoomScaleNormal="55" workbookViewId="0">
      <selection activeCell="N75" sqref="N75"/>
    </sheetView>
  </sheetViews>
  <sheetFormatPr baseColWidth="10" defaultColWidth="11" defaultRowHeight="14.25" x14ac:dyDescent="0.2"/>
  <sheetData>
    <row r="6" spans="4:4" ht="20.25" x14ac:dyDescent="0.3">
      <c r="D6" s="52" t="s">
        <v>150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AC377-2D2E-4D8D-983A-6759589FE880}">
  <sheetPr>
    <tabColor theme="6" tint="0.59999389629810485"/>
  </sheetPr>
  <dimension ref="A1"/>
  <sheetViews>
    <sheetView topLeftCell="A16" workbookViewId="0"/>
  </sheetViews>
  <sheetFormatPr baseColWidth="10" defaultColWidth="11" defaultRowHeight="14.25"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633EE-D995-4157-A8BE-B97105056F8A}">
  <sheetPr>
    <tabColor theme="5" tint="0.79998168889431442"/>
  </sheetPr>
  <dimension ref="A2:L19"/>
  <sheetViews>
    <sheetView showGridLines="0" zoomScale="115" zoomScaleNormal="115" workbookViewId="0">
      <selection activeCell="J6" sqref="J6"/>
    </sheetView>
  </sheetViews>
  <sheetFormatPr baseColWidth="10" defaultColWidth="11" defaultRowHeight="14.25" x14ac:dyDescent="0.2"/>
  <sheetData>
    <row r="2" spans="1:12" ht="15" x14ac:dyDescent="0.2">
      <c r="A2" s="740"/>
      <c r="B2" s="740"/>
      <c r="C2" s="740"/>
      <c r="D2" s="740"/>
      <c r="E2" s="740"/>
      <c r="F2" s="740"/>
      <c r="G2" s="740"/>
      <c r="H2" s="740"/>
      <c r="I2" s="740"/>
      <c r="J2" s="740"/>
      <c r="K2" s="740"/>
      <c r="L2" s="740"/>
    </row>
    <row r="3" spans="1:12" ht="15.75" x14ac:dyDescent="0.25">
      <c r="A3" s="740"/>
      <c r="B3" s="18" t="s">
        <v>151</v>
      </c>
      <c r="C3" s="18"/>
      <c r="D3" s="18"/>
      <c r="E3" s="18"/>
      <c r="F3" s="740"/>
      <c r="G3" s="740"/>
      <c r="H3" s="740"/>
      <c r="I3" s="740"/>
      <c r="J3" s="740"/>
      <c r="K3" s="740"/>
      <c r="L3" s="740"/>
    </row>
    <row r="4" spans="1:12" ht="15.75" thickBot="1" x14ac:dyDescent="0.25">
      <c r="A4" s="740"/>
      <c r="B4" s="741"/>
      <c r="C4" s="741"/>
      <c r="D4" s="741"/>
      <c r="E4" s="741"/>
      <c r="F4" s="740"/>
      <c r="G4" s="740"/>
      <c r="H4" s="740"/>
      <c r="I4" s="740"/>
      <c r="J4" s="740"/>
      <c r="K4" s="740"/>
      <c r="L4" s="740"/>
    </row>
    <row r="5" spans="1:12" ht="37.5" customHeight="1" x14ac:dyDescent="0.25">
      <c r="A5" s="740"/>
      <c r="B5" s="1136" t="s">
        <v>152</v>
      </c>
      <c r="C5" s="1137"/>
      <c r="D5" s="1137"/>
      <c r="E5" s="1137"/>
      <c r="F5" s="934" t="s">
        <v>153</v>
      </c>
      <c r="G5" s="934" t="s">
        <v>154</v>
      </c>
      <c r="H5" s="935" t="s">
        <v>155</v>
      </c>
      <c r="I5" s="740"/>
      <c r="J5" s="740"/>
      <c r="K5" s="740"/>
      <c r="L5" s="740"/>
    </row>
    <row r="6" spans="1:12" ht="15.75" x14ac:dyDescent="0.2">
      <c r="A6" s="740"/>
      <c r="B6" s="924" t="s">
        <v>156</v>
      </c>
      <c r="C6" s="925"/>
      <c r="D6" s="925"/>
      <c r="E6" s="925"/>
      <c r="F6" s="742">
        <v>1.1100000000000001</v>
      </c>
      <c r="G6" s="926">
        <v>1</v>
      </c>
      <c r="H6" s="743">
        <v>0.65</v>
      </c>
      <c r="I6" s="740"/>
      <c r="J6" s="740"/>
      <c r="K6" s="740"/>
      <c r="L6" s="740"/>
    </row>
    <row r="7" spans="1:12" ht="16.5" thickBot="1" x14ac:dyDescent="0.3">
      <c r="A7" s="740"/>
      <c r="B7" s="927" t="s">
        <v>157</v>
      </c>
      <c r="C7" s="928"/>
      <c r="D7" s="928"/>
      <c r="E7" s="928"/>
      <c r="F7" s="929">
        <v>1.03</v>
      </c>
      <c r="G7" s="930">
        <v>1</v>
      </c>
      <c r="H7" s="931">
        <v>0.9</v>
      </c>
      <c r="I7" s="740"/>
      <c r="J7" s="933"/>
      <c r="K7" s="740"/>
      <c r="L7" s="740"/>
    </row>
    <row r="8" spans="1:12" ht="15" x14ac:dyDescent="0.2">
      <c r="A8" s="740"/>
      <c r="B8" s="932" t="s">
        <v>158</v>
      </c>
      <c r="C8" s="740"/>
      <c r="D8" s="740"/>
      <c r="E8" s="740"/>
      <c r="F8" s="740"/>
      <c r="G8" s="740"/>
      <c r="H8" s="740"/>
      <c r="I8" s="740"/>
      <c r="J8" s="740"/>
      <c r="K8" s="740"/>
      <c r="L8" s="740"/>
    </row>
    <row r="9" spans="1:12" ht="48.6" customHeight="1" x14ac:dyDescent="0.2">
      <c r="A9" s="740"/>
      <c r="B9" s="1138" t="s">
        <v>159</v>
      </c>
      <c r="C9" s="1138"/>
      <c r="D9" s="1138"/>
      <c r="E9" s="1138"/>
      <c r="F9" s="1138"/>
      <c r="G9" s="1138"/>
      <c r="H9" s="1138"/>
      <c r="I9" s="740"/>
      <c r="J9" s="740"/>
      <c r="K9" s="740"/>
      <c r="L9" s="740"/>
    </row>
    <row r="10" spans="1:12" ht="15.75" x14ac:dyDescent="0.25">
      <c r="A10" s="740"/>
      <c r="B10" s="18"/>
      <c r="C10" s="18"/>
      <c r="D10" s="18"/>
      <c r="E10" s="18"/>
      <c r="F10" s="740"/>
      <c r="G10" s="740"/>
      <c r="H10" s="740"/>
      <c r="I10" s="740"/>
      <c r="J10" s="740"/>
      <c r="K10" s="740"/>
      <c r="L10" s="740"/>
    </row>
    <row r="11" spans="1:12" ht="15.75" x14ac:dyDescent="0.25">
      <c r="A11" s="740"/>
      <c r="B11" s="18"/>
      <c r="C11" s="18"/>
      <c r="D11" s="18"/>
      <c r="E11" s="18"/>
      <c r="F11" s="740"/>
      <c r="G11" s="740"/>
      <c r="H11" s="740"/>
      <c r="I11" s="740"/>
      <c r="J11" s="740"/>
      <c r="K11" s="740"/>
      <c r="L11" s="740"/>
    </row>
    <row r="12" spans="1:12" ht="15.75" x14ac:dyDescent="0.2">
      <c r="F12" s="738"/>
      <c r="G12" s="738"/>
      <c r="H12" s="738"/>
      <c r="I12" s="738"/>
    </row>
    <row r="13" spans="1:12" ht="18" x14ac:dyDescent="0.2">
      <c r="B13" s="739"/>
      <c r="C13" s="739"/>
      <c r="D13" s="739"/>
      <c r="E13" s="739"/>
      <c r="F13" s="153"/>
      <c r="G13" s="153"/>
      <c r="H13" s="153"/>
      <c r="I13" s="153"/>
    </row>
    <row r="19" spans="7:7" ht="15" x14ac:dyDescent="0.2">
      <c r="G19" s="740"/>
    </row>
  </sheetData>
  <mergeCells count="2">
    <mergeCell ref="B5:E5"/>
    <mergeCell ref="B9:H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2F1EB-F7E5-4309-9BE2-41375F2FDDFD}">
  <sheetPr>
    <tabColor theme="5" tint="0.79998168889431442"/>
  </sheetPr>
  <dimension ref="B2:AO132"/>
  <sheetViews>
    <sheetView showGridLines="0" topLeftCell="A110" zoomScale="85" zoomScaleNormal="85" workbookViewId="0">
      <pane xSplit="5" topLeftCell="I1" activePane="topRight" state="frozen"/>
      <selection activeCell="B13" sqref="B13"/>
      <selection pane="topRight" activeCell="P133" sqref="P133"/>
    </sheetView>
  </sheetViews>
  <sheetFormatPr baseColWidth="10" defaultColWidth="11" defaultRowHeight="14.25" outlineLevelRow="1" outlineLevelCol="1" x14ac:dyDescent="0.2"/>
  <cols>
    <col min="1" max="1" width="10.625" customWidth="1"/>
    <col min="2" max="2" width="14.75" customWidth="1"/>
    <col min="3" max="3" width="10.625" customWidth="1"/>
    <col min="5" max="5" width="62.5" customWidth="1"/>
    <col min="6" max="8" width="19.25" hidden="1" customWidth="1" outlineLevel="1"/>
    <col min="9" max="9" width="17.75" customWidth="1" collapsed="1"/>
    <col min="10" max="30" width="17.75" customWidth="1"/>
    <col min="31" max="31" width="10.625" customWidth="1"/>
    <col min="32" max="32" width="13.875" customWidth="1"/>
    <col min="33" max="34" width="10.625" customWidth="1"/>
    <col min="35" max="35" width="12" customWidth="1"/>
    <col min="36" max="36" width="12.875" customWidth="1"/>
    <col min="39" max="39" width="11.875" customWidth="1"/>
    <col min="40" max="40" width="1.375" customWidth="1"/>
  </cols>
  <sheetData>
    <row r="2" spans="5:25" x14ac:dyDescent="0.2">
      <c r="E2" s="138"/>
      <c r="F2" s="138"/>
      <c r="G2" s="138"/>
      <c r="H2" s="138"/>
    </row>
    <row r="3" spans="5:25" ht="20.25" x14ac:dyDescent="0.3">
      <c r="E3" s="274" t="s">
        <v>160</v>
      </c>
      <c r="F3" s="274"/>
      <c r="G3" s="274"/>
      <c r="H3" s="274"/>
    </row>
    <row r="5" spans="5:25" ht="15" x14ac:dyDescent="0.25">
      <c r="T5" s="27"/>
      <c r="X5" s="27"/>
    </row>
    <row r="6" spans="5:25" x14ac:dyDescent="0.2">
      <c r="T6" s="693"/>
      <c r="U6" s="693"/>
      <c r="V6" s="693"/>
      <c r="W6" s="693"/>
      <c r="X6" s="693"/>
      <c r="Y6" s="693"/>
    </row>
    <row r="7" spans="5:25" x14ac:dyDescent="0.2">
      <c r="T7" s="694"/>
      <c r="U7" s="695"/>
      <c r="V7" s="695"/>
      <c r="W7" s="695"/>
      <c r="X7" s="694"/>
      <c r="Y7" s="695"/>
    </row>
    <row r="8" spans="5:25" ht="18" x14ac:dyDescent="0.25">
      <c r="I8" s="43" t="s">
        <v>161</v>
      </c>
      <c r="J8" s="43"/>
      <c r="K8" s="43"/>
      <c r="L8" s="43"/>
      <c r="M8" s="43"/>
      <c r="N8" s="43"/>
      <c r="T8" s="694"/>
      <c r="U8" s="695"/>
      <c r="V8" s="695"/>
      <c r="W8" s="695"/>
      <c r="X8" s="694"/>
      <c r="Y8" s="695"/>
    </row>
    <row r="9" spans="5:25" ht="18" x14ac:dyDescent="0.25">
      <c r="I9" s="43"/>
      <c r="J9" s="43"/>
      <c r="K9" s="43"/>
      <c r="L9" s="43"/>
      <c r="M9" s="43"/>
      <c r="N9" s="43"/>
      <c r="T9" s="696"/>
      <c r="U9" s="697"/>
      <c r="V9" s="695"/>
      <c r="W9" s="695"/>
      <c r="X9" s="696"/>
      <c r="Y9" s="697"/>
    </row>
    <row r="10" spans="5:25" ht="18.75" thickBot="1" x14ac:dyDescent="0.3">
      <c r="I10" s="43"/>
      <c r="J10" s="43"/>
      <c r="K10" s="43"/>
      <c r="L10" s="43"/>
      <c r="M10" s="43"/>
      <c r="N10" s="43"/>
      <c r="T10" s="694"/>
      <c r="U10" s="695"/>
      <c r="V10" s="695"/>
      <c r="W10" s="695"/>
      <c r="X10" s="694"/>
      <c r="Y10" s="695"/>
    </row>
    <row r="11" spans="5:25" ht="47.25" x14ac:dyDescent="0.2">
      <c r="I11" s="99"/>
      <c r="J11" s="100" t="s">
        <v>162</v>
      </c>
      <c r="K11" s="100" t="s">
        <v>163</v>
      </c>
      <c r="L11" s="100" t="s">
        <v>164</v>
      </c>
      <c r="M11" s="101" t="s">
        <v>165</v>
      </c>
      <c r="N11" s="738"/>
      <c r="T11" s="694"/>
      <c r="U11" s="695"/>
      <c r="V11" s="695"/>
      <c r="W11" s="695"/>
      <c r="X11" s="694"/>
      <c r="Y11" s="695"/>
    </row>
    <row r="12" spans="5:25" ht="18.75" thickBot="1" x14ac:dyDescent="0.25">
      <c r="I12" s="744" t="s">
        <v>166</v>
      </c>
      <c r="J12" s="125">
        <v>122</v>
      </c>
      <c r="K12" s="845"/>
      <c r="L12" s="125">
        <v>74</v>
      </c>
      <c r="M12" s="126">
        <f>M13</f>
        <v>995</v>
      </c>
      <c r="N12" s="153"/>
      <c r="T12" s="696"/>
      <c r="U12" s="697"/>
      <c r="V12" s="695"/>
      <c r="W12" s="695"/>
      <c r="X12" s="696"/>
      <c r="Y12" s="697"/>
    </row>
    <row r="13" spans="5:25" ht="18.75" thickBot="1" x14ac:dyDescent="0.25">
      <c r="I13" s="102" t="s">
        <v>167</v>
      </c>
      <c r="J13" s="125">
        <v>111</v>
      </c>
      <c r="K13" s="125">
        <v>71</v>
      </c>
      <c r="L13" s="125">
        <v>66</v>
      </c>
      <c r="M13" s="126">
        <v>995</v>
      </c>
      <c r="N13" s="153"/>
      <c r="Q13" s="593"/>
      <c r="T13" s="694"/>
      <c r="U13" s="695"/>
      <c r="V13" s="695"/>
      <c r="W13" s="695"/>
      <c r="X13" s="694"/>
      <c r="Y13" s="695"/>
    </row>
    <row r="14" spans="5:25" x14ac:dyDescent="0.2">
      <c r="T14" s="694"/>
      <c r="U14" s="695"/>
      <c r="V14" s="695"/>
      <c r="W14" s="695"/>
      <c r="X14" s="694"/>
      <c r="Y14" s="695"/>
    </row>
    <row r="15" spans="5:25" x14ac:dyDescent="0.2">
      <c r="T15" s="696"/>
      <c r="U15" s="697"/>
      <c r="V15" s="695"/>
      <c r="W15" s="695"/>
      <c r="X15" s="696"/>
      <c r="Y15" s="697"/>
    </row>
    <row r="17" spans="2:41" x14ac:dyDescent="0.2">
      <c r="C17" s="1072" t="s">
        <v>128</v>
      </c>
      <c r="D17" s="1072" t="s">
        <v>3771</v>
      </c>
    </row>
    <row r="18" spans="2:41" ht="15" x14ac:dyDescent="0.25">
      <c r="B18" t="s">
        <v>3781</v>
      </c>
      <c r="C18" s="375">
        <f>K122*J13*'D.1. Facteur d''émissions'!C15</f>
        <v>207.30360000000002</v>
      </c>
      <c r="D18" s="375"/>
    </row>
    <row r="19" spans="2:41" ht="15" x14ac:dyDescent="0.25">
      <c r="B19" t="s">
        <v>3748</v>
      </c>
      <c r="C19" s="375">
        <f>K123*J13*'D.1. Facteur d''émissions'!C15</f>
        <v>431.346</v>
      </c>
      <c r="D19" s="375">
        <f>Q123*K13*'D.1. Facteur d''émissions'!C15</f>
        <v>242.55019999999999</v>
      </c>
    </row>
    <row r="20" spans="2:41" ht="15" x14ac:dyDescent="0.25">
      <c r="B20" t="s">
        <v>938</v>
      </c>
      <c r="C20" s="375">
        <f>(J106*J13*'D.1. Facteur d''émissions'!C8)</f>
        <v>2568.0071999999996</v>
      </c>
      <c r="D20" s="375">
        <f>(P106*K13*'D.1. Facteur d''émissions'!C8)</f>
        <v>1705.3844999999999</v>
      </c>
    </row>
    <row r="21" spans="2:41" ht="15" x14ac:dyDescent="0.25">
      <c r="B21" t="s">
        <v>3749</v>
      </c>
      <c r="C21" s="375">
        <f>(J107*J13*'D.1. Facteur d''émissions'!C8)+(K107*J13*'D.1. Facteur d''émissions'!C15)</f>
        <v>912.05369999999982</v>
      </c>
      <c r="D21" s="375">
        <f>(P108*K13*'D.1. Facteur d''émissions'!C8)+(Q108*K13*'D.1. Facteur d''émissions'!C15)</f>
        <v>1334.1042000000002</v>
      </c>
    </row>
    <row r="22" spans="2:41" x14ac:dyDescent="0.2">
      <c r="B22" t="s">
        <v>3769</v>
      </c>
      <c r="C22" s="1071">
        <f>(C20-C19)/1000</f>
        <v>2.1366611999999994</v>
      </c>
      <c r="D22" s="1071">
        <f>(D20-D19)/1000</f>
        <v>1.4628342999999999</v>
      </c>
    </row>
    <row r="23" spans="2:41" x14ac:dyDescent="0.2">
      <c r="B23" t="s">
        <v>3770</v>
      </c>
      <c r="C23" s="1071">
        <f>(C21-C19)/1000</f>
        <v>0.48070769999999979</v>
      </c>
      <c r="D23" s="1071">
        <f>(D21-D19)/1000</f>
        <v>1.0915540000000004</v>
      </c>
    </row>
    <row r="24" spans="2:41" x14ac:dyDescent="0.2">
      <c r="B24" t="s">
        <v>3782</v>
      </c>
      <c r="C24" s="1071">
        <f>(C20-C18)/1000</f>
        <v>2.3607035999999995</v>
      </c>
    </row>
    <row r="26" spans="2:41" ht="54" x14ac:dyDescent="0.25">
      <c r="B26" s="59"/>
      <c r="E26" s="97" t="s">
        <v>168</v>
      </c>
      <c r="F26" s="97"/>
      <c r="G26" s="97"/>
      <c r="H26" s="97"/>
      <c r="I26" s="43"/>
      <c r="J26" s="43"/>
      <c r="K26" s="43"/>
      <c r="L26" s="43"/>
      <c r="M26" s="43"/>
      <c r="N26" s="43"/>
      <c r="AM26" s="49"/>
    </row>
    <row r="27" spans="2:41" ht="18" x14ac:dyDescent="0.25">
      <c r="B27" s="59"/>
      <c r="E27" s="43"/>
      <c r="F27" s="43"/>
      <c r="G27" s="43"/>
      <c r="H27" s="43"/>
      <c r="I27" s="43"/>
      <c r="J27" s="43"/>
      <c r="K27" s="43"/>
      <c r="L27" s="43"/>
      <c r="M27" s="43"/>
      <c r="N27" s="43"/>
      <c r="AM27" s="49"/>
    </row>
    <row r="28" spans="2:41" ht="23.25" x14ac:dyDescent="0.35">
      <c r="B28" s="59"/>
      <c r="E28" s="206" t="s">
        <v>169</v>
      </c>
      <c r="F28" s="206"/>
      <c r="G28" s="206"/>
      <c r="H28" s="206"/>
      <c r="I28" s="43"/>
      <c r="J28" s="43"/>
      <c r="K28" s="43"/>
      <c r="L28" s="43"/>
      <c r="M28" s="43"/>
      <c r="N28" s="43"/>
      <c r="AM28" s="49"/>
    </row>
    <row r="29" spans="2:41" ht="18" x14ac:dyDescent="0.25">
      <c r="B29" s="59"/>
      <c r="E29" s="43"/>
      <c r="F29" s="43"/>
      <c r="G29" s="43"/>
      <c r="H29" s="43"/>
      <c r="I29" s="43"/>
      <c r="J29" s="43"/>
      <c r="K29" s="43"/>
      <c r="L29" s="43"/>
      <c r="M29" s="43"/>
      <c r="N29" s="43"/>
      <c r="AM29" s="49"/>
    </row>
    <row r="30" spans="2:41" ht="20.25" x14ac:dyDescent="0.2">
      <c r="I30" s="1141" t="s">
        <v>162</v>
      </c>
      <c r="J30" s="1141"/>
      <c r="K30" s="1141"/>
      <c r="L30" s="1141"/>
      <c r="M30" s="1141"/>
      <c r="N30" s="1042"/>
      <c r="O30" s="1141" t="s">
        <v>163</v>
      </c>
      <c r="P30" s="1141"/>
      <c r="Q30" s="1141"/>
      <c r="R30" s="1141"/>
      <c r="S30" s="1042"/>
      <c r="T30" s="1141" t="s">
        <v>170</v>
      </c>
      <c r="U30" s="1141"/>
      <c r="V30" s="1141"/>
      <c r="W30" s="1141"/>
      <c r="X30" s="1141"/>
      <c r="Y30" s="1141" t="s">
        <v>165</v>
      </c>
      <c r="Z30" s="1141"/>
      <c r="AA30" s="1141"/>
      <c r="AB30" s="1141"/>
      <c r="AC30" s="1141"/>
    </row>
    <row r="31" spans="2:41" ht="15.75" x14ac:dyDescent="0.25">
      <c r="E31" s="96"/>
      <c r="F31" s="96"/>
      <c r="G31" s="96"/>
      <c r="H31" s="96"/>
      <c r="I31" s="96"/>
      <c r="J31" s="1142" t="s">
        <v>171</v>
      </c>
      <c r="K31" s="1142"/>
      <c r="L31" s="1142"/>
      <c r="M31" s="1142"/>
      <c r="N31" s="1043"/>
      <c r="O31" s="18"/>
      <c r="P31" s="1142" t="s">
        <v>171</v>
      </c>
      <c r="Q31" s="1142"/>
      <c r="R31" s="1142"/>
      <c r="S31" s="1043"/>
      <c r="T31" s="18"/>
      <c r="U31" s="1142" t="s">
        <v>171</v>
      </c>
      <c r="V31" s="1142"/>
      <c r="W31" s="1142"/>
      <c r="X31" s="1142"/>
      <c r="Y31" s="18"/>
      <c r="Z31" s="1142" t="s">
        <v>171</v>
      </c>
      <c r="AA31" s="1142"/>
      <c r="AB31" s="1142"/>
      <c r="AC31" s="1142"/>
      <c r="AD31" s="1"/>
      <c r="AE31" s="1"/>
      <c r="AF31" s="1"/>
      <c r="AG31" s="1"/>
      <c r="AH31" s="1"/>
      <c r="AI31" s="1"/>
      <c r="AJ31" s="1"/>
      <c r="AK31" s="1"/>
      <c r="AL31" s="1"/>
      <c r="AM31" s="1"/>
      <c r="AN31" s="1"/>
      <c r="AO31" s="1"/>
    </row>
    <row r="32" spans="2:41" ht="15.75" x14ac:dyDescent="0.25">
      <c r="E32" s="96"/>
      <c r="F32" s="96"/>
      <c r="G32" s="96"/>
      <c r="H32" s="96"/>
      <c r="I32" s="96"/>
      <c r="J32" s="96"/>
      <c r="K32" s="96"/>
      <c r="L32" s="96"/>
      <c r="M32" s="96"/>
      <c r="N32" s="96"/>
      <c r="AM32" s="98"/>
    </row>
    <row r="33" spans="2:41" s="11" customFormat="1" ht="68.45" customHeight="1" x14ac:dyDescent="0.8">
      <c r="B33" s="987" t="s">
        <v>154</v>
      </c>
      <c r="E33" s="103" t="s">
        <v>172</v>
      </c>
      <c r="F33" s="103" t="s">
        <v>173</v>
      </c>
      <c r="G33" s="103" t="s">
        <v>174</v>
      </c>
      <c r="H33" s="103" t="s">
        <v>175</v>
      </c>
      <c r="I33" s="203" t="s">
        <v>176</v>
      </c>
      <c r="J33" s="203" t="s">
        <v>177</v>
      </c>
      <c r="K33" s="203" t="s">
        <v>178</v>
      </c>
      <c r="L33" s="203" t="s">
        <v>179</v>
      </c>
      <c r="M33" s="203" t="s">
        <v>180</v>
      </c>
      <c r="N33" s="203" t="s">
        <v>3797</v>
      </c>
      <c r="O33" s="203" t="s">
        <v>176</v>
      </c>
      <c r="P33" s="203" t="s">
        <v>177</v>
      </c>
      <c r="Q33" s="203" t="s">
        <v>178</v>
      </c>
      <c r="R33" s="203" t="s">
        <v>180</v>
      </c>
      <c r="S33" s="203" t="s">
        <v>3797</v>
      </c>
      <c r="T33" s="203" t="s">
        <v>176</v>
      </c>
      <c r="U33" s="203" t="s">
        <v>177</v>
      </c>
      <c r="V33" s="203" t="s">
        <v>178</v>
      </c>
      <c r="W33" s="203" t="s">
        <v>179</v>
      </c>
      <c r="X33" s="203" t="s">
        <v>180</v>
      </c>
      <c r="Y33" s="203" t="s">
        <v>176</v>
      </c>
      <c r="Z33" s="203" t="s">
        <v>177</v>
      </c>
      <c r="AA33" s="203" t="s">
        <v>178</v>
      </c>
      <c r="AB33" s="203" t="s">
        <v>179</v>
      </c>
      <c r="AC33" s="203" t="s">
        <v>180</v>
      </c>
      <c r="AD33" s="204"/>
      <c r="AM33" s="1144"/>
      <c r="AN33" s="1144"/>
      <c r="AO33" s="1144"/>
    </row>
    <row r="34" spans="2:41" ht="31.5" customHeight="1" x14ac:dyDescent="0.35">
      <c r="D34" s="1148" t="s">
        <v>181</v>
      </c>
      <c r="E34" s="202" t="s">
        <v>182</v>
      </c>
      <c r="F34" s="202"/>
      <c r="G34" s="202" t="s">
        <v>183</v>
      </c>
      <c r="H34" s="202"/>
      <c r="I34" s="252">
        <f>SUM(J34:N34)</f>
        <v>110.2</v>
      </c>
      <c r="J34" s="253">
        <v>110.2</v>
      </c>
      <c r="K34" s="254"/>
      <c r="L34" s="254"/>
      <c r="M34" s="254"/>
      <c r="N34" s="254"/>
      <c r="O34" s="252">
        <f>SUM(P34:S34)</f>
        <v>110</v>
      </c>
      <c r="P34" s="253">
        <v>110</v>
      </c>
      <c r="Q34" s="254"/>
      <c r="R34" s="254"/>
      <c r="S34" s="254"/>
      <c r="T34" s="252">
        <f>SUM(U34:X34)</f>
        <v>156</v>
      </c>
      <c r="U34" s="253">
        <v>156</v>
      </c>
      <c r="V34" s="254"/>
      <c r="W34" s="254"/>
      <c r="X34" s="254"/>
      <c r="Y34" s="252">
        <f>SUM(Z34:AC34)</f>
        <v>158.30000000000001</v>
      </c>
      <c r="Z34" s="253">
        <v>158.30000000000001</v>
      </c>
      <c r="AA34" s="255"/>
      <c r="AB34" s="255"/>
      <c r="AC34" s="255"/>
    </row>
    <row r="35" spans="2:41" ht="31.5" customHeight="1" x14ac:dyDescent="0.35">
      <c r="D35" s="1148"/>
      <c r="E35" s="202" t="s">
        <v>184</v>
      </c>
      <c r="F35" s="202"/>
      <c r="G35" s="202" t="s">
        <v>183</v>
      </c>
      <c r="H35" s="202"/>
      <c r="I35" s="252">
        <f t="shared" ref="I35:I54" si="0">SUM(J35:N35)</f>
        <v>104.7</v>
      </c>
      <c r="J35" s="253">
        <v>104.7</v>
      </c>
      <c r="K35" s="254"/>
      <c r="L35" s="254"/>
      <c r="M35" s="254"/>
      <c r="N35" s="254"/>
      <c r="O35" s="252">
        <f t="shared" ref="O35:O54" si="1">SUM(P35:S35)</f>
        <v>104.5</v>
      </c>
      <c r="P35" s="253">
        <v>104.5</v>
      </c>
      <c r="Q35" s="254"/>
      <c r="R35" s="254"/>
      <c r="S35" s="254"/>
      <c r="T35" s="252">
        <f>SUM(U35:X35)</f>
        <v>148.19999999999999</v>
      </c>
      <c r="U35" s="253">
        <v>148.19999999999999</v>
      </c>
      <c r="V35" s="254"/>
      <c r="W35" s="254"/>
      <c r="X35" s="254"/>
      <c r="Y35" s="252">
        <f>SUM(Z35:AC35)</f>
        <v>150.30000000000001</v>
      </c>
      <c r="Z35" s="253">
        <v>150.30000000000001</v>
      </c>
      <c r="AA35" s="255"/>
      <c r="AB35" s="255"/>
      <c r="AC35" s="255"/>
    </row>
    <row r="36" spans="2:41" ht="31.5" customHeight="1" x14ac:dyDescent="0.35">
      <c r="D36" s="1148"/>
      <c r="E36" s="202" t="s">
        <v>185</v>
      </c>
      <c r="F36" s="202"/>
      <c r="G36" s="202" t="s">
        <v>183</v>
      </c>
      <c r="H36" s="202"/>
      <c r="I36" s="252">
        <f t="shared" si="0"/>
        <v>99.465000000000003</v>
      </c>
      <c r="J36" s="978">
        <f>J35*0.95</f>
        <v>99.465000000000003</v>
      </c>
      <c r="K36" s="254"/>
      <c r="L36" s="254"/>
      <c r="M36" s="254"/>
      <c r="N36" s="254"/>
      <c r="O36" s="252">
        <f t="shared" si="1"/>
        <v>99.274999999999991</v>
      </c>
      <c r="P36" s="978">
        <f>P35*0.95</f>
        <v>99.274999999999991</v>
      </c>
      <c r="Q36" s="254"/>
      <c r="R36" s="254"/>
      <c r="S36" s="254"/>
      <c r="T36" s="252">
        <f>SUM(U36:X36)</f>
        <v>140.79</v>
      </c>
      <c r="U36" s="978">
        <f>U35*0.95</f>
        <v>140.79</v>
      </c>
      <c r="V36" s="254"/>
      <c r="W36" s="254"/>
      <c r="X36" s="254"/>
      <c r="Y36" s="252">
        <f>SUM(Z36:AC36)</f>
        <v>142.785</v>
      </c>
      <c r="Z36" s="978">
        <f>Z35*0.95</f>
        <v>142.785</v>
      </c>
      <c r="AA36" s="255"/>
      <c r="AB36" s="255"/>
      <c r="AC36" s="255"/>
    </row>
    <row r="37" spans="2:41" ht="31.5" customHeight="1" x14ac:dyDescent="0.35">
      <c r="D37" s="1148"/>
      <c r="E37" s="202" t="s">
        <v>186</v>
      </c>
      <c r="F37" s="202"/>
      <c r="G37" s="202" t="s">
        <v>183</v>
      </c>
      <c r="H37" s="202"/>
      <c r="I37" s="252">
        <f t="shared" si="0"/>
        <v>83</v>
      </c>
      <c r="J37" s="253">
        <v>83</v>
      </c>
      <c r="K37" s="254"/>
      <c r="L37" s="254"/>
      <c r="M37" s="254"/>
      <c r="N37" s="254"/>
      <c r="O37" s="252">
        <f t="shared" si="1"/>
        <v>78.900000000000006</v>
      </c>
      <c r="P37" s="253">
        <v>78.900000000000006</v>
      </c>
      <c r="Q37" s="254"/>
      <c r="R37" s="254"/>
      <c r="S37" s="254"/>
      <c r="T37" s="252">
        <f t="shared" ref="T37:T54" si="2">SUM(U37:X37)</f>
        <v>115.8</v>
      </c>
      <c r="U37" s="253">
        <v>115.8</v>
      </c>
      <c r="V37" s="254"/>
      <c r="W37" s="254"/>
      <c r="X37" s="254"/>
      <c r="Y37" s="252">
        <f t="shared" ref="Y37:Y54" si="3">SUM(Z37:AC37)</f>
        <v>117.5</v>
      </c>
      <c r="Z37" s="253">
        <v>117.5</v>
      </c>
      <c r="AA37" s="255"/>
      <c r="AB37" s="255"/>
      <c r="AC37" s="255"/>
    </row>
    <row r="38" spans="2:41" ht="31.5" customHeight="1" x14ac:dyDescent="0.35">
      <c r="D38" s="1148"/>
      <c r="E38" s="202" t="s">
        <v>187</v>
      </c>
      <c r="F38" s="202"/>
      <c r="G38" s="202"/>
      <c r="H38" s="202" t="s">
        <v>183</v>
      </c>
      <c r="I38" s="252">
        <f t="shared" si="0"/>
        <v>40.799999999999997</v>
      </c>
      <c r="J38" s="253">
        <v>14.1</v>
      </c>
      <c r="K38" s="253">
        <v>26.7</v>
      </c>
      <c r="L38" s="255"/>
      <c r="M38" s="254"/>
      <c r="N38" s="254"/>
      <c r="O38" s="252">
        <f t="shared" si="1"/>
        <v>0</v>
      </c>
      <c r="P38" s="254"/>
      <c r="Q38" s="254"/>
      <c r="R38" s="254"/>
      <c r="S38" s="254"/>
      <c r="T38" s="252">
        <f t="shared" si="2"/>
        <v>57.400000000000006</v>
      </c>
      <c r="U38" s="253">
        <v>21.2</v>
      </c>
      <c r="V38" s="253">
        <v>36.200000000000003</v>
      </c>
      <c r="W38" s="255"/>
      <c r="X38" s="254"/>
      <c r="Y38" s="252">
        <f t="shared" si="3"/>
        <v>58.300000000000004</v>
      </c>
      <c r="Z38" s="253">
        <v>21.6</v>
      </c>
      <c r="AA38" s="253">
        <v>36.700000000000003</v>
      </c>
      <c r="AB38" s="255"/>
      <c r="AC38" s="254"/>
    </row>
    <row r="39" spans="2:41" ht="31.5" customHeight="1" x14ac:dyDescent="0.35">
      <c r="D39" s="1148"/>
      <c r="E39" s="202" t="s">
        <v>188</v>
      </c>
      <c r="F39" s="202"/>
      <c r="G39" s="202"/>
      <c r="H39" s="202" t="s">
        <v>183</v>
      </c>
      <c r="I39" s="252">
        <f t="shared" si="0"/>
        <v>66</v>
      </c>
      <c r="J39" s="253">
        <v>58.1</v>
      </c>
      <c r="K39" s="253">
        <v>7.9</v>
      </c>
      <c r="L39" s="255"/>
      <c r="M39" s="254"/>
      <c r="N39" s="254"/>
      <c r="O39" s="252">
        <f t="shared" si="1"/>
        <v>62.7</v>
      </c>
      <c r="P39" s="253">
        <v>55.2</v>
      </c>
      <c r="Q39" s="253">
        <v>7.5</v>
      </c>
      <c r="R39" s="254"/>
      <c r="S39" s="254"/>
      <c r="T39" s="254"/>
      <c r="U39" s="254"/>
      <c r="V39" s="254"/>
      <c r="W39" s="254"/>
      <c r="X39" s="254"/>
      <c r="Y39" s="252">
        <f t="shared" si="3"/>
        <v>61.2</v>
      </c>
      <c r="Z39" s="253">
        <v>35.200000000000003</v>
      </c>
      <c r="AA39" s="253">
        <v>26</v>
      </c>
      <c r="AB39" s="255"/>
      <c r="AC39" s="254"/>
    </row>
    <row r="40" spans="2:41" ht="31.5" customHeight="1" x14ac:dyDescent="0.35">
      <c r="D40" s="1148"/>
      <c r="E40" s="202" t="s">
        <v>189</v>
      </c>
      <c r="F40" s="202"/>
      <c r="G40" s="202" t="s">
        <v>183</v>
      </c>
      <c r="H40" s="202"/>
      <c r="I40" s="252">
        <f t="shared" si="0"/>
        <v>0</v>
      </c>
      <c r="J40" s="254"/>
      <c r="K40" s="254"/>
      <c r="L40" s="254"/>
      <c r="M40" s="254"/>
      <c r="N40" s="254"/>
      <c r="O40" s="252">
        <f t="shared" si="1"/>
        <v>0</v>
      </c>
      <c r="P40" s="254"/>
      <c r="Q40" s="254"/>
      <c r="R40" s="254"/>
      <c r="S40" s="254"/>
      <c r="T40" s="252">
        <f t="shared" si="2"/>
        <v>84.8</v>
      </c>
      <c r="U40" s="253">
        <v>84.8</v>
      </c>
      <c r="V40" s="255"/>
      <c r="W40" s="255"/>
      <c r="X40" s="254"/>
      <c r="Y40" s="252">
        <f t="shared" si="3"/>
        <v>86.1</v>
      </c>
      <c r="Z40" s="253">
        <v>86.1</v>
      </c>
      <c r="AA40" s="255"/>
      <c r="AB40" s="255"/>
      <c r="AC40" s="254"/>
    </row>
    <row r="41" spans="2:41" ht="31.5" customHeight="1" x14ac:dyDescent="0.35">
      <c r="D41" s="1148"/>
      <c r="E41" s="202" t="s">
        <v>190</v>
      </c>
      <c r="F41" s="202"/>
      <c r="G41" s="202"/>
      <c r="H41" s="202" t="s">
        <v>183</v>
      </c>
      <c r="I41" s="252">
        <f t="shared" si="0"/>
        <v>31.700000000000003</v>
      </c>
      <c r="J41" s="253">
        <v>14.1</v>
      </c>
      <c r="K41" s="253">
        <v>17.600000000000001</v>
      </c>
      <c r="L41" s="255"/>
      <c r="M41" s="254"/>
      <c r="N41" s="254"/>
      <c r="O41" s="252">
        <f t="shared" si="1"/>
        <v>0</v>
      </c>
      <c r="P41" s="254"/>
      <c r="Q41" s="254"/>
      <c r="R41" s="254"/>
      <c r="S41" s="254"/>
      <c r="T41" s="252">
        <f t="shared" si="2"/>
        <v>45.099999999999994</v>
      </c>
      <c r="U41" s="253">
        <v>21.2</v>
      </c>
      <c r="V41" s="253">
        <v>23.9</v>
      </c>
      <c r="W41" s="255"/>
      <c r="X41" s="254"/>
      <c r="Y41" s="252">
        <f t="shared" si="3"/>
        <v>45.8</v>
      </c>
      <c r="Z41" s="253">
        <v>21.6</v>
      </c>
      <c r="AA41" s="253">
        <v>24.2</v>
      </c>
      <c r="AB41" s="255"/>
      <c r="AC41" s="254"/>
    </row>
    <row r="42" spans="2:41" ht="31.5" customHeight="1" x14ac:dyDescent="0.35">
      <c r="D42" s="1148"/>
      <c r="E42" s="202" t="s">
        <v>191</v>
      </c>
      <c r="F42" s="202"/>
      <c r="G42" s="202" t="s">
        <v>183</v>
      </c>
      <c r="H42" s="202"/>
      <c r="I42" s="252">
        <f t="shared" si="0"/>
        <v>80.099999999999994</v>
      </c>
      <c r="J42" s="253">
        <v>80.099999999999994</v>
      </c>
      <c r="K42" s="255"/>
      <c r="L42" s="255"/>
      <c r="M42" s="255"/>
      <c r="N42" s="255"/>
      <c r="O42" s="252">
        <f t="shared" si="1"/>
        <v>0</v>
      </c>
      <c r="P42" s="254"/>
      <c r="Q42" s="254"/>
      <c r="R42" s="254"/>
      <c r="S42" s="254"/>
      <c r="T42" s="252">
        <f t="shared" si="2"/>
        <v>115.3</v>
      </c>
      <c r="U42" s="253">
        <v>115.3</v>
      </c>
      <c r="V42" s="255"/>
      <c r="W42" s="255"/>
      <c r="X42" s="254"/>
      <c r="Y42" s="252">
        <f t="shared" si="3"/>
        <v>117</v>
      </c>
      <c r="Z42" s="253">
        <v>117</v>
      </c>
      <c r="AA42" s="255"/>
      <c r="AB42" s="255"/>
      <c r="AC42" s="254"/>
    </row>
    <row r="43" spans="2:41" ht="31.5" customHeight="1" x14ac:dyDescent="0.35">
      <c r="D43" s="1148"/>
      <c r="E43" s="307" t="s">
        <v>192</v>
      </c>
      <c r="F43" s="202"/>
      <c r="G43" s="202" t="s">
        <v>183</v>
      </c>
      <c r="H43" s="202"/>
      <c r="I43" s="252">
        <f t="shared" si="0"/>
        <v>51.8</v>
      </c>
      <c r="J43" s="253">
        <v>51.8</v>
      </c>
      <c r="K43" s="255"/>
      <c r="L43" s="255"/>
      <c r="M43" s="255"/>
      <c r="N43" s="255"/>
      <c r="O43" s="252">
        <f t="shared" si="1"/>
        <v>0</v>
      </c>
      <c r="P43" s="254"/>
      <c r="Q43" s="254"/>
      <c r="R43" s="254"/>
      <c r="S43" s="254"/>
      <c r="T43" s="252">
        <f t="shared" si="2"/>
        <v>77.2</v>
      </c>
      <c r="U43" s="253">
        <v>77.2</v>
      </c>
      <c r="V43" s="255"/>
      <c r="W43" s="255"/>
      <c r="X43" s="254"/>
      <c r="Y43" s="252">
        <f t="shared" si="3"/>
        <v>78.400000000000006</v>
      </c>
      <c r="Z43" s="253">
        <v>78.400000000000006</v>
      </c>
      <c r="AA43" s="255"/>
      <c r="AB43" s="255"/>
      <c r="AC43" s="254"/>
    </row>
    <row r="44" spans="2:41" ht="31.5" customHeight="1" x14ac:dyDescent="0.35">
      <c r="D44" s="1148"/>
      <c r="E44" s="307" t="s">
        <v>193</v>
      </c>
      <c r="F44" s="202"/>
      <c r="G44" s="202"/>
      <c r="H44" s="202" t="s">
        <v>183</v>
      </c>
      <c r="I44" s="252">
        <f t="shared" si="0"/>
        <v>0</v>
      </c>
      <c r="J44" s="255"/>
      <c r="K44" s="255"/>
      <c r="L44" s="255"/>
      <c r="M44" s="255"/>
      <c r="N44" s="255"/>
      <c r="O44" s="252">
        <f t="shared" si="1"/>
        <v>0</v>
      </c>
      <c r="P44" s="255"/>
      <c r="Q44" s="255"/>
      <c r="R44" s="255"/>
      <c r="S44" s="255"/>
      <c r="T44" s="252">
        <f t="shared" si="2"/>
        <v>153.9</v>
      </c>
      <c r="U44" s="253">
        <v>11.6</v>
      </c>
      <c r="V44" s="255"/>
      <c r="W44" s="255"/>
      <c r="X44" s="253">
        <v>142.30000000000001</v>
      </c>
      <c r="Y44" s="252">
        <f t="shared" si="3"/>
        <v>156</v>
      </c>
      <c r="Z44" s="253">
        <v>11.7</v>
      </c>
      <c r="AA44" s="255"/>
      <c r="AB44" s="255"/>
      <c r="AC44" s="253">
        <v>144.30000000000001</v>
      </c>
    </row>
    <row r="45" spans="2:41" ht="31.5" customHeight="1" x14ac:dyDescent="0.35">
      <c r="D45" s="1148"/>
      <c r="E45" s="307" t="s">
        <v>194</v>
      </c>
      <c r="F45" s="202"/>
      <c r="G45" s="202"/>
      <c r="H45" s="202"/>
      <c r="I45" s="252">
        <f t="shared" si="0"/>
        <v>94.6</v>
      </c>
      <c r="J45" s="253">
        <v>94.6</v>
      </c>
      <c r="K45" s="255"/>
      <c r="L45" s="255"/>
      <c r="M45" s="255"/>
      <c r="N45" s="255"/>
      <c r="O45" s="252">
        <f t="shared" si="1"/>
        <v>0</v>
      </c>
      <c r="P45" s="254"/>
      <c r="Q45" s="254"/>
      <c r="R45" s="254"/>
      <c r="S45" s="254"/>
      <c r="T45" s="252">
        <f t="shared" si="2"/>
        <v>129.5</v>
      </c>
      <c r="U45" s="253">
        <v>129.5</v>
      </c>
      <c r="V45" s="255"/>
      <c r="W45" s="255"/>
      <c r="X45" s="254"/>
      <c r="Y45" s="252">
        <f t="shared" si="3"/>
        <v>131.19999999999999</v>
      </c>
      <c r="Z45" s="253">
        <v>131.19999999999999</v>
      </c>
      <c r="AA45" s="255"/>
      <c r="AB45" s="255"/>
      <c r="AC45" s="254"/>
    </row>
    <row r="46" spans="2:41" ht="31.5" customHeight="1" x14ac:dyDescent="0.35">
      <c r="D46" s="1148"/>
      <c r="E46" s="307" t="s">
        <v>195</v>
      </c>
      <c r="F46" s="202"/>
      <c r="G46" s="202"/>
      <c r="H46" s="202"/>
      <c r="I46" s="252">
        <f t="shared" si="0"/>
        <v>0</v>
      </c>
      <c r="J46" s="255"/>
      <c r="K46" s="255"/>
      <c r="L46" s="255"/>
      <c r="M46" s="255"/>
      <c r="N46" s="255"/>
      <c r="O46" s="252">
        <f t="shared" si="1"/>
        <v>0</v>
      </c>
      <c r="P46" s="255"/>
      <c r="Q46" s="255"/>
      <c r="R46" s="255"/>
      <c r="S46" s="255"/>
      <c r="T46" s="252">
        <f t="shared" si="2"/>
        <v>115.8</v>
      </c>
      <c r="U46" s="253">
        <v>115.8</v>
      </c>
      <c r="V46" s="255"/>
      <c r="W46" s="255"/>
      <c r="X46" s="255"/>
      <c r="Y46" s="252">
        <f t="shared" si="3"/>
        <v>117.5</v>
      </c>
      <c r="Z46" s="253">
        <v>117.5</v>
      </c>
      <c r="AA46" s="254"/>
      <c r="AB46" s="254"/>
      <c r="AC46" s="254"/>
    </row>
    <row r="47" spans="2:41" ht="41.45" customHeight="1" x14ac:dyDescent="0.35">
      <c r="D47" s="1146" t="s">
        <v>166</v>
      </c>
      <c r="E47" s="202" t="s">
        <v>196</v>
      </c>
      <c r="F47" s="202" t="s">
        <v>183</v>
      </c>
      <c r="G47" s="202"/>
      <c r="H47" s="202"/>
      <c r="I47" s="252">
        <f t="shared" si="0"/>
        <v>124.1</v>
      </c>
      <c r="J47" s="255"/>
      <c r="K47" s="255"/>
      <c r="L47" s="253">
        <v>124.1</v>
      </c>
      <c r="M47" s="255"/>
      <c r="N47" s="255"/>
      <c r="O47" s="252">
        <f t="shared" si="1"/>
        <v>0</v>
      </c>
      <c r="P47" s="255"/>
      <c r="Q47" s="255"/>
      <c r="R47" s="255"/>
      <c r="S47" s="255"/>
      <c r="T47" s="252">
        <f t="shared" si="2"/>
        <v>159.30000000000001</v>
      </c>
      <c r="U47" s="255"/>
      <c r="V47" s="255"/>
      <c r="W47" s="253">
        <v>159.30000000000001</v>
      </c>
      <c r="X47" s="255"/>
      <c r="Y47" s="252">
        <f t="shared" si="3"/>
        <v>139.5</v>
      </c>
      <c r="Z47" s="254"/>
      <c r="AA47" s="254"/>
      <c r="AB47" s="253">
        <v>139.5</v>
      </c>
      <c r="AC47" s="254"/>
    </row>
    <row r="48" spans="2:41" ht="41.45" customHeight="1" x14ac:dyDescent="0.35">
      <c r="D48" s="1147"/>
      <c r="E48" s="202" t="s">
        <v>197</v>
      </c>
      <c r="F48" s="202"/>
      <c r="G48" s="202"/>
      <c r="H48" s="202"/>
      <c r="I48" s="252">
        <f t="shared" si="0"/>
        <v>93.5</v>
      </c>
      <c r="J48" s="255"/>
      <c r="K48" s="255"/>
      <c r="L48" s="253">
        <v>93.5</v>
      </c>
      <c r="M48" s="255"/>
      <c r="N48" s="255"/>
      <c r="O48" s="252">
        <f t="shared" si="1"/>
        <v>0</v>
      </c>
      <c r="P48" s="255"/>
      <c r="Q48" s="255"/>
      <c r="R48" s="255"/>
      <c r="S48" s="255"/>
      <c r="T48" s="252">
        <f t="shared" si="2"/>
        <v>118.3</v>
      </c>
      <c r="U48" s="255"/>
      <c r="V48" s="255"/>
      <c r="W48" s="253">
        <v>118.3</v>
      </c>
      <c r="X48" s="255"/>
      <c r="Y48" s="252">
        <f t="shared" si="3"/>
        <v>103.6</v>
      </c>
      <c r="Z48" s="254"/>
      <c r="AA48" s="254"/>
      <c r="AB48" s="253">
        <v>103.6</v>
      </c>
      <c r="AC48" s="254"/>
      <c r="AD48" s="61"/>
    </row>
    <row r="49" spans="4:30" ht="41.45" customHeight="1" x14ac:dyDescent="0.35">
      <c r="D49" s="1041" t="s">
        <v>767</v>
      </c>
      <c r="E49" s="202" t="s">
        <v>3795</v>
      </c>
      <c r="F49" s="202"/>
      <c r="G49" s="202"/>
      <c r="H49" s="202"/>
      <c r="I49" s="252">
        <f t="shared" si="0"/>
        <v>135.30000000000001</v>
      </c>
      <c r="J49" s="255"/>
      <c r="K49" s="255"/>
      <c r="L49" s="255"/>
      <c r="M49" s="253">
        <v>135.30000000000001</v>
      </c>
      <c r="N49" s="255"/>
      <c r="O49" s="252">
        <f t="shared" si="1"/>
        <v>0</v>
      </c>
      <c r="P49" s="255"/>
      <c r="Q49" s="255"/>
      <c r="R49" s="255"/>
      <c r="S49" s="255"/>
      <c r="T49" s="252"/>
      <c r="U49" s="255"/>
      <c r="V49" s="255"/>
      <c r="W49" s="255"/>
      <c r="X49" s="255"/>
      <c r="Y49" s="252"/>
      <c r="Z49" s="254"/>
      <c r="AA49" s="254"/>
      <c r="AB49" s="253"/>
      <c r="AC49" s="254"/>
      <c r="AD49" s="61"/>
    </row>
    <row r="50" spans="4:30" ht="41.45" customHeight="1" x14ac:dyDescent="0.35">
      <c r="D50" s="1103" t="s">
        <v>768</v>
      </c>
      <c r="E50" s="202" t="s">
        <v>3796</v>
      </c>
      <c r="F50" s="202"/>
      <c r="G50" s="202"/>
      <c r="H50" s="202"/>
      <c r="I50" s="252">
        <f t="shared" si="0"/>
        <v>110.2</v>
      </c>
      <c r="J50" s="255"/>
      <c r="K50" s="255"/>
      <c r="L50" s="255"/>
      <c r="M50" s="255"/>
      <c r="N50" s="253">
        <v>110.2</v>
      </c>
      <c r="O50" s="252">
        <f t="shared" si="1"/>
        <v>110</v>
      </c>
      <c r="P50" s="255"/>
      <c r="Q50" s="255"/>
      <c r="R50" s="255"/>
      <c r="S50" s="253">
        <v>110</v>
      </c>
      <c r="T50" s="252"/>
      <c r="U50" s="255"/>
      <c r="V50" s="255"/>
      <c r="W50" s="255"/>
      <c r="X50" s="255"/>
      <c r="Y50" s="252"/>
      <c r="Z50" s="254"/>
      <c r="AA50" s="254"/>
      <c r="AB50" s="253"/>
      <c r="AC50" s="254"/>
      <c r="AD50" s="61"/>
    </row>
    <row r="51" spans="4:30" ht="41.45" customHeight="1" x14ac:dyDescent="0.35">
      <c r="D51" s="1146" t="s">
        <v>198</v>
      </c>
      <c r="E51" s="202" t="s">
        <v>199</v>
      </c>
      <c r="F51" s="202"/>
      <c r="G51" s="202"/>
      <c r="H51" s="202" t="s">
        <v>183</v>
      </c>
      <c r="I51" s="252">
        <f t="shared" si="0"/>
        <v>15.5</v>
      </c>
      <c r="J51" s="640">
        <v>8.6</v>
      </c>
      <c r="K51" s="640">
        <v>6.9</v>
      </c>
      <c r="L51" s="255"/>
      <c r="M51" s="255"/>
      <c r="N51" s="255"/>
      <c r="O51" s="252">
        <f t="shared" si="1"/>
        <v>0</v>
      </c>
      <c r="P51" s="255"/>
      <c r="Q51" s="255"/>
      <c r="R51" s="254"/>
      <c r="S51" s="254"/>
      <c r="T51" s="252">
        <f>SUM(U51:X51)</f>
        <v>17.8</v>
      </c>
      <c r="U51" s="253">
        <v>14.3</v>
      </c>
      <c r="V51" s="253">
        <v>3.5</v>
      </c>
      <c r="W51" s="255"/>
      <c r="X51" s="254"/>
      <c r="Y51" s="252">
        <f>SUM(Z51:AC51)</f>
        <v>23.799999999999997</v>
      </c>
      <c r="Z51" s="640">
        <v>20.399999999999999</v>
      </c>
      <c r="AA51" s="640">
        <v>3.4</v>
      </c>
      <c r="AB51" s="254"/>
      <c r="AC51" s="254"/>
    </row>
    <row r="52" spans="4:30" ht="41.45" customHeight="1" x14ac:dyDescent="0.35">
      <c r="D52" s="1147"/>
      <c r="E52" s="202" t="s">
        <v>200</v>
      </c>
      <c r="F52" s="202"/>
      <c r="G52" s="202"/>
      <c r="H52" s="202"/>
      <c r="I52" s="252">
        <f t="shared" si="0"/>
        <v>22.1</v>
      </c>
      <c r="J52" s="640">
        <v>22.1</v>
      </c>
      <c r="K52" s="255"/>
      <c r="L52" s="255"/>
      <c r="M52" s="255"/>
      <c r="N52" s="255"/>
      <c r="O52" s="252">
        <f t="shared" si="1"/>
        <v>22.5</v>
      </c>
      <c r="P52" s="640">
        <v>22.5</v>
      </c>
      <c r="Q52" s="255"/>
      <c r="R52" s="254"/>
      <c r="S52" s="254"/>
      <c r="T52" s="252">
        <f>SUM(U52:X52)</f>
        <v>21.1</v>
      </c>
      <c r="U52" s="253">
        <v>21.1</v>
      </c>
      <c r="V52" s="255"/>
      <c r="W52" s="255"/>
      <c r="X52" s="254"/>
      <c r="Y52" s="641"/>
      <c r="Z52" s="255"/>
      <c r="AA52" s="255"/>
      <c r="AB52" s="254"/>
      <c r="AC52" s="254"/>
    </row>
    <row r="53" spans="4:30" ht="56.45" customHeight="1" outlineLevel="1" x14ac:dyDescent="0.35">
      <c r="D53" s="1145" t="s">
        <v>201</v>
      </c>
      <c r="E53" s="776" t="s">
        <v>202</v>
      </c>
      <c r="F53" s="202"/>
      <c r="G53" s="202"/>
      <c r="H53" s="202"/>
      <c r="I53" s="252">
        <f t="shared" si="0"/>
        <v>32.200000000000003</v>
      </c>
      <c r="J53" s="254"/>
      <c r="K53" s="253">
        <v>32.200000000000003</v>
      </c>
      <c r="L53" s="254"/>
      <c r="M53" s="254"/>
      <c r="N53" s="254"/>
      <c r="O53" s="252">
        <f t="shared" si="1"/>
        <v>0</v>
      </c>
      <c r="P53" s="254"/>
      <c r="Q53" s="255"/>
      <c r="R53" s="254"/>
      <c r="S53" s="254"/>
      <c r="T53" s="252">
        <f>SUM(U53:X53)</f>
        <v>43.6</v>
      </c>
      <c r="U53" s="255"/>
      <c r="V53" s="253">
        <v>43.6</v>
      </c>
      <c r="W53" s="254"/>
      <c r="X53" s="254"/>
      <c r="Y53" s="252">
        <f t="shared" si="3"/>
        <v>44.3</v>
      </c>
      <c r="Z53" s="254"/>
      <c r="AA53" s="253">
        <v>44.3</v>
      </c>
      <c r="AB53" s="254"/>
      <c r="AC53" s="254"/>
    </row>
    <row r="54" spans="4:30" ht="56.45" customHeight="1" outlineLevel="1" x14ac:dyDescent="0.35">
      <c r="D54" s="1145"/>
      <c r="E54" s="776" t="s">
        <v>203</v>
      </c>
      <c r="F54" s="202"/>
      <c r="G54" s="202"/>
      <c r="H54" s="202"/>
      <c r="I54" s="252">
        <f t="shared" si="0"/>
        <v>67</v>
      </c>
      <c r="J54" s="254"/>
      <c r="K54" s="253">
        <v>67</v>
      </c>
      <c r="L54" s="254"/>
      <c r="M54" s="254"/>
      <c r="N54" s="254"/>
      <c r="O54" s="252">
        <f t="shared" si="1"/>
        <v>58.9</v>
      </c>
      <c r="P54" s="254"/>
      <c r="Q54" s="257">
        <v>58.9</v>
      </c>
      <c r="R54" s="254"/>
      <c r="S54" s="254"/>
      <c r="T54" s="252">
        <f t="shared" si="2"/>
        <v>0</v>
      </c>
      <c r="U54" s="641"/>
      <c r="V54" s="254"/>
      <c r="W54" s="254"/>
      <c r="X54" s="254"/>
      <c r="Y54" s="252">
        <f t="shared" si="3"/>
        <v>84.6</v>
      </c>
      <c r="Z54" s="254"/>
      <c r="AA54" s="257">
        <v>84.6</v>
      </c>
      <c r="AB54" s="254"/>
      <c r="AC54" s="254"/>
    </row>
    <row r="57" spans="4:30" ht="23.25" x14ac:dyDescent="0.35">
      <c r="E57" s="206" t="s">
        <v>204</v>
      </c>
      <c r="F57" s="206"/>
      <c r="G57" s="206"/>
      <c r="H57" s="206"/>
    </row>
    <row r="59" spans="4:30" ht="20.25" x14ac:dyDescent="0.2">
      <c r="I59" s="1141" t="s">
        <v>162</v>
      </c>
      <c r="J59" s="1141"/>
      <c r="K59" s="1141"/>
      <c r="L59" s="1141"/>
      <c r="M59" s="1141"/>
      <c r="N59" s="1042"/>
      <c r="O59" s="1141" t="s">
        <v>163</v>
      </c>
      <c r="P59" s="1141"/>
      <c r="Q59" s="1141"/>
      <c r="R59" s="1141"/>
      <c r="S59" s="1042"/>
      <c r="T59" s="1141" t="s">
        <v>170</v>
      </c>
      <c r="U59" s="1141"/>
      <c r="V59" s="1141"/>
      <c r="W59" s="1141"/>
      <c r="X59" s="1141"/>
      <c r="Y59" s="1141" t="s">
        <v>165</v>
      </c>
      <c r="Z59" s="1141"/>
      <c r="AA59" s="1141"/>
      <c r="AB59" s="1141"/>
      <c r="AC59" s="1141"/>
    </row>
    <row r="60" spans="4:30" ht="15.75" x14ac:dyDescent="0.25">
      <c r="E60" s="96"/>
      <c r="F60" s="96"/>
      <c r="G60" s="96"/>
      <c r="H60" s="96"/>
      <c r="I60" s="96"/>
      <c r="J60" s="1142" t="s">
        <v>171</v>
      </c>
      <c r="K60" s="1142"/>
      <c r="L60" s="1142"/>
      <c r="M60" s="1142"/>
      <c r="N60" s="1043"/>
      <c r="O60" s="18"/>
      <c r="P60" s="1142" t="s">
        <v>171</v>
      </c>
      <c r="Q60" s="1142"/>
      <c r="R60" s="1142"/>
      <c r="S60" s="1043"/>
      <c r="T60" s="18"/>
      <c r="U60" s="1142" t="s">
        <v>171</v>
      </c>
      <c r="V60" s="1142"/>
      <c r="W60" s="1142"/>
      <c r="X60" s="1142"/>
      <c r="Y60" s="18"/>
      <c r="Z60" s="1142" t="s">
        <v>171</v>
      </c>
      <c r="AA60" s="1142"/>
      <c r="AB60" s="1142"/>
      <c r="AC60" s="1142"/>
    </row>
    <row r="61" spans="4:30" ht="15.75" x14ac:dyDescent="0.25">
      <c r="E61" s="96"/>
      <c r="F61" s="96"/>
      <c r="G61" s="96"/>
      <c r="H61" s="96"/>
      <c r="I61" s="96"/>
      <c r="J61" s="96"/>
      <c r="K61" s="96"/>
      <c r="L61" s="96"/>
      <c r="M61" s="96"/>
      <c r="N61" s="96"/>
    </row>
    <row r="62" spans="4:30" ht="75" x14ac:dyDescent="0.2">
      <c r="E62" s="103" t="s">
        <v>172</v>
      </c>
      <c r="F62" s="103" t="s">
        <v>173</v>
      </c>
      <c r="G62" s="103" t="s">
        <v>174</v>
      </c>
      <c r="H62" s="103" t="s">
        <v>175</v>
      </c>
      <c r="I62" s="203" t="s">
        <v>176</v>
      </c>
      <c r="J62" s="203" t="s">
        <v>177</v>
      </c>
      <c r="K62" s="203" t="s">
        <v>205</v>
      </c>
      <c r="L62" s="203" t="s">
        <v>179</v>
      </c>
      <c r="M62" s="203" t="s">
        <v>180</v>
      </c>
      <c r="N62" s="203" t="s">
        <v>3797</v>
      </c>
      <c r="O62" s="203" t="s">
        <v>176</v>
      </c>
      <c r="P62" s="203" t="s">
        <v>177</v>
      </c>
      <c r="Q62" s="203" t="s">
        <v>178</v>
      </c>
      <c r="R62" s="203" t="s">
        <v>180</v>
      </c>
      <c r="S62" s="203" t="s">
        <v>3797</v>
      </c>
      <c r="T62" s="203" t="s">
        <v>176</v>
      </c>
      <c r="U62" s="203" t="s">
        <v>177</v>
      </c>
      <c r="V62" s="203" t="s">
        <v>178</v>
      </c>
      <c r="W62" s="203" t="s">
        <v>179</v>
      </c>
      <c r="X62" s="203" t="s">
        <v>180</v>
      </c>
      <c r="Y62" s="203" t="s">
        <v>206</v>
      </c>
      <c r="Z62" s="203" t="s">
        <v>177</v>
      </c>
      <c r="AA62" s="203" t="s">
        <v>178</v>
      </c>
      <c r="AB62" s="203" t="s">
        <v>179</v>
      </c>
      <c r="AC62" s="203" t="s">
        <v>180</v>
      </c>
    </row>
    <row r="63" spans="4:30" ht="33.6" customHeight="1" x14ac:dyDescent="0.4">
      <c r="D63" s="1148" t="s">
        <v>181</v>
      </c>
      <c r="E63" s="202" t="s">
        <v>182</v>
      </c>
      <c r="F63" s="202"/>
      <c r="G63" s="202" t="s">
        <v>183</v>
      </c>
      <c r="H63" s="202"/>
      <c r="I63" s="633">
        <f>SUM(J63:N63)</f>
        <v>19</v>
      </c>
      <c r="J63" s="253">
        <v>19</v>
      </c>
      <c r="K63" s="254"/>
      <c r="L63" s="254"/>
      <c r="M63" s="255"/>
      <c r="N63" s="255"/>
      <c r="O63" s="633">
        <f>SUM(P63:S63)</f>
        <v>30.1</v>
      </c>
      <c r="P63" s="253">
        <v>30.1</v>
      </c>
      <c r="Q63" s="255"/>
      <c r="R63" s="255"/>
      <c r="S63" s="255"/>
      <c r="T63" s="633">
        <f>SUM(U63:X63)</f>
        <v>43.7</v>
      </c>
      <c r="U63" s="253">
        <v>43.7</v>
      </c>
      <c r="V63" s="255"/>
      <c r="W63" s="255"/>
      <c r="X63" s="255"/>
      <c r="Y63" s="633">
        <f>SUM(Z63:AC63)</f>
        <v>22.2</v>
      </c>
      <c r="Z63" s="253">
        <v>22.2</v>
      </c>
      <c r="AA63" s="255"/>
      <c r="AB63" s="255"/>
      <c r="AC63" s="255"/>
    </row>
    <row r="64" spans="4:30" ht="33.6" customHeight="1" x14ac:dyDescent="0.4">
      <c r="D64" s="1148"/>
      <c r="E64" s="202" t="s">
        <v>207</v>
      </c>
      <c r="F64" s="202"/>
      <c r="G64" s="202" t="s">
        <v>183</v>
      </c>
      <c r="H64" s="202"/>
      <c r="I64" s="633">
        <f t="shared" ref="I64:I83" si="4">SUM(J64:N64)</f>
        <v>18.100000000000001</v>
      </c>
      <c r="J64" s="253">
        <v>18.100000000000001</v>
      </c>
      <c r="K64" s="254"/>
      <c r="L64" s="254"/>
      <c r="M64" s="255"/>
      <c r="N64" s="255"/>
      <c r="O64" s="633">
        <f t="shared" ref="O64:O83" si="5">SUM(P64:S64)</f>
        <v>28.6</v>
      </c>
      <c r="P64" s="253">
        <v>28.6</v>
      </c>
      <c r="Q64" s="255"/>
      <c r="R64" s="255"/>
      <c r="S64" s="255"/>
      <c r="T64" s="633">
        <f>SUM(U64:X64)</f>
        <v>41.5</v>
      </c>
      <c r="U64" s="253">
        <v>41.5</v>
      </c>
      <c r="V64" s="255"/>
      <c r="W64" s="255"/>
      <c r="X64" s="255"/>
      <c r="Y64" s="633">
        <f>SUM(Z64:AC64)</f>
        <v>21</v>
      </c>
      <c r="Z64" s="253">
        <v>21</v>
      </c>
      <c r="AA64" s="255"/>
      <c r="AB64" s="255"/>
      <c r="AC64" s="255"/>
    </row>
    <row r="65" spans="4:29" ht="33.6" customHeight="1" x14ac:dyDescent="0.4">
      <c r="D65" s="1148"/>
      <c r="E65" s="202" t="s">
        <v>185</v>
      </c>
      <c r="F65" s="202"/>
      <c r="G65" s="202" t="s">
        <v>183</v>
      </c>
      <c r="H65" s="202"/>
      <c r="I65" s="633">
        <f t="shared" si="4"/>
        <v>17.195</v>
      </c>
      <c r="J65" s="978">
        <f>J64*0.95</f>
        <v>17.195</v>
      </c>
      <c r="K65" s="254"/>
      <c r="L65" s="254"/>
      <c r="M65" s="255"/>
      <c r="N65" s="255"/>
      <c r="O65" s="633">
        <f t="shared" si="5"/>
        <v>27.17</v>
      </c>
      <c r="P65" s="978">
        <f>P64*0.95</f>
        <v>27.17</v>
      </c>
      <c r="Q65" s="255"/>
      <c r="R65" s="255"/>
      <c r="S65" s="255"/>
      <c r="T65" s="633">
        <f>SUM(U65:X65)</f>
        <v>39.424999999999997</v>
      </c>
      <c r="U65" s="978">
        <f>U64*0.95</f>
        <v>39.424999999999997</v>
      </c>
      <c r="V65" s="255"/>
      <c r="W65" s="255"/>
      <c r="X65" s="255"/>
      <c r="Y65" s="979">
        <f>SUM(Z65:AC65)</f>
        <v>19.95</v>
      </c>
      <c r="Z65" s="978">
        <f>Z64*0.95</f>
        <v>19.95</v>
      </c>
      <c r="AA65" s="255"/>
      <c r="AB65" s="255"/>
      <c r="AC65" s="255"/>
    </row>
    <row r="66" spans="4:29" ht="33.6" customHeight="1" x14ac:dyDescent="0.4">
      <c r="D66" s="1148"/>
      <c r="E66" s="202" t="s">
        <v>186</v>
      </c>
      <c r="F66" s="202"/>
      <c r="G66" s="202" t="s">
        <v>183</v>
      </c>
      <c r="H66" s="202"/>
      <c r="I66" s="633">
        <f t="shared" si="4"/>
        <v>13.8</v>
      </c>
      <c r="J66" s="253">
        <v>13.8</v>
      </c>
      <c r="K66" s="254"/>
      <c r="L66" s="254"/>
      <c r="M66" s="255"/>
      <c r="N66" s="255"/>
      <c r="O66" s="633">
        <f t="shared" si="5"/>
        <v>21.6</v>
      </c>
      <c r="P66" s="253">
        <v>21.6</v>
      </c>
      <c r="Q66" s="255"/>
      <c r="R66" s="255"/>
      <c r="S66" s="255"/>
      <c r="T66" s="633">
        <f t="shared" ref="T66:T83" si="6">SUM(U66:X66)</f>
        <v>37.6</v>
      </c>
      <c r="U66" s="253">
        <v>37.6</v>
      </c>
      <c r="V66" s="255"/>
      <c r="W66" s="255"/>
      <c r="X66" s="255"/>
      <c r="Y66" s="633">
        <f t="shared" ref="Y66:Y70" si="7">SUM(Z66:AC66)</f>
        <v>19</v>
      </c>
      <c r="Z66" s="253">
        <v>19</v>
      </c>
      <c r="AA66" s="255"/>
      <c r="AB66" s="255"/>
      <c r="AC66" s="255"/>
    </row>
    <row r="67" spans="4:29" ht="33.6" customHeight="1" x14ac:dyDescent="0.4">
      <c r="D67" s="1148"/>
      <c r="E67" s="202" t="s">
        <v>187</v>
      </c>
      <c r="F67" s="202"/>
      <c r="G67" s="202"/>
      <c r="H67" s="202" t="s">
        <v>183</v>
      </c>
      <c r="I67" s="633">
        <f t="shared" si="4"/>
        <v>13.8</v>
      </c>
      <c r="J67" s="253">
        <v>13.8</v>
      </c>
      <c r="K67" s="254"/>
      <c r="L67" s="254"/>
      <c r="M67" s="255"/>
      <c r="N67" s="255"/>
      <c r="O67" s="633">
        <f t="shared" si="5"/>
        <v>0</v>
      </c>
      <c r="P67" s="255"/>
      <c r="Q67" s="255"/>
      <c r="R67" s="255"/>
      <c r="S67" s="255"/>
      <c r="T67" s="633">
        <f t="shared" si="6"/>
        <v>17</v>
      </c>
      <c r="U67" s="253">
        <v>3.8</v>
      </c>
      <c r="V67" s="253">
        <v>13.2</v>
      </c>
      <c r="W67" s="255"/>
      <c r="X67" s="255"/>
      <c r="Y67" s="633">
        <f t="shared" si="7"/>
        <v>8.6</v>
      </c>
      <c r="Z67" s="253">
        <v>1.9</v>
      </c>
      <c r="AA67" s="253">
        <v>6.7</v>
      </c>
      <c r="AB67" s="255"/>
      <c r="AC67" s="255"/>
    </row>
    <row r="68" spans="4:29" ht="33.6" customHeight="1" x14ac:dyDescent="0.4">
      <c r="D68" s="1148"/>
      <c r="E68" s="202" t="s">
        <v>188</v>
      </c>
      <c r="F68" s="202"/>
      <c r="G68" s="202"/>
      <c r="H68" s="202" t="s">
        <v>183</v>
      </c>
      <c r="I68" s="633">
        <f t="shared" si="4"/>
        <v>13.8</v>
      </c>
      <c r="J68" s="253">
        <v>13.8</v>
      </c>
      <c r="K68" s="255"/>
      <c r="L68" s="255"/>
      <c r="M68" s="255"/>
      <c r="N68" s="255"/>
      <c r="O68" s="633">
        <f t="shared" si="5"/>
        <v>21.6</v>
      </c>
      <c r="P68" s="253">
        <v>21.6</v>
      </c>
      <c r="Q68" s="255"/>
      <c r="R68" s="255"/>
      <c r="S68" s="255"/>
      <c r="T68" s="639"/>
      <c r="U68" s="255"/>
      <c r="V68" s="255"/>
      <c r="W68" s="255"/>
      <c r="X68" s="255"/>
      <c r="Y68" s="633">
        <f t="shared" si="7"/>
        <v>19</v>
      </c>
      <c r="Z68" s="253">
        <v>19</v>
      </c>
      <c r="AA68" s="255"/>
      <c r="AB68" s="255"/>
      <c r="AC68" s="255"/>
    </row>
    <row r="69" spans="4:29" ht="33.6" customHeight="1" x14ac:dyDescent="0.4">
      <c r="D69" s="1148"/>
      <c r="E69" s="202" t="s">
        <v>189</v>
      </c>
      <c r="F69" s="202"/>
      <c r="G69" s="202" t="s">
        <v>183</v>
      </c>
      <c r="H69" s="202"/>
      <c r="I69" s="633">
        <f t="shared" si="4"/>
        <v>0</v>
      </c>
      <c r="J69" s="254"/>
      <c r="K69" s="254"/>
      <c r="L69" s="254"/>
      <c r="M69" s="255"/>
      <c r="N69" s="255"/>
      <c r="O69" s="633">
        <f t="shared" si="5"/>
        <v>0</v>
      </c>
      <c r="P69" s="255"/>
      <c r="Q69" s="255"/>
      <c r="R69" s="255"/>
      <c r="S69" s="255"/>
      <c r="T69" s="633">
        <f t="shared" si="6"/>
        <v>25.9</v>
      </c>
      <c r="U69" s="253">
        <v>25.9</v>
      </c>
      <c r="V69" s="255"/>
      <c r="W69" s="255"/>
      <c r="X69" s="255"/>
      <c r="Y69" s="633">
        <f t="shared" si="7"/>
        <v>13.1</v>
      </c>
      <c r="Z69" s="253">
        <v>13.1</v>
      </c>
      <c r="AA69" s="255"/>
      <c r="AB69" s="255"/>
      <c r="AC69" s="255"/>
    </row>
    <row r="70" spans="4:29" ht="33.6" customHeight="1" x14ac:dyDescent="0.4">
      <c r="D70" s="1148"/>
      <c r="E70" s="202" t="s">
        <v>190</v>
      </c>
      <c r="F70" s="202"/>
      <c r="G70" s="202"/>
      <c r="H70" s="202" t="s">
        <v>183</v>
      </c>
      <c r="I70" s="633">
        <f t="shared" si="4"/>
        <v>13.8</v>
      </c>
      <c r="J70" s="253">
        <v>13.8</v>
      </c>
      <c r="K70" s="254"/>
      <c r="L70" s="254"/>
      <c r="M70" s="254"/>
      <c r="N70" s="254"/>
      <c r="O70" s="633">
        <f t="shared" si="5"/>
        <v>0</v>
      </c>
      <c r="P70" s="255"/>
      <c r="Q70" s="255"/>
      <c r="R70" s="255"/>
      <c r="S70" s="255"/>
      <c r="T70" s="633">
        <f t="shared" si="6"/>
        <v>12.5</v>
      </c>
      <c r="U70" s="253">
        <v>3.8</v>
      </c>
      <c r="V70" s="253">
        <v>8.6999999999999993</v>
      </c>
      <c r="W70" s="255"/>
      <c r="X70" s="255"/>
      <c r="Y70" s="633">
        <f t="shared" si="7"/>
        <v>6.3000000000000007</v>
      </c>
      <c r="Z70" s="253">
        <v>1.9</v>
      </c>
      <c r="AA70" s="253">
        <v>4.4000000000000004</v>
      </c>
      <c r="AB70" s="255"/>
      <c r="AC70" s="255"/>
    </row>
    <row r="71" spans="4:29" ht="33.6" customHeight="1" x14ac:dyDescent="0.4">
      <c r="D71" s="1148"/>
      <c r="E71" s="202" t="s">
        <v>191</v>
      </c>
      <c r="F71" s="202"/>
      <c r="G71" s="202" t="s">
        <v>183</v>
      </c>
      <c r="H71" s="202"/>
      <c r="I71" s="633">
        <f t="shared" si="4"/>
        <v>10</v>
      </c>
      <c r="J71" s="253">
        <v>10</v>
      </c>
      <c r="K71" s="254"/>
      <c r="L71" s="254"/>
      <c r="M71" s="254"/>
      <c r="N71" s="254"/>
      <c r="O71" s="633">
        <f t="shared" si="5"/>
        <v>0</v>
      </c>
      <c r="P71" s="255"/>
      <c r="Q71" s="255"/>
      <c r="R71" s="255"/>
      <c r="S71" s="255"/>
      <c r="T71" s="633">
        <f>SUM(U71:X71)</f>
        <v>22.8</v>
      </c>
      <c r="U71" s="253">
        <v>22.8</v>
      </c>
      <c r="V71" s="255"/>
      <c r="W71" s="255"/>
      <c r="X71" s="255"/>
      <c r="Y71" s="633">
        <f>SUM(Z71:AC71)</f>
        <v>11.5</v>
      </c>
      <c r="Z71" s="253">
        <v>11.5</v>
      </c>
      <c r="AA71" s="255"/>
      <c r="AB71" s="255"/>
      <c r="AC71" s="255"/>
    </row>
    <row r="72" spans="4:29" ht="33.6" customHeight="1" x14ac:dyDescent="0.4">
      <c r="D72" s="1148"/>
      <c r="E72" s="202" t="s">
        <v>192</v>
      </c>
      <c r="F72" s="202"/>
      <c r="G72" s="202" t="s">
        <v>183</v>
      </c>
      <c r="H72" s="202"/>
      <c r="I72" s="633">
        <f t="shared" si="4"/>
        <v>4</v>
      </c>
      <c r="J72" s="253">
        <v>4</v>
      </c>
      <c r="K72" s="642"/>
      <c r="L72" s="642"/>
      <c r="M72" s="642"/>
      <c r="N72" s="642"/>
      <c r="O72" s="633">
        <f t="shared" si="5"/>
        <v>0</v>
      </c>
      <c r="P72" s="254"/>
      <c r="Q72" s="254"/>
      <c r="R72" s="254"/>
      <c r="S72" s="254"/>
      <c r="T72" s="633">
        <f t="shared" ref="T72:T81" si="8">SUM(U72:X72)</f>
        <v>21.2</v>
      </c>
      <c r="U72" s="253">
        <v>21.2</v>
      </c>
      <c r="V72" s="642"/>
      <c r="W72" s="642"/>
      <c r="X72" s="255"/>
      <c r="Y72" s="633">
        <f t="shared" ref="Y72:Y83" si="9">SUM(Z72:AC72)</f>
        <v>10.8</v>
      </c>
      <c r="Z72" s="253">
        <v>10.8</v>
      </c>
      <c r="AA72" s="642"/>
      <c r="AB72" s="642"/>
      <c r="AC72" s="255"/>
    </row>
    <row r="73" spans="4:29" ht="33.6" customHeight="1" x14ac:dyDescent="0.4">
      <c r="D73" s="1148"/>
      <c r="E73" s="202" t="s">
        <v>193</v>
      </c>
      <c r="F73" s="202"/>
      <c r="G73" s="202"/>
      <c r="H73" s="202"/>
      <c r="I73" s="633">
        <f t="shared" si="4"/>
        <v>0</v>
      </c>
      <c r="J73" s="255"/>
      <c r="K73" s="255"/>
      <c r="L73" s="255"/>
      <c r="M73" s="255"/>
      <c r="N73" s="255"/>
      <c r="O73" s="633">
        <f t="shared" si="5"/>
        <v>0</v>
      </c>
      <c r="P73" s="254"/>
      <c r="Q73" s="254"/>
      <c r="R73" s="254"/>
      <c r="S73" s="254"/>
      <c r="T73" s="633">
        <f t="shared" si="8"/>
        <v>30.2</v>
      </c>
      <c r="U73" s="253">
        <v>8.1999999999999993</v>
      </c>
      <c r="V73" s="255"/>
      <c r="W73" s="255"/>
      <c r="X73" s="253">
        <v>22</v>
      </c>
      <c r="Y73" s="633">
        <f t="shared" si="9"/>
        <v>15.3</v>
      </c>
      <c r="Z73" s="253">
        <v>4.2</v>
      </c>
      <c r="AA73" s="255"/>
      <c r="AB73" s="255"/>
      <c r="AC73" s="253">
        <v>11.1</v>
      </c>
    </row>
    <row r="74" spans="4:29" ht="33.6" customHeight="1" x14ac:dyDescent="0.4">
      <c r="D74" s="1148"/>
      <c r="E74" s="202" t="s">
        <v>194</v>
      </c>
      <c r="F74" s="202"/>
      <c r="G74" s="202"/>
      <c r="H74" s="202"/>
      <c r="I74" s="633">
        <f t="shared" si="4"/>
        <v>13.8</v>
      </c>
      <c r="J74" s="253">
        <v>13.8</v>
      </c>
      <c r="K74" s="255"/>
      <c r="L74" s="255"/>
      <c r="M74" s="255"/>
      <c r="N74" s="255"/>
      <c r="O74" s="633">
        <f t="shared" si="5"/>
        <v>0</v>
      </c>
      <c r="P74" s="255"/>
      <c r="Q74" s="255"/>
      <c r="R74" s="255"/>
      <c r="S74" s="255"/>
      <c r="T74" s="633">
        <f t="shared" si="8"/>
        <v>37.6</v>
      </c>
      <c r="U74" s="253">
        <v>37.6</v>
      </c>
      <c r="V74" s="255"/>
      <c r="W74" s="255"/>
      <c r="X74" s="255"/>
      <c r="Y74" s="633">
        <f t="shared" si="9"/>
        <v>19</v>
      </c>
      <c r="Z74" s="253">
        <v>19</v>
      </c>
      <c r="AA74" s="255"/>
      <c r="AB74" s="255"/>
      <c r="AC74" s="255"/>
    </row>
    <row r="75" spans="4:29" ht="33.6" customHeight="1" x14ac:dyDescent="0.4">
      <c r="D75" s="1148"/>
      <c r="E75" s="202" t="s">
        <v>195</v>
      </c>
      <c r="F75" s="202"/>
      <c r="G75" s="202"/>
      <c r="H75" s="202"/>
      <c r="I75" s="633">
        <f t="shared" si="4"/>
        <v>0</v>
      </c>
      <c r="J75" s="254"/>
      <c r="K75" s="254"/>
      <c r="L75" s="254"/>
      <c r="M75" s="254"/>
      <c r="N75" s="254"/>
      <c r="O75" s="633">
        <f t="shared" si="5"/>
        <v>0</v>
      </c>
      <c r="P75" s="639"/>
      <c r="Q75" s="639"/>
      <c r="R75" s="639"/>
      <c r="S75" s="639"/>
      <c r="T75" s="639"/>
      <c r="U75" s="639"/>
      <c r="V75" s="639"/>
      <c r="W75" s="639"/>
      <c r="X75" s="639"/>
      <c r="Y75" s="639"/>
      <c r="Z75" s="639"/>
      <c r="AA75" s="639"/>
      <c r="AB75" s="639"/>
      <c r="AC75" s="255"/>
    </row>
    <row r="76" spans="4:29" ht="48" customHeight="1" x14ac:dyDescent="0.4">
      <c r="D76" s="1146" t="s">
        <v>166</v>
      </c>
      <c r="E76" s="202" t="s">
        <v>196</v>
      </c>
      <c r="F76" s="202" t="s">
        <v>183</v>
      </c>
      <c r="G76" s="202"/>
      <c r="H76" s="202"/>
      <c r="I76" s="633">
        <f t="shared" si="4"/>
        <v>19.399999999999999</v>
      </c>
      <c r="J76" s="254"/>
      <c r="K76" s="254"/>
      <c r="L76" s="253">
        <v>19.399999999999999</v>
      </c>
      <c r="M76" s="254"/>
      <c r="N76" s="254"/>
      <c r="O76" s="633">
        <f t="shared" si="5"/>
        <v>0</v>
      </c>
      <c r="P76" s="639"/>
      <c r="Q76" s="639"/>
      <c r="R76" s="639"/>
      <c r="S76" s="639"/>
      <c r="T76" s="633">
        <f t="shared" si="8"/>
        <v>44.6</v>
      </c>
      <c r="U76" s="639"/>
      <c r="V76" s="639"/>
      <c r="W76" s="253">
        <v>44.6</v>
      </c>
      <c r="X76" s="639"/>
      <c r="Y76" s="633">
        <f t="shared" si="9"/>
        <v>13.4</v>
      </c>
      <c r="Z76" s="639"/>
      <c r="AA76" s="639"/>
      <c r="AB76" s="253">
        <v>13.4</v>
      </c>
      <c r="AC76" s="255"/>
    </row>
    <row r="77" spans="4:29" ht="48" customHeight="1" x14ac:dyDescent="0.4">
      <c r="D77" s="1147"/>
      <c r="E77" s="202" t="s">
        <v>197</v>
      </c>
      <c r="F77" s="202" t="s">
        <v>183</v>
      </c>
      <c r="G77" s="202"/>
      <c r="H77" s="202"/>
      <c r="I77" s="633">
        <f t="shared" si="4"/>
        <v>14.1</v>
      </c>
      <c r="J77" s="254"/>
      <c r="K77" s="254"/>
      <c r="L77" s="253">
        <v>14.1</v>
      </c>
      <c r="M77" s="254"/>
      <c r="N77" s="254"/>
      <c r="O77" s="633">
        <f t="shared" si="5"/>
        <v>0</v>
      </c>
      <c r="P77" s="639"/>
      <c r="Q77" s="639"/>
      <c r="R77" s="639"/>
      <c r="S77" s="639"/>
      <c r="T77" s="633">
        <f t="shared" si="8"/>
        <v>38.4</v>
      </c>
      <c r="U77" s="639"/>
      <c r="V77" s="639"/>
      <c r="W77" s="253">
        <v>38.4</v>
      </c>
      <c r="X77" s="639"/>
      <c r="Y77" s="633">
        <f t="shared" si="9"/>
        <v>11.5</v>
      </c>
      <c r="Z77" s="639"/>
      <c r="AA77" s="639"/>
      <c r="AB77" s="253">
        <v>11.5</v>
      </c>
      <c r="AC77" s="255"/>
    </row>
    <row r="78" spans="4:29" ht="48" customHeight="1" x14ac:dyDescent="0.4">
      <c r="D78" s="1041" t="s">
        <v>767</v>
      </c>
      <c r="E78" s="202" t="s">
        <v>3795</v>
      </c>
      <c r="F78" s="202"/>
      <c r="G78" s="202"/>
      <c r="H78" s="202"/>
      <c r="I78" s="633">
        <f t="shared" si="4"/>
        <v>35.4</v>
      </c>
      <c r="J78" s="254"/>
      <c r="K78" s="254"/>
      <c r="L78" s="254"/>
      <c r="M78" s="253">
        <v>35.4</v>
      </c>
      <c r="N78" s="254"/>
      <c r="O78" s="633">
        <f t="shared" si="5"/>
        <v>0</v>
      </c>
      <c r="P78" s="639"/>
      <c r="Q78" s="639"/>
      <c r="R78" s="639"/>
      <c r="S78" s="639"/>
      <c r="T78" s="633"/>
      <c r="U78" s="639"/>
      <c r="V78" s="639"/>
      <c r="W78" s="639"/>
      <c r="X78" s="639"/>
      <c r="Y78" s="633"/>
      <c r="Z78" s="639"/>
      <c r="AA78" s="639"/>
      <c r="AB78" s="253"/>
      <c r="AC78" s="255"/>
    </row>
    <row r="79" spans="4:29" ht="48" customHeight="1" x14ac:dyDescent="0.4">
      <c r="D79" s="1103" t="s">
        <v>768</v>
      </c>
      <c r="E79" s="202" t="s">
        <v>3796</v>
      </c>
      <c r="F79" s="202"/>
      <c r="G79" s="202"/>
      <c r="H79" s="202"/>
      <c r="I79" s="633">
        <f t="shared" si="4"/>
        <v>19</v>
      </c>
      <c r="J79" s="254"/>
      <c r="K79" s="254"/>
      <c r="L79" s="254"/>
      <c r="M79" s="254"/>
      <c r="N79" s="253">
        <v>19</v>
      </c>
      <c r="O79" s="633">
        <f t="shared" si="5"/>
        <v>30.1</v>
      </c>
      <c r="P79" s="639"/>
      <c r="Q79" s="639"/>
      <c r="R79" s="639"/>
      <c r="S79" s="253">
        <v>30.1</v>
      </c>
      <c r="T79" s="633"/>
      <c r="U79" s="639"/>
      <c r="V79" s="639"/>
      <c r="W79" s="639"/>
      <c r="X79" s="639"/>
      <c r="Y79" s="633"/>
      <c r="Z79" s="639"/>
      <c r="AA79" s="639"/>
      <c r="AB79" s="253"/>
      <c r="AC79" s="255"/>
    </row>
    <row r="80" spans="4:29" ht="48" customHeight="1" x14ac:dyDescent="0.4">
      <c r="D80" s="1146" t="s">
        <v>198</v>
      </c>
      <c r="E80" s="202" t="s">
        <v>199</v>
      </c>
      <c r="F80" s="202"/>
      <c r="G80" s="202"/>
      <c r="H80" s="202"/>
      <c r="I80" s="633">
        <f t="shared" si="4"/>
        <v>8.3000000000000007</v>
      </c>
      <c r="J80" s="253">
        <v>2.4</v>
      </c>
      <c r="K80" s="253">
        <v>5.9</v>
      </c>
      <c r="L80" s="255"/>
      <c r="M80" s="254"/>
      <c r="N80" s="254"/>
      <c r="O80" s="633">
        <f t="shared" si="5"/>
        <v>0</v>
      </c>
      <c r="P80" s="639"/>
      <c r="Q80" s="639"/>
      <c r="R80" s="639"/>
      <c r="S80" s="639"/>
      <c r="T80" s="633">
        <f t="shared" si="8"/>
        <v>7</v>
      </c>
      <c r="U80" s="253">
        <v>2.1</v>
      </c>
      <c r="V80" s="253">
        <v>4.9000000000000004</v>
      </c>
      <c r="W80" s="255"/>
      <c r="X80" s="255"/>
      <c r="Y80" s="633">
        <f t="shared" si="9"/>
        <v>2</v>
      </c>
      <c r="Z80" s="639"/>
      <c r="AA80" s="253">
        <v>2</v>
      </c>
      <c r="AB80" s="255"/>
      <c r="AC80" s="255"/>
    </row>
    <row r="81" spans="4:29" ht="48" customHeight="1" x14ac:dyDescent="0.4">
      <c r="D81" s="1147"/>
      <c r="E81" s="202" t="s">
        <v>200</v>
      </c>
      <c r="F81" s="202"/>
      <c r="G81" s="202"/>
      <c r="H81" s="202"/>
      <c r="I81" s="633">
        <f t="shared" si="4"/>
        <v>14.129999999999999</v>
      </c>
      <c r="J81" s="253">
        <v>0.11</v>
      </c>
      <c r="K81" s="253">
        <v>14.02</v>
      </c>
      <c r="L81" s="255"/>
      <c r="M81" s="254"/>
      <c r="N81" s="254"/>
      <c r="O81" s="633">
        <f t="shared" si="5"/>
        <v>8.8000000000000007</v>
      </c>
      <c r="P81" s="639"/>
      <c r="Q81" s="253">
        <v>8.8000000000000007</v>
      </c>
      <c r="R81" s="639"/>
      <c r="S81" s="639"/>
      <c r="T81" s="633">
        <f t="shared" si="8"/>
        <v>8.7000000000000011</v>
      </c>
      <c r="U81" s="253">
        <v>1.8</v>
      </c>
      <c r="V81" s="253">
        <v>6.9</v>
      </c>
      <c r="W81" s="255"/>
      <c r="X81" s="255"/>
      <c r="Y81" s="633">
        <f t="shared" si="9"/>
        <v>0</v>
      </c>
      <c r="Z81" s="639"/>
      <c r="AA81" s="255"/>
      <c r="AB81" s="255"/>
      <c r="AC81" s="255"/>
    </row>
    <row r="82" spans="4:29" ht="33.6" customHeight="1" outlineLevel="1" x14ac:dyDescent="0.4">
      <c r="D82" s="1145" t="s">
        <v>201</v>
      </c>
      <c r="E82" s="776" t="s">
        <v>202</v>
      </c>
      <c r="F82" s="202"/>
      <c r="G82" s="202"/>
      <c r="H82" s="202"/>
      <c r="I82" s="633">
        <f t="shared" si="4"/>
        <v>0</v>
      </c>
      <c r="J82" s="254"/>
      <c r="K82" s="256"/>
      <c r="L82" s="256"/>
      <c r="M82" s="254"/>
      <c r="N82" s="254"/>
      <c r="O82" s="633">
        <f t="shared" si="5"/>
        <v>0</v>
      </c>
      <c r="P82" s="254"/>
      <c r="Q82" s="253"/>
      <c r="R82" s="254"/>
      <c r="S82" s="254"/>
      <c r="T82" s="633">
        <f t="shared" si="6"/>
        <v>0</v>
      </c>
      <c r="U82" s="254"/>
      <c r="V82" s="253"/>
      <c r="W82" s="253"/>
      <c r="X82" s="254"/>
      <c r="Y82" s="633">
        <f t="shared" si="9"/>
        <v>0</v>
      </c>
      <c r="Z82" s="254"/>
      <c r="AA82" s="253"/>
      <c r="AB82" s="253"/>
      <c r="AC82" s="254"/>
    </row>
    <row r="83" spans="4:29" ht="33.6" customHeight="1" outlineLevel="1" x14ac:dyDescent="0.4">
      <c r="D83" s="1145"/>
      <c r="E83" s="776" t="s">
        <v>203</v>
      </c>
      <c r="F83" s="202"/>
      <c r="G83" s="202"/>
      <c r="H83" s="202"/>
      <c r="I83" s="633">
        <f t="shared" si="4"/>
        <v>0</v>
      </c>
      <c r="J83" s="254"/>
      <c r="K83" s="256"/>
      <c r="L83" s="256"/>
      <c r="M83" s="254"/>
      <c r="N83" s="254"/>
      <c r="O83" s="633">
        <f t="shared" si="5"/>
        <v>0</v>
      </c>
      <c r="P83" s="254"/>
      <c r="Q83" s="253"/>
      <c r="R83" s="254"/>
      <c r="S83" s="254"/>
      <c r="T83" s="633">
        <f t="shared" si="6"/>
        <v>0</v>
      </c>
      <c r="U83" s="254"/>
      <c r="V83" s="253"/>
      <c r="W83" s="253"/>
      <c r="X83" s="254"/>
      <c r="Y83" s="633">
        <f t="shared" si="9"/>
        <v>0</v>
      </c>
      <c r="Z83" s="254"/>
      <c r="AA83" s="253"/>
      <c r="AB83" s="253"/>
      <c r="AC83" s="254"/>
    </row>
    <row r="88" spans="4:29" ht="23.25" x14ac:dyDescent="0.35">
      <c r="E88" s="206" t="s">
        <v>208</v>
      </c>
    </row>
    <row r="90" spans="4:29" ht="75" x14ac:dyDescent="0.2">
      <c r="E90" s="103" t="s">
        <v>172</v>
      </c>
      <c r="F90" s="103" t="s">
        <v>173</v>
      </c>
      <c r="G90" s="103" t="s">
        <v>174</v>
      </c>
      <c r="H90" s="103" t="s">
        <v>175</v>
      </c>
      <c r="I90" s="203" t="s">
        <v>176</v>
      </c>
      <c r="J90" s="203" t="s">
        <v>177</v>
      </c>
      <c r="K90" s="203" t="s">
        <v>205</v>
      </c>
      <c r="L90" s="203"/>
      <c r="M90" s="203" t="s">
        <v>209</v>
      </c>
      <c r="N90" s="203" t="s">
        <v>3797</v>
      </c>
      <c r="O90" s="203" t="s">
        <v>176</v>
      </c>
      <c r="P90" s="203" t="s">
        <v>177</v>
      </c>
      <c r="Q90" s="203" t="s">
        <v>178</v>
      </c>
      <c r="R90" s="203" t="s">
        <v>209</v>
      </c>
      <c r="S90" s="203" t="s">
        <v>3797</v>
      </c>
      <c r="T90" s="203" t="s">
        <v>176</v>
      </c>
      <c r="U90" s="203" t="s">
        <v>177</v>
      </c>
      <c r="V90" s="203" t="s">
        <v>178</v>
      </c>
      <c r="W90" s="203"/>
      <c r="X90" s="203" t="s">
        <v>209</v>
      </c>
      <c r="Y90" s="203" t="s">
        <v>206</v>
      </c>
      <c r="Z90" s="203" t="s">
        <v>177</v>
      </c>
      <c r="AA90" s="203" t="s">
        <v>178</v>
      </c>
      <c r="AB90" s="203"/>
      <c r="AC90" s="203" t="s">
        <v>209</v>
      </c>
    </row>
    <row r="91" spans="4:29" ht="24" x14ac:dyDescent="0.4">
      <c r="E91" s="202" t="s">
        <v>210</v>
      </c>
      <c r="F91" s="202"/>
      <c r="G91" s="202"/>
      <c r="H91" s="202"/>
      <c r="I91" s="260">
        <f>SUM(J91:M91)</f>
        <v>1.4</v>
      </c>
      <c r="J91" s="259"/>
      <c r="K91" s="258">
        <v>1.4</v>
      </c>
      <c r="L91" s="259"/>
      <c r="M91" s="259"/>
      <c r="N91" s="259"/>
      <c r="O91" s="260">
        <f>SUM(P91:R91)</f>
        <v>1.3</v>
      </c>
      <c r="P91" s="259"/>
      <c r="Q91" s="258">
        <v>1.3</v>
      </c>
      <c r="R91" s="255"/>
      <c r="S91" s="1104"/>
      <c r="T91" s="632">
        <f>SUM(U91:X91)</f>
        <v>0</v>
      </c>
      <c r="U91" s="259"/>
      <c r="V91" s="259"/>
      <c r="W91" s="255"/>
      <c r="X91" s="255"/>
      <c r="Y91" s="508">
        <f>SUM(Z91:AC91)</f>
        <v>6.9</v>
      </c>
      <c r="Z91" s="259"/>
      <c r="AA91" s="258">
        <v>6.9</v>
      </c>
      <c r="AB91" s="255"/>
      <c r="AC91" s="255"/>
    </row>
    <row r="92" spans="4:29" ht="24" x14ac:dyDescent="0.4">
      <c r="E92" s="202" t="s">
        <v>195</v>
      </c>
      <c r="F92" s="202"/>
      <c r="G92" s="202"/>
      <c r="H92" s="202"/>
      <c r="I92" s="259"/>
      <c r="J92" s="259"/>
      <c r="K92" s="259"/>
      <c r="L92" s="259"/>
      <c r="M92" s="259"/>
      <c r="N92" s="259"/>
      <c r="O92" s="259"/>
      <c r="P92" s="259"/>
      <c r="Q92" s="259"/>
      <c r="R92" s="259"/>
      <c r="S92" s="1104"/>
      <c r="T92" s="508">
        <f>SUM(U92:X92)</f>
        <v>0</v>
      </c>
      <c r="U92" s="259"/>
      <c r="V92" s="258">
        <v>0</v>
      </c>
      <c r="W92" s="255"/>
      <c r="X92" s="255"/>
      <c r="Y92" s="508">
        <f>SUM(Z92:AC92)</f>
        <v>0</v>
      </c>
      <c r="Z92" s="259"/>
      <c r="AA92" s="258">
        <v>0</v>
      </c>
      <c r="AB92" s="255"/>
      <c r="AC92" s="255"/>
    </row>
    <row r="97" spans="4:38" ht="20.25" x14ac:dyDescent="0.3">
      <c r="E97" s="205" t="s">
        <v>211</v>
      </c>
      <c r="F97" s="205"/>
      <c r="G97" s="205"/>
      <c r="H97" s="205"/>
      <c r="M97" s="197"/>
      <c r="N97" s="197"/>
      <c r="U97" s="61"/>
    </row>
    <row r="99" spans="4:38" ht="20.25" x14ac:dyDescent="0.3">
      <c r="I99" s="1143" t="s">
        <v>162</v>
      </c>
      <c r="J99" s="1143"/>
      <c r="K99" s="1143"/>
      <c r="L99" s="1143"/>
      <c r="M99" s="1143"/>
      <c r="N99" s="1044"/>
      <c r="O99" s="1143" t="s">
        <v>163</v>
      </c>
      <c r="P99" s="1143"/>
      <c r="Q99" s="1143"/>
      <c r="R99" s="1143"/>
      <c r="S99" s="1044"/>
      <c r="T99" s="1143" t="s">
        <v>170</v>
      </c>
      <c r="U99" s="1143"/>
      <c r="V99" s="1143"/>
      <c r="W99" s="1143"/>
      <c r="X99" s="1143"/>
      <c r="Y99" s="1143" t="s">
        <v>165</v>
      </c>
      <c r="Z99" s="1143"/>
      <c r="AA99" s="1143"/>
      <c r="AB99" s="1143"/>
      <c r="AC99" s="1143"/>
    </row>
    <row r="100" spans="4:38" ht="15.75" x14ac:dyDescent="0.25">
      <c r="E100" s="96"/>
      <c r="F100" s="96"/>
      <c r="G100" s="96"/>
      <c r="H100" s="96"/>
      <c r="I100" s="96"/>
      <c r="J100" s="1142" t="s">
        <v>171</v>
      </c>
      <c r="K100" s="1142"/>
      <c r="L100" s="1142"/>
      <c r="M100" s="1142"/>
      <c r="N100" s="1043"/>
      <c r="O100" s="18"/>
      <c r="P100" s="1142" t="s">
        <v>171</v>
      </c>
      <c r="Q100" s="1142"/>
      <c r="R100" s="1142"/>
      <c r="S100" s="1043"/>
      <c r="T100" s="18"/>
      <c r="U100" s="1142" t="s">
        <v>171</v>
      </c>
      <c r="V100" s="1142"/>
      <c r="W100" s="1142"/>
      <c r="X100" s="1142"/>
      <c r="Y100" s="18"/>
      <c r="Z100" s="1142" t="s">
        <v>171</v>
      </c>
      <c r="AA100" s="1142"/>
      <c r="AB100" s="1142"/>
      <c r="AC100" s="1142"/>
      <c r="AE100" s="1139" t="s">
        <v>212</v>
      </c>
      <c r="AF100" s="1140"/>
      <c r="AG100" s="1139" t="s">
        <v>213</v>
      </c>
      <c r="AH100" s="1140"/>
      <c r="AI100" s="1139" t="s">
        <v>214</v>
      </c>
      <c r="AJ100" s="1140"/>
      <c r="AK100" s="1139" t="s">
        <v>215</v>
      </c>
      <c r="AL100" s="1140"/>
    </row>
    <row r="101" spans="4:38" ht="15.75" x14ac:dyDescent="0.25">
      <c r="E101" s="96"/>
      <c r="F101" s="96"/>
      <c r="G101" s="96"/>
      <c r="H101" s="96"/>
      <c r="I101" s="96"/>
      <c r="J101" s="96"/>
      <c r="K101" s="96"/>
      <c r="L101" s="96"/>
      <c r="M101" s="96"/>
      <c r="N101" s="96"/>
      <c r="AE101" s="31"/>
      <c r="AF101" s="33"/>
      <c r="AG101" s="31"/>
      <c r="AH101" s="33"/>
      <c r="AI101" s="31"/>
      <c r="AJ101" s="33"/>
      <c r="AK101" s="31"/>
      <c r="AL101" s="33"/>
    </row>
    <row r="102" spans="4:38" ht="75" x14ac:dyDescent="0.2">
      <c r="E102" s="103" t="s">
        <v>172</v>
      </c>
      <c r="F102" s="103" t="s">
        <v>173</v>
      </c>
      <c r="G102" s="103" t="s">
        <v>216</v>
      </c>
      <c r="H102" s="103" t="s">
        <v>175</v>
      </c>
      <c r="I102" s="203" t="s">
        <v>176</v>
      </c>
      <c r="J102" s="203" t="s">
        <v>177</v>
      </c>
      <c r="K102" s="203" t="s">
        <v>205</v>
      </c>
      <c r="L102" s="203" t="s">
        <v>179</v>
      </c>
      <c r="M102" s="203" t="s">
        <v>180</v>
      </c>
      <c r="N102" s="203" t="s">
        <v>3797</v>
      </c>
      <c r="O102" s="203" t="s">
        <v>206</v>
      </c>
      <c r="P102" s="203" t="s">
        <v>177</v>
      </c>
      <c r="Q102" s="203" t="s">
        <v>178</v>
      </c>
      <c r="R102" s="203" t="s">
        <v>180</v>
      </c>
      <c r="S102" s="203" t="s">
        <v>3797</v>
      </c>
      <c r="T102" s="203" t="s">
        <v>206</v>
      </c>
      <c r="U102" s="203" t="s">
        <v>177</v>
      </c>
      <c r="V102" s="203" t="s">
        <v>178</v>
      </c>
      <c r="W102" s="203" t="s">
        <v>179</v>
      </c>
      <c r="X102" s="203" t="s">
        <v>180</v>
      </c>
      <c r="Y102" s="203" t="s">
        <v>206</v>
      </c>
      <c r="Z102" s="203" t="s">
        <v>177</v>
      </c>
      <c r="AA102" s="203" t="s">
        <v>178</v>
      </c>
      <c r="AB102" s="203" t="s">
        <v>179</v>
      </c>
      <c r="AC102" s="203" t="s">
        <v>180</v>
      </c>
      <c r="AE102" s="563" t="s">
        <v>217</v>
      </c>
      <c r="AF102" s="564" t="s">
        <v>218</v>
      </c>
      <c r="AG102" s="563" t="s">
        <v>217</v>
      </c>
      <c r="AH102" s="564" t="s">
        <v>218</v>
      </c>
      <c r="AI102" s="563" t="s">
        <v>217</v>
      </c>
      <c r="AJ102" s="564" t="s">
        <v>218</v>
      </c>
      <c r="AK102" s="563" t="s">
        <v>217</v>
      </c>
      <c r="AL102" s="564" t="s">
        <v>218</v>
      </c>
    </row>
    <row r="103" spans="4:38" ht="45.95" customHeight="1" x14ac:dyDescent="0.4">
      <c r="D103" s="1145" t="s">
        <v>181</v>
      </c>
      <c r="E103" s="202" t="s">
        <v>182</v>
      </c>
      <c r="F103" s="202"/>
      <c r="G103" s="202" t="s">
        <v>183</v>
      </c>
      <c r="H103" s="202"/>
      <c r="I103" s="260">
        <f>SUM(J103:N103)</f>
        <v>129.19999999999999</v>
      </c>
      <c r="J103" s="258">
        <f t="shared" ref="J103:J108" si="10">J34+J63</f>
        <v>129.19999999999999</v>
      </c>
      <c r="K103" s="259"/>
      <c r="L103" s="259"/>
      <c r="M103" s="259"/>
      <c r="N103" s="259"/>
      <c r="O103" s="980">
        <f>SUM(P103:S103)</f>
        <v>140.1</v>
      </c>
      <c r="P103" s="510">
        <f>P34+P63</f>
        <v>140.1</v>
      </c>
      <c r="Q103" s="643"/>
      <c r="R103" s="643"/>
      <c r="S103" s="643"/>
      <c r="T103" s="260">
        <f>SUM(U103:X103)</f>
        <v>199.7</v>
      </c>
      <c r="U103" s="258">
        <f>U34+U63</f>
        <v>199.7</v>
      </c>
      <c r="V103" s="259"/>
      <c r="W103" s="259"/>
      <c r="X103" s="259"/>
      <c r="Y103" s="633">
        <f>SUM(Z103:AC103)</f>
        <v>180.5</v>
      </c>
      <c r="Z103" s="258">
        <f t="shared" ref="Z103:Z115" si="11">Z34+Z63</f>
        <v>180.5</v>
      </c>
      <c r="AA103" s="259"/>
      <c r="AB103" s="255"/>
      <c r="AC103" s="255"/>
      <c r="AD103" s="593"/>
      <c r="AE103" s="31"/>
      <c r="AF103" s="33"/>
      <c r="AG103" s="31"/>
      <c r="AH103" s="33"/>
      <c r="AI103" s="31"/>
      <c r="AJ103" s="33"/>
      <c r="AK103" s="31"/>
      <c r="AL103" s="33"/>
    </row>
    <row r="104" spans="4:38" ht="45.95" customHeight="1" x14ac:dyDescent="0.4">
      <c r="D104" s="1145"/>
      <c r="E104" s="202" t="s">
        <v>207</v>
      </c>
      <c r="F104" s="202"/>
      <c r="G104" s="202" t="s">
        <v>183</v>
      </c>
      <c r="H104" s="202"/>
      <c r="I104" s="260">
        <f t="shared" ref="I104:I123" si="12">SUM(J104:N104)</f>
        <v>122.80000000000001</v>
      </c>
      <c r="J104" s="258">
        <f t="shared" si="10"/>
        <v>122.80000000000001</v>
      </c>
      <c r="K104" s="259"/>
      <c r="L104" s="259"/>
      <c r="M104" s="259"/>
      <c r="N104" s="259"/>
      <c r="O104" s="980">
        <f t="shared" ref="O104:O123" si="13">SUM(P104:S104)</f>
        <v>133.1</v>
      </c>
      <c r="P104" s="510">
        <f>P35+P64</f>
        <v>133.1</v>
      </c>
      <c r="Q104" s="643"/>
      <c r="R104" s="643"/>
      <c r="S104" s="643"/>
      <c r="T104" s="260">
        <f>SUM(U104:X104)</f>
        <v>189.7</v>
      </c>
      <c r="U104" s="258">
        <f>U35+U64</f>
        <v>189.7</v>
      </c>
      <c r="V104" s="259"/>
      <c r="W104" s="259"/>
      <c r="X104" s="259"/>
      <c r="Y104" s="633">
        <f t="shared" ref="Y104:Y123" si="14">SUM(Z104:AC104)</f>
        <v>171.3</v>
      </c>
      <c r="Z104" s="258">
        <f t="shared" si="11"/>
        <v>171.3</v>
      </c>
      <c r="AA104" s="259"/>
      <c r="AB104" s="255"/>
      <c r="AC104" s="255"/>
      <c r="AD104" s="593"/>
      <c r="AE104" s="31"/>
      <c r="AF104" s="33"/>
      <c r="AG104" s="31"/>
      <c r="AH104" s="33"/>
      <c r="AI104" s="31"/>
      <c r="AJ104" s="33"/>
      <c r="AK104" s="31"/>
      <c r="AL104" s="33"/>
    </row>
    <row r="105" spans="4:38" ht="45.95" customHeight="1" x14ac:dyDescent="0.4">
      <c r="D105" s="1145"/>
      <c r="E105" s="202" t="s">
        <v>185</v>
      </c>
      <c r="F105" s="202"/>
      <c r="G105" s="202" t="s">
        <v>183</v>
      </c>
      <c r="H105" s="202"/>
      <c r="I105" s="260">
        <f t="shared" si="12"/>
        <v>116.66</v>
      </c>
      <c r="J105" s="258">
        <f t="shared" si="10"/>
        <v>116.66</v>
      </c>
      <c r="K105" s="259"/>
      <c r="L105" s="259"/>
      <c r="M105" s="259"/>
      <c r="N105" s="259"/>
      <c r="O105" s="980">
        <f t="shared" si="13"/>
        <v>126.44499999999999</v>
      </c>
      <c r="P105" s="510">
        <f>P36+P65</f>
        <v>126.44499999999999</v>
      </c>
      <c r="Q105" s="643"/>
      <c r="R105" s="643"/>
      <c r="S105" s="643"/>
      <c r="T105" s="980">
        <f>SUM(U105:X105)</f>
        <v>180.21499999999997</v>
      </c>
      <c r="U105" s="510">
        <f>U36+U65</f>
        <v>180.21499999999997</v>
      </c>
      <c r="V105" s="259"/>
      <c r="W105" s="259"/>
      <c r="X105" s="259"/>
      <c r="Y105" s="633">
        <f t="shared" si="14"/>
        <v>162.73499999999999</v>
      </c>
      <c r="Z105" s="510">
        <f t="shared" si="11"/>
        <v>162.73499999999999</v>
      </c>
      <c r="AA105" s="259"/>
      <c r="AB105" s="255"/>
      <c r="AC105" s="255"/>
      <c r="AD105" s="593"/>
      <c r="AE105" s="31"/>
      <c r="AF105" s="33"/>
      <c r="AG105" s="31"/>
      <c r="AH105" s="33"/>
      <c r="AI105" s="31"/>
      <c r="AJ105" s="33"/>
      <c r="AK105" s="31"/>
      <c r="AL105" s="33"/>
    </row>
    <row r="106" spans="4:38" ht="45.95" customHeight="1" x14ac:dyDescent="0.4">
      <c r="D106" s="1145"/>
      <c r="E106" s="202" t="s">
        <v>186</v>
      </c>
      <c r="F106" s="202"/>
      <c r="G106" s="202" t="s">
        <v>183</v>
      </c>
      <c r="H106" s="202"/>
      <c r="I106" s="260">
        <f t="shared" si="12"/>
        <v>96.8</v>
      </c>
      <c r="J106" s="258">
        <f t="shared" si="10"/>
        <v>96.8</v>
      </c>
      <c r="K106" s="259"/>
      <c r="L106" s="259"/>
      <c r="M106" s="259"/>
      <c r="N106" s="259"/>
      <c r="O106" s="980">
        <f t="shared" si="13"/>
        <v>100.5</v>
      </c>
      <c r="P106" s="511">
        <f>P37+P66</f>
        <v>100.5</v>
      </c>
      <c r="Q106" s="638"/>
      <c r="R106" s="638"/>
      <c r="S106" s="638"/>
      <c r="T106" s="260">
        <f t="shared" ref="T106:T110" si="15">SUM(U106:X106)</f>
        <v>153.4</v>
      </c>
      <c r="U106" s="258">
        <f>U37+U66</f>
        <v>153.4</v>
      </c>
      <c r="V106" s="259"/>
      <c r="W106" s="259"/>
      <c r="X106" s="259"/>
      <c r="Y106" s="633">
        <f t="shared" si="14"/>
        <v>136.5</v>
      </c>
      <c r="Z106" s="258">
        <f t="shared" si="11"/>
        <v>136.5</v>
      </c>
      <c r="AA106" s="259"/>
      <c r="AB106" s="255"/>
      <c r="AC106" s="255"/>
      <c r="AD106" s="593"/>
      <c r="AE106" s="31"/>
      <c r="AF106" s="33"/>
      <c r="AG106" s="31"/>
      <c r="AH106" s="33"/>
      <c r="AI106" s="31"/>
      <c r="AJ106" s="33"/>
      <c r="AK106" s="31"/>
      <c r="AL106" s="33"/>
    </row>
    <row r="107" spans="4:38" ht="45.95" customHeight="1" x14ac:dyDescent="0.4">
      <c r="D107" s="1145"/>
      <c r="E107" s="202" t="s">
        <v>187</v>
      </c>
      <c r="F107" s="202"/>
      <c r="G107" s="202"/>
      <c r="H107" s="202" t="s">
        <v>183</v>
      </c>
      <c r="I107" s="260">
        <f t="shared" si="12"/>
        <v>54.599999999999994</v>
      </c>
      <c r="J107" s="258">
        <f t="shared" si="10"/>
        <v>27.9</v>
      </c>
      <c r="K107" s="258">
        <f>K38+K67</f>
        <v>26.7</v>
      </c>
      <c r="L107" s="259"/>
      <c r="M107" s="259"/>
      <c r="N107" s="259"/>
      <c r="O107" s="980">
        <f t="shared" si="13"/>
        <v>0</v>
      </c>
      <c r="P107" s="638"/>
      <c r="Q107" s="638"/>
      <c r="R107" s="638"/>
      <c r="S107" s="638"/>
      <c r="T107" s="260">
        <f t="shared" si="15"/>
        <v>74.400000000000006</v>
      </c>
      <c r="U107" s="258">
        <f>U38+U67</f>
        <v>25</v>
      </c>
      <c r="V107" s="258">
        <f>V38+V67</f>
        <v>49.400000000000006</v>
      </c>
      <c r="W107" s="259"/>
      <c r="X107" s="259"/>
      <c r="Y107" s="633">
        <f t="shared" si="14"/>
        <v>66.900000000000006</v>
      </c>
      <c r="Z107" s="258">
        <f t="shared" si="11"/>
        <v>23.5</v>
      </c>
      <c r="AA107" s="258">
        <f>AA38+AA67</f>
        <v>43.400000000000006</v>
      </c>
      <c r="AB107" s="255"/>
      <c r="AC107" s="255"/>
      <c r="AD107" s="594"/>
      <c r="AE107" s="565">
        <f>J107/I107</f>
        <v>0.51098901098901106</v>
      </c>
      <c r="AF107" s="566">
        <f>K107/I107</f>
        <v>0.48901098901098905</v>
      </c>
      <c r="AG107" s="567"/>
      <c r="AH107" s="568"/>
      <c r="AI107" s="565">
        <f>U107/T107</f>
        <v>0.33602150537634407</v>
      </c>
      <c r="AJ107" s="566">
        <f>V107/T107</f>
        <v>0.66397849462365599</v>
      </c>
      <c r="AK107" s="565">
        <f>Z107/Y107</f>
        <v>0.35127055306427502</v>
      </c>
      <c r="AL107" s="566">
        <f>AA107/Y107</f>
        <v>0.64872944693572498</v>
      </c>
    </row>
    <row r="108" spans="4:38" ht="45.95" customHeight="1" x14ac:dyDescent="0.4">
      <c r="D108" s="1145"/>
      <c r="E108" s="202" t="s">
        <v>188</v>
      </c>
      <c r="F108" s="202"/>
      <c r="G108" s="202"/>
      <c r="H108" s="202" t="s">
        <v>183</v>
      </c>
      <c r="I108" s="260">
        <f t="shared" si="12"/>
        <v>79.800000000000011</v>
      </c>
      <c r="J108" s="258">
        <f t="shared" si="10"/>
        <v>71.900000000000006</v>
      </c>
      <c r="K108" s="258">
        <f>K39+K68</f>
        <v>7.9</v>
      </c>
      <c r="L108" s="259"/>
      <c r="M108" s="259"/>
      <c r="N108" s="259"/>
      <c r="O108" s="980">
        <f t="shared" si="13"/>
        <v>84.300000000000011</v>
      </c>
      <c r="P108" s="511">
        <f>P39+P68</f>
        <v>76.800000000000011</v>
      </c>
      <c r="Q108" s="511">
        <f>Q39+Q68</f>
        <v>7.5</v>
      </c>
      <c r="R108" s="638"/>
      <c r="S108" s="638"/>
      <c r="T108" s="631"/>
      <c r="U108" s="259"/>
      <c r="V108" s="259"/>
      <c r="W108" s="259"/>
      <c r="X108" s="259"/>
      <c r="Y108" s="633">
        <f t="shared" si="14"/>
        <v>80.2</v>
      </c>
      <c r="Z108" s="258">
        <f t="shared" si="11"/>
        <v>54.2</v>
      </c>
      <c r="AA108" s="258">
        <f>AA39+AA68</f>
        <v>26</v>
      </c>
      <c r="AB108" s="255"/>
      <c r="AC108" s="255"/>
      <c r="AD108" s="594"/>
    </row>
    <row r="109" spans="4:38" ht="45.95" customHeight="1" x14ac:dyDescent="0.4">
      <c r="D109" s="1145"/>
      <c r="E109" s="202" t="s">
        <v>189</v>
      </c>
      <c r="F109" s="202"/>
      <c r="G109" s="202" t="s">
        <v>183</v>
      </c>
      <c r="H109" s="202"/>
      <c r="I109" s="260">
        <f t="shared" si="12"/>
        <v>0</v>
      </c>
      <c r="J109" s="259"/>
      <c r="K109" s="259"/>
      <c r="L109" s="259"/>
      <c r="M109" s="259"/>
      <c r="N109" s="259"/>
      <c r="O109" s="980">
        <f t="shared" si="13"/>
        <v>0</v>
      </c>
      <c r="P109" s="638"/>
      <c r="Q109" s="638"/>
      <c r="R109" s="638"/>
      <c r="S109" s="638"/>
      <c r="T109" s="260">
        <f t="shared" si="15"/>
        <v>110.69999999999999</v>
      </c>
      <c r="U109" s="258">
        <f t="shared" ref="U109:U115" si="16">U40+U69</f>
        <v>110.69999999999999</v>
      </c>
      <c r="V109" s="259"/>
      <c r="W109" s="259"/>
      <c r="X109" s="259"/>
      <c r="Y109" s="633">
        <f t="shared" si="14"/>
        <v>99.199999999999989</v>
      </c>
      <c r="Z109" s="258">
        <f t="shared" si="11"/>
        <v>99.199999999999989</v>
      </c>
      <c r="AA109" s="259"/>
      <c r="AB109" s="255"/>
      <c r="AC109" s="255"/>
    </row>
    <row r="110" spans="4:38" ht="45.95" customHeight="1" x14ac:dyDescent="0.4">
      <c r="D110" s="1145"/>
      <c r="E110" s="202" t="s">
        <v>190</v>
      </c>
      <c r="F110" s="202"/>
      <c r="G110" s="202"/>
      <c r="H110" s="202"/>
      <c r="I110" s="260">
        <f t="shared" si="12"/>
        <v>45.5</v>
      </c>
      <c r="J110" s="258">
        <f>J41+J70</f>
        <v>27.9</v>
      </c>
      <c r="K110" s="258">
        <f>K41+K70</f>
        <v>17.600000000000001</v>
      </c>
      <c r="L110" s="259"/>
      <c r="M110" s="259"/>
      <c r="N110" s="259"/>
      <c r="O110" s="980">
        <f t="shared" si="13"/>
        <v>0</v>
      </c>
      <c r="P110" s="638"/>
      <c r="Q110" s="638"/>
      <c r="R110" s="638"/>
      <c r="S110" s="638"/>
      <c r="T110" s="260">
        <f t="shared" si="15"/>
        <v>57.599999999999994</v>
      </c>
      <c r="U110" s="258">
        <f t="shared" si="16"/>
        <v>25</v>
      </c>
      <c r="V110" s="258">
        <f>V41+V70</f>
        <v>32.599999999999994</v>
      </c>
      <c r="W110" s="259"/>
      <c r="X110" s="259"/>
      <c r="Y110" s="633">
        <f t="shared" si="14"/>
        <v>52.1</v>
      </c>
      <c r="Z110" s="258">
        <f t="shared" si="11"/>
        <v>23.5</v>
      </c>
      <c r="AA110" s="258">
        <f>AA41+AA70</f>
        <v>28.6</v>
      </c>
      <c r="AB110" s="255"/>
      <c r="AC110" s="255"/>
    </row>
    <row r="111" spans="4:38" ht="45.95" customHeight="1" x14ac:dyDescent="0.4">
      <c r="D111" s="1145"/>
      <c r="E111" s="202" t="s">
        <v>191</v>
      </c>
      <c r="F111" s="202"/>
      <c r="G111" s="202" t="s">
        <v>183</v>
      </c>
      <c r="H111" s="202"/>
      <c r="I111" s="260">
        <f t="shared" si="12"/>
        <v>90.1</v>
      </c>
      <c r="J111" s="258">
        <f>J42+J71</f>
        <v>90.1</v>
      </c>
      <c r="K111" s="259"/>
      <c r="L111" s="259"/>
      <c r="M111" s="259"/>
      <c r="N111" s="259"/>
      <c r="O111" s="980">
        <f t="shared" si="13"/>
        <v>0</v>
      </c>
      <c r="P111" s="638"/>
      <c r="Q111" s="638"/>
      <c r="R111" s="638"/>
      <c r="S111" s="638"/>
      <c r="T111" s="260">
        <f t="shared" ref="T111:T122" si="17">SUM(U111:X111)</f>
        <v>138.1</v>
      </c>
      <c r="U111" s="258">
        <f t="shared" si="16"/>
        <v>138.1</v>
      </c>
      <c r="V111" s="259"/>
      <c r="W111" s="259"/>
      <c r="X111" s="259"/>
      <c r="Y111" s="633">
        <f t="shared" si="14"/>
        <v>128.5</v>
      </c>
      <c r="Z111" s="258">
        <f t="shared" si="11"/>
        <v>128.5</v>
      </c>
      <c r="AA111" s="259"/>
      <c r="AB111" s="255"/>
      <c r="AC111" s="255"/>
    </row>
    <row r="112" spans="4:38" ht="45.95" customHeight="1" x14ac:dyDescent="0.4">
      <c r="D112" s="1145"/>
      <c r="E112" s="202" t="s">
        <v>192</v>
      </c>
      <c r="F112" s="202"/>
      <c r="G112" s="202" t="s">
        <v>183</v>
      </c>
      <c r="H112" s="202"/>
      <c r="I112" s="260">
        <f t="shared" si="12"/>
        <v>55.8</v>
      </c>
      <c r="J112" s="258">
        <f>J43+J72</f>
        <v>55.8</v>
      </c>
      <c r="K112" s="259"/>
      <c r="L112" s="259"/>
      <c r="M112" s="259"/>
      <c r="N112" s="259"/>
      <c r="O112" s="980">
        <f t="shared" si="13"/>
        <v>0</v>
      </c>
      <c r="P112" s="638"/>
      <c r="Q112" s="638"/>
      <c r="R112" s="638"/>
      <c r="S112" s="638"/>
      <c r="T112" s="260">
        <f t="shared" si="17"/>
        <v>98.4</v>
      </c>
      <c r="U112" s="258">
        <f t="shared" si="16"/>
        <v>98.4</v>
      </c>
      <c r="V112" s="259"/>
      <c r="W112" s="259"/>
      <c r="X112" s="259"/>
      <c r="Y112" s="633">
        <f t="shared" si="14"/>
        <v>89.2</v>
      </c>
      <c r="Z112" s="258">
        <f t="shared" si="11"/>
        <v>89.2</v>
      </c>
      <c r="AA112" s="259"/>
      <c r="AB112" s="255"/>
      <c r="AC112" s="255"/>
    </row>
    <row r="113" spans="4:30" ht="45.95" customHeight="1" x14ac:dyDescent="0.4">
      <c r="D113" s="1145"/>
      <c r="E113" s="202" t="s">
        <v>193</v>
      </c>
      <c r="F113" s="202"/>
      <c r="G113" s="202"/>
      <c r="H113" s="202"/>
      <c r="I113" s="260">
        <f t="shared" si="12"/>
        <v>0</v>
      </c>
      <c r="J113" s="259"/>
      <c r="K113" s="259"/>
      <c r="L113" s="259"/>
      <c r="M113" s="259"/>
      <c r="N113" s="259"/>
      <c r="O113" s="980">
        <f t="shared" si="13"/>
        <v>0</v>
      </c>
      <c r="P113" s="638"/>
      <c r="Q113" s="638"/>
      <c r="R113" s="638"/>
      <c r="S113" s="638"/>
      <c r="T113" s="260">
        <f t="shared" si="17"/>
        <v>184.10000000000002</v>
      </c>
      <c r="U113" s="258">
        <f t="shared" si="16"/>
        <v>19.799999999999997</v>
      </c>
      <c r="V113" s="259"/>
      <c r="W113" s="259"/>
      <c r="X113" s="258">
        <f>X44+X73</f>
        <v>164.3</v>
      </c>
      <c r="Y113" s="633">
        <f t="shared" si="14"/>
        <v>171.3</v>
      </c>
      <c r="Z113" s="258">
        <f t="shared" si="11"/>
        <v>15.899999999999999</v>
      </c>
      <c r="AA113" s="259"/>
      <c r="AB113" s="255"/>
      <c r="AC113" s="253">
        <f>AC44+AC73</f>
        <v>155.4</v>
      </c>
    </row>
    <row r="114" spans="4:30" ht="45.95" customHeight="1" x14ac:dyDescent="0.4">
      <c r="D114" s="1145"/>
      <c r="E114" s="202" t="s">
        <v>194</v>
      </c>
      <c r="F114" s="202"/>
      <c r="G114" s="202"/>
      <c r="H114" s="202"/>
      <c r="I114" s="260">
        <f t="shared" si="12"/>
        <v>108.39999999999999</v>
      </c>
      <c r="J114" s="258">
        <f>J45+J74</f>
        <v>108.39999999999999</v>
      </c>
      <c r="K114" s="259"/>
      <c r="L114" s="259"/>
      <c r="M114" s="259"/>
      <c r="N114" s="259"/>
      <c r="O114" s="980">
        <f t="shared" si="13"/>
        <v>0</v>
      </c>
      <c r="P114" s="638"/>
      <c r="Q114" s="638"/>
      <c r="R114" s="638"/>
      <c r="S114" s="638"/>
      <c r="T114" s="260">
        <f t="shared" si="17"/>
        <v>167.1</v>
      </c>
      <c r="U114" s="258">
        <f t="shared" si="16"/>
        <v>167.1</v>
      </c>
      <c r="V114" s="259"/>
      <c r="W114" s="259"/>
      <c r="X114" s="259"/>
      <c r="Y114" s="633">
        <f t="shared" si="14"/>
        <v>150.19999999999999</v>
      </c>
      <c r="Z114" s="258">
        <f t="shared" si="11"/>
        <v>150.19999999999999</v>
      </c>
      <c r="AA114" s="259"/>
      <c r="AB114" s="255"/>
      <c r="AC114" s="255"/>
    </row>
    <row r="115" spans="4:30" ht="45.95" customHeight="1" x14ac:dyDescent="0.4">
      <c r="D115" s="1145"/>
      <c r="E115" s="202" t="s">
        <v>219</v>
      </c>
      <c r="F115" s="202"/>
      <c r="G115" s="202"/>
      <c r="H115" s="202"/>
      <c r="I115" s="260">
        <f t="shared" si="12"/>
        <v>0</v>
      </c>
      <c r="J115" s="259"/>
      <c r="K115" s="259"/>
      <c r="L115" s="259"/>
      <c r="M115" s="259"/>
      <c r="N115" s="259"/>
      <c r="O115" s="980">
        <f t="shared" si="13"/>
        <v>0</v>
      </c>
      <c r="P115" s="638"/>
      <c r="Q115" s="638"/>
      <c r="R115" s="638"/>
      <c r="S115" s="638"/>
      <c r="T115" s="260">
        <f t="shared" si="17"/>
        <v>115.8</v>
      </c>
      <c r="U115" s="258">
        <f t="shared" si="16"/>
        <v>115.8</v>
      </c>
      <c r="V115" s="259"/>
      <c r="W115" s="259"/>
      <c r="X115" s="259"/>
      <c r="Y115" s="633">
        <f t="shared" si="14"/>
        <v>117.5</v>
      </c>
      <c r="Z115" s="258">
        <f t="shared" si="11"/>
        <v>117.5</v>
      </c>
      <c r="AA115" s="259"/>
      <c r="AB115" s="255"/>
      <c r="AC115" s="255"/>
    </row>
    <row r="116" spans="4:30" ht="45.95" customHeight="1" x14ac:dyDescent="0.4">
      <c r="D116" s="1146" t="s">
        <v>166</v>
      </c>
      <c r="E116" s="202" t="s">
        <v>196</v>
      </c>
      <c r="F116" s="202" t="s">
        <v>183</v>
      </c>
      <c r="G116" s="202"/>
      <c r="H116" s="202"/>
      <c r="I116" s="260">
        <f t="shared" si="12"/>
        <v>143.5</v>
      </c>
      <c r="J116" s="259"/>
      <c r="K116" s="259"/>
      <c r="L116" s="253">
        <f>L47+L76</f>
        <v>143.5</v>
      </c>
      <c r="M116" s="692"/>
      <c r="N116" s="1104"/>
      <c r="O116" s="980">
        <f t="shared" si="13"/>
        <v>0</v>
      </c>
      <c r="P116" s="638"/>
      <c r="Q116" s="638"/>
      <c r="R116" s="638"/>
      <c r="S116" s="638"/>
      <c r="T116" s="260">
        <f t="shared" si="17"/>
        <v>203.9</v>
      </c>
      <c r="U116" s="509"/>
      <c r="V116" s="691"/>
      <c r="W116" s="690">
        <f>W47+W76</f>
        <v>203.9</v>
      </c>
      <c r="X116" s="255"/>
      <c r="Y116" s="633">
        <f t="shared" si="14"/>
        <v>152.9</v>
      </c>
      <c r="Z116" s="509"/>
      <c r="AA116" s="691"/>
      <c r="AB116" s="690">
        <f>AB47+AB76</f>
        <v>152.9</v>
      </c>
      <c r="AC116" s="255"/>
    </row>
    <row r="117" spans="4:30" ht="45.95" customHeight="1" x14ac:dyDescent="0.4">
      <c r="D117" s="1147"/>
      <c r="E117" s="202" t="s">
        <v>197</v>
      </c>
      <c r="F117" s="202" t="s">
        <v>183</v>
      </c>
      <c r="G117" s="202"/>
      <c r="H117" s="202"/>
      <c r="I117" s="260">
        <f t="shared" si="12"/>
        <v>107.6</v>
      </c>
      <c r="J117" s="259"/>
      <c r="K117" s="259"/>
      <c r="L117" s="253">
        <f>L48+L77</f>
        <v>107.6</v>
      </c>
      <c r="M117" s="692"/>
      <c r="N117" s="1104"/>
      <c r="O117" s="980">
        <f t="shared" si="13"/>
        <v>0</v>
      </c>
      <c r="P117" s="638"/>
      <c r="Q117" s="638"/>
      <c r="R117" s="638"/>
      <c r="S117" s="638"/>
      <c r="T117" s="260">
        <f t="shared" si="17"/>
        <v>156.69999999999999</v>
      </c>
      <c r="U117" s="509"/>
      <c r="V117" s="691"/>
      <c r="W117" s="690">
        <f>W48+W77</f>
        <v>156.69999999999999</v>
      </c>
      <c r="X117" s="255"/>
      <c r="Y117" s="633">
        <f t="shared" si="14"/>
        <v>115.1</v>
      </c>
      <c r="Z117" s="509"/>
      <c r="AA117" s="691"/>
      <c r="AB117" s="690">
        <f>AB48+AB77</f>
        <v>115.1</v>
      </c>
      <c r="AC117" s="255"/>
      <c r="AD117" s="594"/>
    </row>
    <row r="118" spans="4:30" ht="45.95" customHeight="1" x14ac:dyDescent="0.4">
      <c r="D118" s="1041" t="s">
        <v>767</v>
      </c>
      <c r="E118" s="202" t="s">
        <v>3795</v>
      </c>
      <c r="F118" s="202"/>
      <c r="G118" s="202"/>
      <c r="H118" s="202"/>
      <c r="I118" s="260">
        <f t="shared" si="12"/>
        <v>170.70000000000002</v>
      </c>
      <c r="J118" s="259"/>
      <c r="K118" s="259"/>
      <c r="L118" s="259"/>
      <c r="M118" s="253">
        <f>M49+M78</f>
        <v>170.70000000000002</v>
      </c>
      <c r="N118" s="1104"/>
      <c r="O118" s="980">
        <f t="shared" si="13"/>
        <v>0</v>
      </c>
      <c r="P118" s="638"/>
      <c r="Q118" s="638"/>
      <c r="R118" s="638"/>
      <c r="S118" s="638"/>
      <c r="T118" s="260">
        <f t="shared" si="17"/>
        <v>0</v>
      </c>
      <c r="U118" s="509"/>
      <c r="V118" s="691"/>
      <c r="W118" s="691"/>
      <c r="X118" s="255"/>
      <c r="Y118" s="633">
        <f t="shared" si="14"/>
        <v>0</v>
      </c>
      <c r="Z118" s="509"/>
      <c r="AA118" s="691"/>
      <c r="AB118" s="253">
        <f>AB49+AB78</f>
        <v>0</v>
      </c>
      <c r="AC118" s="255"/>
      <c r="AD118" s="594"/>
    </row>
    <row r="119" spans="4:30" ht="45.95" customHeight="1" x14ac:dyDescent="0.4">
      <c r="D119" s="1103" t="s">
        <v>768</v>
      </c>
      <c r="E119" s="202" t="s">
        <v>3796</v>
      </c>
      <c r="F119" s="202"/>
      <c r="G119" s="202"/>
      <c r="H119" s="202"/>
      <c r="I119" s="260">
        <f t="shared" si="12"/>
        <v>129.19999999999999</v>
      </c>
      <c r="J119" s="259"/>
      <c r="K119" s="259"/>
      <c r="L119" s="259"/>
      <c r="M119" s="1104"/>
      <c r="N119" s="253">
        <f>N50+N79</f>
        <v>129.19999999999999</v>
      </c>
      <c r="O119" s="980">
        <f t="shared" si="13"/>
        <v>140.1</v>
      </c>
      <c r="P119" s="638"/>
      <c r="Q119" s="638"/>
      <c r="R119" s="638"/>
      <c r="S119" s="253">
        <f>S50+S79</f>
        <v>140.1</v>
      </c>
      <c r="T119" s="260">
        <f t="shared" si="17"/>
        <v>0</v>
      </c>
      <c r="U119" s="509"/>
      <c r="V119" s="691"/>
      <c r="W119" s="691"/>
      <c r="X119" s="691"/>
      <c r="Y119" s="633">
        <f t="shared" si="14"/>
        <v>0</v>
      </c>
      <c r="Z119" s="509"/>
      <c r="AA119" s="691"/>
      <c r="AB119" s="690"/>
      <c r="AC119" s="255"/>
      <c r="AD119" s="594"/>
    </row>
    <row r="120" spans="4:30" ht="45.95" customHeight="1" x14ac:dyDescent="0.4">
      <c r="D120" s="1146" t="s">
        <v>198</v>
      </c>
      <c r="E120" s="202" t="s">
        <v>199</v>
      </c>
      <c r="F120" s="202"/>
      <c r="G120" s="202"/>
      <c r="H120" s="202" t="s">
        <v>183</v>
      </c>
      <c r="I120" s="260">
        <f t="shared" si="12"/>
        <v>23.8</v>
      </c>
      <c r="J120" s="258">
        <f>J51+J80</f>
        <v>11</v>
      </c>
      <c r="K120" s="253">
        <f>K51+K80</f>
        <v>12.8</v>
      </c>
      <c r="L120" s="255"/>
      <c r="M120" s="255"/>
      <c r="N120" s="259"/>
      <c r="O120" s="980">
        <f t="shared" si="13"/>
        <v>0</v>
      </c>
      <c r="P120" s="638"/>
      <c r="Q120" s="638"/>
      <c r="R120" s="638"/>
      <c r="S120" s="638"/>
      <c r="T120" s="260">
        <f t="shared" si="17"/>
        <v>24.800000000000004</v>
      </c>
      <c r="U120" s="253">
        <f>U51+U80</f>
        <v>16.400000000000002</v>
      </c>
      <c r="V120" s="253">
        <f>V51+V80</f>
        <v>8.4</v>
      </c>
      <c r="W120" s="255"/>
      <c r="X120" s="255"/>
      <c r="Y120" s="633">
        <f t="shared" si="14"/>
        <v>25.799999999999997</v>
      </c>
      <c r="Z120" s="253">
        <f>Z51+Z80</f>
        <v>20.399999999999999</v>
      </c>
      <c r="AA120" s="253">
        <f>AA51+AA80</f>
        <v>5.4</v>
      </c>
      <c r="AB120" s="255"/>
      <c r="AC120" s="255"/>
    </row>
    <row r="121" spans="4:30" ht="45.95" customHeight="1" x14ac:dyDescent="0.4">
      <c r="D121" s="1147"/>
      <c r="E121" s="202" t="s">
        <v>200</v>
      </c>
      <c r="F121" s="202"/>
      <c r="G121" s="202"/>
      <c r="H121" s="202" t="s">
        <v>183</v>
      </c>
      <c r="I121" s="260">
        <f t="shared" si="12"/>
        <v>36.230000000000004</v>
      </c>
      <c r="J121" s="258">
        <f>J52+J81</f>
        <v>22.21</v>
      </c>
      <c r="K121" s="253">
        <f>K52+K81</f>
        <v>14.02</v>
      </c>
      <c r="L121" s="255"/>
      <c r="M121" s="255"/>
      <c r="N121" s="259"/>
      <c r="O121" s="980">
        <f t="shared" si="13"/>
        <v>31.3</v>
      </c>
      <c r="P121" s="253">
        <f>P52+P81</f>
        <v>22.5</v>
      </c>
      <c r="Q121" s="253">
        <f>Q52+Q81</f>
        <v>8.8000000000000007</v>
      </c>
      <c r="R121" s="255"/>
      <c r="S121" s="638"/>
      <c r="T121" s="260">
        <f t="shared" si="17"/>
        <v>29.800000000000004</v>
      </c>
      <c r="U121" s="253">
        <f>U52+U81</f>
        <v>22.900000000000002</v>
      </c>
      <c r="V121" s="253">
        <f>V52+V81</f>
        <v>6.9</v>
      </c>
      <c r="W121" s="255"/>
      <c r="X121" s="255"/>
      <c r="Y121" s="633">
        <f t="shared" si="14"/>
        <v>0</v>
      </c>
      <c r="Z121" s="255"/>
      <c r="AA121" s="255"/>
      <c r="AB121" s="255"/>
      <c r="AC121" s="255"/>
    </row>
    <row r="122" spans="4:30" ht="47.1" customHeight="1" outlineLevel="1" x14ac:dyDescent="0.4">
      <c r="D122" s="1145" t="s">
        <v>201</v>
      </c>
      <c r="E122" s="776" t="s">
        <v>220</v>
      </c>
      <c r="F122" s="202"/>
      <c r="G122" s="202"/>
      <c r="H122" s="202"/>
      <c r="I122" s="260">
        <f t="shared" si="12"/>
        <v>32.200000000000003</v>
      </c>
      <c r="J122" s="259"/>
      <c r="K122" s="253">
        <f>K53+K82</f>
        <v>32.200000000000003</v>
      </c>
      <c r="L122" s="255"/>
      <c r="M122" s="255"/>
      <c r="N122" s="259"/>
      <c r="O122" s="980">
        <f t="shared" si="13"/>
        <v>0</v>
      </c>
      <c r="P122" s="638"/>
      <c r="Q122" s="638"/>
      <c r="R122" s="255"/>
      <c r="S122" s="259"/>
      <c r="T122" s="260">
        <f t="shared" si="17"/>
        <v>43.6</v>
      </c>
      <c r="U122" s="255"/>
      <c r="V122" s="253">
        <f t="shared" ref="V122" si="18">V53+V82</f>
        <v>43.6</v>
      </c>
      <c r="W122" s="255"/>
      <c r="X122" s="255"/>
      <c r="Y122" s="633">
        <f t="shared" si="14"/>
        <v>44.3</v>
      </c>
      <c r="Z122" s="255"/>
      <c r="AA122" s="253">
        <f>AA53+AA82</f>
        <v>44.3</v>
      </c>
      <c r="AB122" s="255"/>
      <c r="AC122" s="255"/>
    </row>
    <row r="123" spans="4:30" ht="47.1" customHeight="1" outlineLevel="1" x14ac:dyDescent="0.4">
      <c r="D123" s="1145"/>
      <c r="E123" s="776" t="s">
        <v>203</v>
      </c>
      <c r="F123" s="202"/>
      <c r="G123" s="202"/>
      <c r="H123" s="202"/>
      <c r="I123" s="260">
        <f t="shared" si="12"/>
        <v>67</v>
      </c>
      <c r="J123" s="259"/>
      <c r="K123" s="253">
        <f>K54+K83</f>
        <v>67</v>
      </c>
      <c r="L123" s="255"/>
      <c r="M123" s="255"/>
      <c r="N123" s="259"/>
      <c r="O123" s="980">
        <f t="shared" si="13"/>
        <v>58.9</v>
      </c>
      <c r="P123" s="643"/>
      <c r="Q123" s="253">
        <f>Q54+Q83</f>
        <v>58.9</v>
      </c>
      <c r="R123" s="255"/>
      <c r="S123" s="259"/>
      <c r="T123" s="260">
        <f t="shared" ref="T123" si="19">SUM(U123:X123)</f>
        <v>0</v>
      </c>
      <c r="U123" s="255"/>
      <c r="V123" s="255"/>
      <c r="W123" s="255"/>
      <c r="X123" s="255"/>
      <c r="Y123" s="633">
        <f t="shared" si="14"/>
        <v>84.6</v>
      </c>
      <c r="Z123" s="255"/>
      <c r="AA123" s="253">
        <f>AA54+AA83</f>
        <v>84.6</v>
      </c>
      <c r="AB123" s="255"/>
      <c r="AC123" s="255"/>
    </row>
    <row r="127" spans="4:30" x14ac:dyDescent="0.2">
      <c r="J127" s="593">
        <f>J121*'D.1. Facteur d''émissions'!$C$8*'A.1. Conso_bâtiment_EF H2'!$J$13</f>
        <v>589.20908999999995</v>
      </c>
      <c r="K127">
        <f>K121*$J$13*'D.1. Facteur d''émissions'!$C$15</f>
        <v>90.260760000000005</v>
      </c>
      <c r="L127" s="593">
        <f>J127+K127</f>
        <v>679.46984999999995</v>
      </c>
      <c r="M127">
        <f>L127/1000</f>
        <v>0.67946984999999993</v>
      </c>
      <c r="P127" s="593">
        <f>P121*'D.1. Facteur d''émissions'!$C$8*'A.1. Conso_bâtiment_EF H2'!$J$13</f>
        <v>596.90249999999992</v>
      </c>
      <c r="Q127">
        <f>Q121*$J$13*'D.1. Facteur d''émissions'!$C$15</f>
        <v>56.65440000000001</v>
      </c>
      <c r="R127" s="593">
        <f>P127+Q127</f>
        <v>653.55689999999993</v>
      </c>
      <c r="S127">
        <f>R127/1000</f>
        <v>0.65355689999999989</v>
      </c>
    </row>
    <row r="130" spans="16:17" ht="18" x14ac:dyDescent="0.25">
      <c r="P130" s="1098">
        <f>(P121*K13*'D.1. Facteur d''émissions'!$C$8)/1000</f>
        <v>0.38180249999999999</v>
      </c>
      <c r="Q130" s="1099">
        <f>(Q121*K13*'D.1. Facteur d''émissions'!$C$11)/1000</f>
        <v>2.6054160000000003E-2</v>
      </c>
    </row>
    <row r="132" spans="16:17" x14ac:dyDescent="0.2">
      <c r="P132" s="61">
        <f>-(Q123*'D.1. Facteur d''émissions'!$C$15-'A.1. Conso_bâtiment_EF H2'!P106*'D.1. Facteur d''émissions'!$C$8)/(Q123*'D.1. Facteur d''émissions'!$C$15)</f>
        <v>6.0310579005913008</v>
      </c>
    </row>
  </sheetData>
  <mergeCells count="41">
    <mergeCell ref="D103:D115"/>
    <mergeCell ref="D122:D123"/>
    <mergeCell ref="D51:D52"/>
    <mergeCell ref="D34:D46"/>
    <mergeCell ref="D53:D54"/>
    <mergeCell ref="D63:D75"/>
    <mergeCell ref="D82:D83"/>
    <mergeCell ref="D80:D81"/>
    <mergeCell ref="D120:D121"/>
    <mergeCell ref="D47:D48"/>
    <mergeCell ref="D76:D77"/>
    <mergeCell ref="D116:D117"/>
    <mergeCell ref="I30:M30"/>
    <mergeCell ref="O30:R30"/>
    <mergeCell ref="T30:X30"/>
    <mergeCell ref="Y30:AC30"/>
    <mergeCell ref="P31:R31"/>
    <mergeCell ref="U31:X31"/>
    <mergeCell ref="Z31:AC31"/>
    <mergeCell ref="I59:M59"/>
    <mergeCell ref="O59:R59"/>
    <mergeCell ref="T59:X59"/>
    <mergeCell ref="AM33:AO33"/>
    <mergeCell ref="J31:M31"/>
    <mergeCell ref="J100:M100"/>
    <mergeCell ref="P100:R100"/>
    <mergeCell ref="U100:X100"/>
    <mergeCell ref="Z100:AC100"/>
    <mergeCell ref="J60:M60"/>
    <mergeCell ref="P60:R60"/>
    <mergeCell ref="U60:X60"/>
    <mergeCell ref="Z60:AC60"/>
    <mergeCell ref="I99:M99"/>
    <mergeCell ref="O99:R99"/>
    <mergeCell ref="T99:X99"/>
    <mergeCell ref="Y99:AC99"/>
    <mergeCell ref="AE100:AF100"/>
    <mergeCell ref="AG100:AH100"/>
    <mergeCell ref="AI100:AJ100"/>
    <mergeCell ref="AK100:AL100"/>
    <mergeCell ref="Y59:AC59"/>
  </mergeCells>
  <phoneticPr fontId="1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34EEF-B9DE-4C39-9439-5B4E601ADD8B}">
  <sheetPr>
    <tabColor rgb="FFFF0000"/>
  </sheetPr>
  <dimension ref="B3"/>
  <sheetViews>
    <sheetView workbookViewId="0">
      <selection activeCell="B4" sqref="B4"/>
    </sheetView>
  </sheetViews>
  <sheetFormatPr baseColWidth="10" defaultColWidth="11" defaultRowHeight="14.25" x14ac:dyDescent="0.2"/>
  <sheetData>
    <row r="3" spans="2:2" x14ac:dyDescent="0.2">
      <c r="B3" t="s">
        <v>221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01C41-BE30-40EC-B4AD-F2ED7B60006A}">
  <sheetPr>
    <tabColor rgb="FFFCCECE"/>
  </sheetPr>
  <dimension ref="B2:R83"/>
  <sheetViews>
    <sheetView showGridLines="0" zoomScale="115" zoomScaleNormal="115" workbookViewId="0">
      <selection activeCell="N24" sqref="N24"/>
    </sheetView>
  </sheetViews>
  <sheetFormatPr baseColWidth="10" defaultColWidth="11" defaultRowHeight="14.25" outlineLevelRow="1" x14ac:dyDescent="0.2"/>
  <cols>
    <col min="2" max="2" width="44.875" hidden="1" customWidth="1"/>
    <col min="3" max="3" width="5.25" customWidth="1"/>
    <col min="4" max="4" width="36.75" customWidth="1"/>
    <col min="5" max="5" width="11.75" customWidth="1"/>
    <col min="6" max="6" width="36.625" customWidth="1"/>
    <col min="8" max="8" width="22.875" bestFit="1" customWidth="1"/>
    <col min="10" max="10" width="2" customWidth="1"/>
    <col min="11" max="11" width="39.25" customWidth="1"/>
    <col min="13" max="13" width="1.375" customWidth="1"/>
    <col min="14" max="14" width="16.875" bestFit="1" customWidth="1"/>
  </cols>
  <sheetData>
    <row r="2" spans="2:14" ht="15" x14ac:dyDescent="0.25">
      <c r="D2" s="49" t="s">
        <v>222</v>
      </c>
    </row>
    <row r="3" spans="2:14" x14ac:dyDescent="0.2">
      <c r="D3" s="3"/>
      <c r="E3" t="s">
        <v>223</v>
      </c>
    </row>
    <row r="4" spans="2:14" x14ac:dyDescent="0.2">
      <c r="K4" s="526" t="s">
        <v>224</v>
      </c>
      <c r="L4" s="519"/>
      <c r="M4" s="519"/>
      <c r="N4" s="520"/>
    </row>
    <row r="5" spans="2:14" ht="18" x14ac:dyDescent="0.25">
      <c r="D5" s="281" t="s">
        <v>225</v>
      </c>
      <c r="F5" s="518" t="s">
        <v>226</v>
      </c>
      <c r="K5" s="521" t="s">
        <v>227</v>
      </c>
      <c r="N5" s="522"/>
    </row>
    <row r="6" spans="2:14" x14ac:dyDescent="0.2">
      <c r="K6" s="521" t="s">
        <v>228</v>
      </c>
      <c r="N6" s="522"/>
    </row>
    <row r="7" spans="2:14" x14ac:dyDescent="0.2">
      <c r="K7" s="523"/>
      <c r="L7" s="524"/>
      <c r="M7" s="524"/>
      <c r="N7" s="525"/>
    </row>
    <row r="8" spans="2:14" ht="18" x14ac:dyDescent="0.25">
      <c r="C8" s="31"/>
      <c r="D8" s="43" t="s">
        <v>229</v>
      </c>
    </row>
    <row r="9" spans="2:14" ht="12" customHeight="1" x14ac:dyDescent="0.2">
      <c r="B9" s="370" t="s">
        <v>230</v>
      </c>
      <c r="C9" s="31"/>
      <c r="K9" s="1151" t="s">
        <v>231</v>
      </c>
      <c r="L9" s="1152"/>
      <c r="M9" s="1152"/>
      <c r="N9" s="1153"/>
    </row>
    <row r="10" spans="2:14" ht="18.600000000000001" customHeight="1" x14ac:dyDescent="0.2">
      <c r="B10" s="370"/>
      <c r="C10" s="31"/>
      <c r="D10" t="s">
        <v>232</v>
      </c>
      <c r="E10" s="545">
        <v>150000</v>
      </c>
      <c r="F10" s="513" t="s">
        <v>233</v>
      </c>
      <c r="K10" s="544"/>
      <c r="L10" s="544"/>
      <c r="M10" s="544"/>
      <c r="N10" s="544"/>
    </row>
    <row r="11" spans="2:14" s="549" customFormat="1" ht="18.600000000000001" customHeight="1" x14ac:dyDescent="0.2">
      <c r="B11" s="547"/>
      <c r="C11" s="548"/>
      <c r="D11" s="549" t="s">
        <v>234</v>
      </c>
      <c r="E11" s="550"/>
      <c r="F11" s="551" t="s">
        <v>235</v>
      </c>
      <c r="K11" s="552"/>
      <c r="L11" s="552"/>
      <c r="M11" s="552"/>
      <c r="N11" s="552"/>
    </row>
    <row r="12" spans="2:14" ht="18.600000000000001" customHeight="1" x14ac:dyDescent="0.2">
      <c r="B12" s="370"/>
      <c r="C12" s="31"/>
      <c r="D12" s="370" t="s">
        <v>236</v>
      </c>
      <c r="E12" s="546"/>
      <c r="F12" s="513"/>
      <c r="K12" s="544"/>
      <c r="L12" s="544"/>
      <c r="M12" s="544"/>
      <c r="N12" s="544"/>
    </row>
    <row r="13" spans="2:14" x14ac:dyDescent="0.2">
      <c r="B13" t="s">
        <v>237</v>
      </c>
      <c r="C13" s="31"/>
      <c r="D13" t="s">
        <v>238</v>
      </c>
      <c r="E13" s="528" t="e">
        <f>VLOOKUP(D21,'A.1. Conso_bâtiment_EF H2'!E102:AC123,14,0)*'A.1. Conso_bâtiment_EF H2'!#REF!</f>
        <v>#N/A</v>
      </c>
      <c r="F13" s="1149" t="s">
        <v>239</v>
      </c>
    </row>
    <row r="14" spans="2:14" x14ac:dyDescent="0.2">
      <c r="B14" t="s">
        <v>240</v>
      </c>
      <c r="C14" s="31"/>
      <c r="D14" t="s">
        <v>241</v>
      </c>
      <c r="E14" s="528" t="e">
        <f>IF(E11="",'A.1. Conso_bâtiment_EF H2'!#REF!,E11)</f>
        <v>#REF!</v>
      </c>
      <c r="F14" s="1149"/>
    </row>
    <row r="15" spans="2:14" x14ac:dyDescent="0.2">
      <c r="B15" t="s">
        <v>191</v>
      </c>
      <c r="C15" s="31"/>
      <c r="D15" s="312" t="s">
        <v>242</v>
      </c>
      <c r="E15" s="527"/>
      <c r="F15" s="374"/>
    </row>
    <row r="16" spans="2:14" x14ac:dyDescent="0.2">
      <c r="B16" t="s">
        <v>189</v>
      </c>
      <c r="C16" s="31"/>
      <c r="H16" t="s">
        <v>243</v>
      </c>
      <c r="N16" s="197" t="e">
        <f>E13*'D.1. Facteur d''émissions'!C8*-'Clients 360 (2)'!N22</f>
        <v>#N/A</v>
      </c>
    </row>
    <row r="17" spans="2:18" x14ac:dyDescent="0.2">
      <c r="B17" s="207"/>
      <c r="C17" s="31"/>
      <c r="H17" s="569" t="s">
        <v>244</v>
      </c>
      <c r="N17" s="198" t="e">
        <f>(E13*'D.1. Facteur d''émissions'!C8)-((VLOOKUP(F21,'A.1. Conso_bâtiment_EF H2'!E102:AC123,15,0)*'D.1. Facteur d''émissions'!C8)+VLOOKUP(F21,'A.1. Conso_bâtiment_EF H2'!E102:AC123,16,0)*'D.1. Facteur d''émissions'!C15*E14)</f>
        <v>#N/A</v>
      </c>
    </row>
    <row r="18" spans="2:18" x14ac:dyDescent="0.2">
      <c r="C18" s="31"/>
      <c r="H18" s="569" t="s">
        <v>245</v>
      </c>
      <c r="N18" s="198"/>
    </row>
    <row r="19" spans="2:18" x14ac:dyDescent="0.2">
      <c r="B19" s="370" t="s">
        <v>246</v>
      </c>
      <c r="C19" s="31"/>
      <c r="H19" s="534"/>
      <c r="N19" s="533" t="e">
        <f>IF(E10="",E13*'D.1. Facteur d''émissions'!C8-(E13*'D.1. Facteur d''émissions'!C8*(1+N22)),E10*'D.1. Facteur d''émissions'!C8-(E10*'D.1. Facteur d''émissions'!C8*(1+N22)))</f>
        <v>#N/A</v>
      </c>
    </row>
    <row r="20" spans="2:18" ht="15.75" thickBot="1" x14ac:dyDescent="0.3">
      <c r="B20" t="s">
        <v>240</v>
      </c>
      <c r="C20" s="31"/>
      <c r="D20" s="1" t="s">
        <v>247</v>
      </c>
      <c r="F20" s="1" t="s">
        <v>248</v>
      </c>
      <c r="H20" t="s">
        <v>249</v>
      </c>
      <c r="I20" s="434" t="s">
        <v>142</v>
      </c>
      <c r="J20" s="434"/>
      <c r="K20" t="s">
        <v>250</v>
      </c>
      <c r="L20" s="434" t="s">
        <v>142</v>
      </c>
      <c r="M20" s="434"/>
      <c r="N20" t="s">
        <v>251</v>
      </c>
      <c r="O20" s="312"/>
      <c r="R20" s="138"/>
    </row>
    <row r="21" spans="2:18" ht="15.75" thickBot="1" x14ac:dyDescent="0.25">
      <c r="B21" t="s">
        <v>191</v>
      </c>
      <c r="C21" s="31"/>
      <c r="D21" s="529" t="s">
        <v>240</v>
      </c>
      <c r="F21" s="529" t="s">
        <v>187</v>
      </c>
      <c r="G21" s="138"/>
      <c r="H21" s="515" t="e">
        <f>IF(E10="",IF(H23="",E13*-H22,E13*-H23),IF(H23="",E10*-H22,E10*-H23))</f>
        <v>#N/A</v>
      </c>
      <c r="I21" s="516" t="s">
        <v>252</v>
      </c>
      <c r="J21" s="138"/>
      <c r="K21" s="515" t="e">
        <f>E13-H21</f>
        <v>#N/A</v>
      </c>
      <c r="L21" s="516" t="s">
        <v>253</v>
      </c>
      <c r="M21" s="138"/>
      <c r="N21" s="515" t="e">
        <f>IF(H23="",E13*'D.1. Facteur d''émissions'!C8*-'Clients 360 (2)'!N22,(E13*'D.1. Facteur d''émissions'!C8)-((VLOOKUP(F21,'A.1. Conso_bâtiment_EF H2'!E102:AC123,15,0)*'D.1. Facteur d''émissions'!C8)+VLOOKUP(F21,'A.1. Conso_bâtiment_EF H2'!E102:AC123,16,0)*'D.1. Facteur d''émissions'!C15*E14))</f>
        <v>#N/A</v>
      </c>
      <c r="O21" s="517" t="s">
        <v>254</v>
      </c>
    </row>
    <row r="22" spans="2:18" x14ac:dyDescent="0.2">
      <c r="B22" t="s">
        <v>189</v>
      </c>
      <c r="G22" s="455" t="s">
        <v>255</v>
      </c>
      <c r="H22" s="557" t="e" cm="1">
        <f t="array" ref="H22">INDEX('A.2. Performances_Bâtiment H2'!D83:M92,'Clients 360 (2)'!H27,'Clients 360 (2)'!H28)</f>
        <v>#N/A</v>
      </c>
      <c r="I22" s="513" t="s">
        <v>256</v>
      </c>
      <c r="K22" s="61" t="str" cm="1">
        <f t="array" ref="K22">IF(AND(E10="",E11="",H23=""),INDEX('A.2. Performances_Bâtiment H2'!D83:M92,'Clients 360 (2)'!H27,'Clients 360 (2)'!H28),"")</f>
        <v/>
      </c>
      <c r="N22" s="535" t="e" cm="1">
        <f t="array" ref="N22">INDEX('A.2. Performances_Bâtiment H2'!S83:AB92,'Clients 360 (2)'!N27,'Clients 360 (2)'!N28)</f>
        <v>#N/A</v>
      </c>
      <c r="O22" s="513" t="s">
        <v>256</v>
      </c>
    </row>
    <row r="23" spans="2:18" ht="15" x14ac:dyDescent="0.25">
      <c r="G23" s="32" t="s">
        <v>257</v>
      </c>
      <c r="H23" s="556"/>
      <c r="I23" s="541"/>
    </row>
    <row r="24" spans="2:18" x14ac:dyDescent="0.2">
      <c r="H24" s="537" t="s">
        <v>258</v>
      </c>
      <c r="N24" s="197" t="e">
        <f>E13*(1+H22)</f>
        <v>#N/A</v>
      </c>
    </row>
    <row r="25" spans="2:18" ht="15" x14ac:dyDescent="0.2">
      <c r="H25" s="555" t="s">
        <v>259</v>
      </c>
      <c r="N25" s="198"/>
    </row>
    <row r="26" spans="2:18" x14ac:dyDescent="0.2">
      <c r="H26" s="532"/>
    </row>
    <row r="27" spans="2:18" s="207" customFormat="1" outlineLevel="1" x14ac:dyDescent="0.2">
      <c r="D27" s="540" t="s">
        <v>260</v>
      </c>
      <c r="E27" s="540"/>
      <c r="F27" s="540"/>
      <c r="G27" s="540"/>
      <c r="H27" s="540" t="e">
        <f>MATCH(D21,'A.2. Performances_Bâtiment H2'!D83:D92,0)</f>
        <v>#N/A</v>
      </c>
      <c r="I27" s="540"/>
      <c r="J27" s="540"/>
      <c r="K27" s="540"/>
      <c r="L27" s="540"/>
      <c r="M27" s="540"/>
      <c r="N27" s="540" t="e">
        <f>MATCH(D21,'A.2. Performances_Bâtiment H2'!S83:S92,0)</f>
        <v>#N/A</v>
      </c>
    </row>
    <row r="28" spans="2:18" s="207" customFormat="1" outlineLevel="1" x14ac:dyDescent="0.2">
      <c r="D28" s="540"/>
      <c r="E28" s="540"/>
      <c r="F28" s="540"/>
      <c r="G28" s="540"/>
      <c r="H28" s="540">
        <f>MATCH(F21,'A.2. Performances_Bâtiment H2'!D83:M83,0)</f>
        <v>5</v>
      </c>
      <c r="I28" s="540"/>
      <c r="J28" s="540"/>
      <c r="K28" s="540"/>
      <c r="L28" s="540"/>
      <c r="M28" s="540"/>
      <c r="N28" s="540">
        <f>MATCH(F21,'A.2. Performances_Bâtiment H2'!S83:AB83,0)</f>
        <v>5</v>
      </c>
    </row>
    <row r="29" spans="2:18" ht="18" x14ac:dyDescent="0.25">
      <c r="B29" s="370" t="s">
        <v>261</v>
      </c>
      <c r="C29" s="31"/>
      <c r="D29" s="43" t="s">
        <v>262</v>
      </c>
    </row>
    <row r="30" spans="2:18" x14ac:dyDescent="0.2">
      <c r="B30" t="s">
        <v>237</v>
      </c>
      <c r="C30" s="31"/>
    </row>
    <row r="31" spans="2:18" x14ac:dyDescent="0.2">
      <c r="B31" t="s">
        <v>240</v>
      </c>
      <c r="C31" s="31"/>
      <c r="D31" t="s">
        <v>238</v>
      </c>
      <c r="E31" s="528">
        <f>IF(E34="",VLOOKUP(D38,'A.1. Conso_bâtiment_EF H2'!E102:AC123,2,0)*'A.1. Conso_bâtiment_EF H2'!#REF!,E34)</f>
        <v>15000</v>
      </c>
      <c r="F31" s="1149" t="s">
        <v>263</v>
      </c>
    </row>
    <row r="32" spans="2:18" x14ac:dyDescent="0.2">
      <c r="B32" t="s">
        <v>191</v>
      </c>
      <c r="C32" s="31"/>
      <c r="D32" t="s">
        <v>241</v>
      </c>
      <c r="E32" s="528" t="e">
        <f>IF(E35="",'A.1. Conso_bâtiment_EF H2'!#REF!,E35)</f>
        <v>#REF!</v>
      </c>
      <c r="F32" s="1149"/>
    </row>
    <row r="33" spans="2:15" x14ac:dyDescent="0.2">
      <c r="C33" s="31"/>
    </row>
    <row r="34" spans="2:15" x14ac:dyDescent="0.2">
      <c r="B34" s="370" t="s">
        <v>264</v>
      </c>
      <c r="D34" t="s">
        <v>232</v>
      </c>
      <c r="E34" s="530">
        <v>15000</v>
      </c>
      <c r="F34" s="536" t="s">
        <v>235</v>
      </c>
    </row>
    <row r="35" spans="2:15" x14ac:dyDescent="0.2">
      <c r="B35" t="s">
        <v>240</v>
      </c>
      <c r="C35" s="31"/>
      <c r="D35" t="s">
        <v>234</v>
      </c>
      <c r="E35" s="531"/>
      <c r="F35" s="536" t="s">
        <v>235</v>
      </c>
    </row>
    <row r="36" spans="2:15" x14ac:dyDescent="0.2">
      <c r="B36" t="s">
        <v>191</v>
      </c>
      <c r="C36" s="31"/>
    </row>
    <row r="37" spans="2:15" ht="15.75" thickBot="1" x14ac:dyDescent="0.3">
      <c r="B37" t="s">
        <v>187</v>
      </c>
      <c r="C37" s="31"/>
      <c r="D37" s="1" t="s">
        <v>247</v>
      </c>
      <c r="F37" s="1" t="s">
        <v>248</v>
      </c>
      <c r="H37" t="s">
        <v>249</v>
      </c>
      <c r="I37" s="434" t="s">
        <v>142</v>
      </c>
      <c r="J37" s="434"/>
      <c r="K37" t="s">
        <v>250</v>
      </c>
      <c r="L37" s="434" t="s">
        <v>142</v>
      </c>
      <c r="M37" s="434"/>
      <c r="N37" t="s">
        <v>251</v>
      </c>
      <c r="O37" s="312"/>
    </row>
    <row r="38" spans="2:15" ht="15.75" thickBot="1" x14ac:dyDescent="0.25">
      <c r="C38" s="31"/>
      <c r="D38" s="529" t="s">
        <v>240</v>
      </c>
      <c r="F38" s="529" t="s">
        <v>191</v>
      </c>
      <c r="H38" s="515" t="e">
        <f>IF(H41="",E31-(VLOOKUP(F38,'A.1. Conso_bâtiment_EF H2'!E102:AC123,3,0)+VLOOKUP(F38,'A.1. Conso_bâtiment_EF H2'!E102:AC123,4,0)*2.3)*E32,E31*H41)</f>
        <v>#VALUE!</v>
      </c>
      <c r="I38" s="516" t="s">
        <v>252</v>
      </c>
      <c r="J38" s="138"/>
      <c r="K38" s="515" t="e">
        <f>E31-H38</f>
        <v>#VALUE!</v>
      </c>
      <c r="L38" s="516" t="s">
        <v>253</v>
      </c>
      <c r="M38" s="138"/>
      <c r="N38" s="515" t="e">
        <f>IF(H41="",E31*'D.1. Facteur d''émissions'!C8*-'Clients 360 (2)'!N39,(E31*'D.1. Facteur d''émissions'!C8)-((VLOOKUP(F38,'A.1. Conso_bâtiment_EF H2'!E102:AC123,3,0)*'D.1. Facteur d''émissions'!C8)+VLOOKUP(F38,'A.1. Conso_bâtiment_EF H2'!E102:AC123,4,0)*'D.1. Facteur d''émissions'!C15*E32))</f>
        <v>#N/A</v>
      </c>
      <c r="O38" s="517" t="s">
        <v>254</v>
      </c>
    </row>
    <row r="39" spans="2:15" x14ac:dyDescent="0.2">
      <c r="H39" s="535" t="str" cm="1">
        <f t="array" ref="H39">IF(AND(E34="",E35="",H41=""),INDEX('A.2. Performances_Bâtiment H2'!D18:M27,'Clients 360 (2)'!H44,'Clients 360 (2)'!H45),"")</f>
        <v/>
      </c>
      <c r="I39" s="513" t="s">
        <v>256</v>
      </c>
      <c r="K39" s="198"/>
      <c r="N39" s="535" t="e" cm="1">
        <f t="array" ref="N39">INDEX('A.2. Performances_Bâtiment H2'!S18:AB27,'Clients 360 (2)'!N44,'Clients 360 (2)'!N45)</f>
        <v>#N/A</v>
      </c>
      <c r="O39" s="513" t="s">
        <v>256</v>
      </c>
    </row>
    <row r="40" spans="2:15" x14ac:dyDescent="0.2">
      <c r="H40" s="542" t="e">
        <f>IF(AND(H41="",H39=""),-H38/E31,"")</f>
        <v>#VALUE!</v>
      </c>
      <c r="I40" s="1150" t="s">
        <v>265</v>
      </c>
      <c r="K40" s="198"/>
      <c r="N40" s="535"/>
      <c r="O40" s="513"/>
    </row>
    <row r="41" spans="2:15" ht="15" x14ac:dyDescent="0.25">
      <c r="G41" s="32" t="s">
        <v>257</v>
      </c>
      <c r="H41" s="539"/>
      <c r="I41" s="1150"/>
    </row>
    <row r="42" spans="2:15" x14ac:dyDescent="0.2">
      <c r="H42" s="537" t="s">
        <v>258</v>
      </c>
    </row>
    <row r="43" spans="2:15" x14ac:dyDescent="0.2">
      <c r="N43" t="s">
        <v>266</v>
      </c>
    </row>
    <row r="44" spans="2:15" outlineLevel="1" x14ac:dyDescent="0.2">
      <c r="D44" s="540" t="s">
        <v>260</v>
      </c>
      <c r="E44" s="540"/>
      <c r="F44" s="540"/>
      <c r="G44" s="540"/>
      <c r="H44" s="540" t="e">
        <f>MATCH(D38,'A.2. Performances_Bâtiment H2'!D18:D27,0)</f>
        <v>#N/A</v>
      </c>
      <c r="I44" s="540"/>
      <c r="J44" s="540"/>
      <c r="K44" s="540"/>
      <c r="L44" s="540"/>
      <c r="M44" s="540"/>
      <c r="N44" s="540" t="e">
        <f>MATCH(D38,'A.2. Performances_Bâtiment H2'!S18:S27,0)</f>
        <v>#N/A</v>
      </c>
    </row>
    <row r="45" spans="2:15" outlineLevel="1" x14ac:dyDescent="0.2">
      <c r="D45" s="540"/>
      <c r="E45" s="540"/>
      <c r="F45" s="540"/>
      <c r="G45" s="540"/>
      <c r="H45" s="540">
        <f>MATCH(F38,'A.2. Performances_Bâtiment H2'!D18:M18,0)</f>
        <v>10</v>
      </c>
      <c r="I45" s="540"/>
      <c r="J45" s="540"/>
      <c r="K45" s="540"/>
      <c r="L45" s="540"/>
      <c r="M45" s="540"/>
      <c r="N45" s="540">
        <f>MATCH(F38,'A.2. Performances_Bâtiment H2'!S18:AB18,0)</f>
        <v>10</v>
      </c>
    </row>
    <row r="48" spans="2:15" ht="18" x14ac:dyDescent="0.25">
      <c r="B48" s="370" t="s">
        <v>267</v>
      </c>
      <c r="C48" s="31"/>
      <c r="D48" s="43" t="s">
        <v>268</v>
      </c>
    </row>
    <row r="49" spans="2:15" x14ac:dyDescent="0.2">
      <c r="B49" t="s">
        <v>237</v>
      </c>
      <c r="C49" s="31"/>
    </row>
    <row r="50" spans="2:15" x14ac:dyDescent="0.2">
      <c r="B50" t="s">
        <v>240</v>
      </c>
      <c r="C50" s="31"/>
      <c r="D50" t="s">
        <v>238</v>
      </c>
      <c r="E50" s="528" t="e">
        <f>IF(E53="",VLOOKUP(D57,'A.1. Conso_bâtiment_EF H2'!E102:AC123,6,0)*'A.1. Conso_bâtiment_EF H2'!#REF!,E53)</f>
        <v>#N/A</v>
      </c>
      <c r="F50" s="1149" t="s">
        <v>263</v>
      </c>
    </row>
    <row r="51" spans="2:15" ht="18.75" x14ac:dyDescent="0.2">
      <c r="B51" s="512"/>
      <c r="C51" s="31"/>
      <c r="D51" t="s">
        <v>241</v>
      </c>
      <c r="E51" s="528" t="e">
        <f>IF(E54="",'A.1. Conso_bâtiment_EF H2'!#REF!,E54)</f>
        <v>#REF!</v>
      </c>
      <c r="F51" s="1149"/>
    </row>
    <row r="52" spans="2:15" x14ac:dyDescent="0.2">
      <c r="B52" s="370" t="s">
        <v>269</v>
      </c>
      <c r="C52" s="31"/>
    </row>
    <row r="53" spans="2:15" x14ac:dyDescent="0.2">
      <c r="B53" t="s">
        <v>237</v>
      </c>
      <c r="C53" s="31"/>
      <c r="D53" t="s">
        <v>232</v>
      </c>
      <c r="E53" s="530"/>
      <c r="F53" s="536" t="s">
        <v>235</v>
      </c>
    </row>
    <row r="54" spans="2:15" x14ac:dyDescent="0.2">
      <c r="B54" t="s">
        <v>240</v>
      </c>
      <c r="C54" s="31"/>
      <c r="D54" t="s">
        <v>234</v>
      </c>
      <c r="E54" s="531"/>
      <c r="F54" s="536" t="s">
        <v>235</v>
      </c>
    </row>
    <row r="55" spans="2:15" ht="18.75" x14ac:dyDescent="0.2">
      <c r="B55" s="512"/>
      <c r="C55" s="31"/>
    </row>
    <row r="56" spans="2:15" ht="19.5" thickBot="1" x14ac:dyDescent="0.3">
      <c r="B56" s="512"/>
      <c r="C56" s="31"/>
      <c r="D56" s="1" t="s">
        <v>270</v>
      </c>
      <c r="F56" s="1" t="s">
        <v>271</v>
      </c>
      <c r="H56" t="s">
        <v>249</v>
      </c>
      <c r="I56" s="434" t="s">
        <v>142</v>
      </c>
      <c r="J56" s="434"/>
      <c r="K56" t="s">
        <v>250</v>
      </c>
      <c r="L56" s="434" t="s">
        <v>142</v>
      </c>
      <c r="M56" s="434"/>
      <c r="N56" t="s">
        <v>251</v>
      </c>
      <c r="O56" s="312"/>
    </row>
    <row r="57" spans="2:15" ht="19.5" thickBot="1" x14ac:dyDescent="0.25">
      <c r="B57" s="512"/>
      <c r="C57" s="31"/>
      <c r="D57" s="529" t="s">
        <v>237</v>
      </c>
      <c r="F57" s="529" t="s">
        <v>240</v>
      </c>
      <c r="H57" s="515" t="e">
        <f>IF(H60="",E50-(VLOOKUP(F57,'A.1. Conso_bâtiment_EF H2'!E102:AC123,7,0)+VLOOKUP(F57,'A.1. Conso_bâtiment_EF H2'!E102:AC123,8,0)*2.3)*E51,E50*-H60)</f>
        <v>#N/A</v>
      </c>
      <c r="I57" s="516" t="s">
        <v>252</v>
      </c>
      <c r="J57" s="138"/>
      <c r="K57" s="515" t="e">
        <f>E50-H57</f>
        <v>#N/A</v>
      </c>
      <c r="L57" s="516" t="s">
        <v>253</v>
      </c>
      <c r="M57" s="138"/>
      <c r="N57" s="515" t="e">
        <f>IF(H60="",E50*'D.1. Facteur d''émissions'!C8*-'Clients 360 (2)'!N58,(E50*'D.1. Facteur d''émissions'!C8)-((VLOOKUP(F57,'A.1. Conso_bâtiment_EF H2'!E102:AC123,7,0)*'D.1. Facteur d''émissions'!C8)+VLOOKUP(F57,'A.1. Conso_bâtiment_EF H2'!E102:AC123,8,0)*'D.1. Facteur d''émissions'!C15*E51))</f>
        <v>#N/A</v>
      </c>
      <c r="O57" s="517" t="s">
        <v>254</v>
      </c>
    </row>
    <row r="58" spans="2:15" ht="18.75" x14ac:dyDescent="0.2">
      <c r="B58" s="512"/>
      <c r="H58" s="535" t="e" cm="1">
        <f t="array" ref="H58">IF(AND(E53="",E54="",H60=""),INDEX('A.2. Performances_Bâtiment H2'!D46:M55,'Clients 360 (2)'!H63,'Clients 360 (2)'!H64),"")</f>
        <v>#N/A</v>
      </c>
      <c r="I58" s="513" t="s">
        <v>256</v>
      </c>
      <c r="K58" s="198"/>
      <c r="N58" s="535" t="e" cm="1">
        <f t="array" ref="N58">INDEX('A.2. Performances_Bâtiment H2'!S46:AB55,'Clients 360 (2)'!N63,'Clients 360 (2)'!N64)</f>
        <v>#N/A</v>
      </c>
      <c r="O58" s="513" t="s">
        <v>256</v>
      </c>
    </row>
    <row r="59" spans="2:15" ht="18.75" x14ac:dyDescent="0.2">
      <c r="B59" s="512"/>
      <c r="H59" s="542" t="e">
        <f>IF(AND(H60="",H58=""),-H57/E50,"")</f>
        <v>#N/A</v>
      </c>
      <c r="I59" s="1150" t="s">
        <v>265</v>
      </c>
      <c r="K59" s="198"/>
      <c r="N59" s="535"/>
      <c r="O59" s="513"/>
    </row>
    <row r="60" spans="2:15" ht="18.75" x14ac:dyDescent="0.25">
      <c r="B60" s="512"/>
      <c r="G60" s="32" t="s">
        <v>257</v>
      </c>
      <c r="H60" s="539"/>
      <c r="I60" s="1150"/>
    </row>
    <row r="61" spans="2:15" ht="18.75" x14ac:dyDescent="0.2">
      <c r="B61" s="512"/>
      <c r="H61" s="537" t="s">
        <v>258</v>
      </c>
    </row>
    <row r="62" spans="2:15" ht="18.75" x14ac:dyDescent="0.2">
      <c r="B62" s="512"/>
      <c r="N62" t="s">
        <v>266</v>
      </c>
    </row>
    <row r="63" spans="2:15" ht="18.75" outlineLevel="1" x14ac:dyDescent="0.2">
      <c r="B63" s="512"/>
      <c r="D63" s="540" t="s">
        <v>260</v>
      </c>
      <c r="E63" s="540"/>
      <c r="F63" s="540"/>
      <c r="G63" s="540"/>
      <c r="H63" s="540" t="e">
        <f>MATCH(D57,'A.2. Performances_Bâtiment H2'!D46:D55,0)</f>
        <v>#N/A</v>
      </c>
      <c r="I63" s="540"/>
      <c r="J63" s="540"/>
      <c r="K63" s="540"/>
      <c r="L63" s="540"/>
      <c r="M63" s="540"/>
      <c r="N63" s="540" t="e">
        <f>MATCH(D57,'A.2. Performances_Bâtiment H2'!S46:S55,0)</f>
        <v>#N/A</v>
      </c>
    </row>
    <row r="64" spans="2:15" ht="18.75" outlineLevel="1" x14ac:dyDescent="0.2">
      <c r="B64" s="512"/>
      <c r="D64" s="540"/>
      <c r="E64" s="540"/>
      <c r="F64" s="540"/>
      <c r="G64" s="540"/>
      <c r="H64" s="540" t="e">
        <f>MATCH(F57,'A.2. Performances_Bâtiment H2'!D46:M46,0)</f>
        <v>#N/A</v>
      </c>
      <c r="I64" s="540"/>
      <c r="J64" s="540"/>
      <c r="K64" s="540"/>
      <c r="L64" s="540"/>
      <c r="M64" s="540"/>
      <c r="N64" s="540" t="e">
        <f>MATCH(F57,'A.2. Performances_Bâtiment H2'!S46:AB46,0)</f>
        <v>#N/A</v>
      </c>
    </row>
    <row r="65" spans="2:15" ht="18.75" x14ac:dyDescent="0.2">
      <c r="B65" s="512"/>
    </row>
    <row r="66" spans="2:15" ht="18" x14ac:dyDescent="0.25">
      <c r="B66" s="370" t="s">
        <v>272</v>
      </c>
      <c r="C66" s="31"/>
      <c r="D66" s="43" t="s">
        <v>273</v>
      </c>
    </row>
    <row r="67" spans="2:15" x14ac:dyDescent="0.2">
      <c r="B67" t="s">
        <v>237</v>
      </c>
      <c r="C67" s="31"/>
    </row>
    <row r="68" spans="2:15" x14ac:dyDescent="0.2">
      <c r="B68" t="s">
        <v>240</v>
      </c>
      <c r="C68" s="31"/>
      <c r="D68" t="s">
        <v>238</v>
      </c>
      <c r="E68" s="528" t="e">
        <f>IF(E71="",VLOOKUP(D75,'A.1. Conso_bâtiment_EF H2'!E102:AC123,10,0)*'A.1. Conso_bâtiment_EF H2'!#REF!,E71)</f>
        <v>#N/A</v>
      </c>
      <c r="F68" s="1149" t="s">
        <v>263</v>
      </c>
    </row>
    <row r="69" spans="2:15" x14ac:dyDescent="0.2">
      <c r="B69" t="s">
        <v>191</v>
      </c>
      <c r="C69" s="31"/>
      <c r="D69" t="s">
        <v>241</v>
      </c>
      <c r="E69" s="528" t="e">
        <f>IF(E72="",'A.1. Conso_bâtiment_EF H2'!#REF!,E72)</f>
        <v>#REF!</v>
      </c>
      <c r="F69" s="1149"/>
    </row>
    <row r="70" spans="2:15" x14ac:dyDescent="0.2">
      <c r="B70" t="s">
        <v>189</v>
      </c>
      <c r="C70" s="31"/>
    </row>
    <row r="71" spans="2:15" x14ac:dyDescent="0.2">
      <c r="C71" s="31"/>
      <c r="D71" t="s">
        <v>232</v>
      </c>
      <c r="E71" s="530"/>
      <c r="F71" s="536" t="s">
        <v>235</v>
      </c>
    </row>
    <row r="72" spans="2:15" x14ac:dyDescent="0.2">
      <c r="B72" s="370" t="s">
        <v>274</v>
      </c>
      <c r="C72" s="31"/>
      <c r="D72" t="s">
        <v>234</v>
      </c>
      <c r="E72" s="531"/>
      <c r="F72" s="536" t="s">
        <v>235</v>
      </c>
    </row>
    <row r="73" spans="2:15" x14ac:dyDescent="0.2">
      <c r="B73" t="s">
        <v>240</v>
      </c>
      <c r="C73" s="31"/>
    </row>
    <row r="74" spans="2:15" ht="15.75" thickBot="1" x14ac:dyDescent="0.3">
      <c r="B74" t="s">
        <v>191</v>
      </c>
      <c r="C74" s="31"/>
      <c r="D74" s="1" t="s">
        <v>270</v>
      </c>
      <c r="F74" s="1" t="s">
        <v>271</v>
      </c>
      <c r="H74" t="s">
        <v>249</v>
      </c>
      <c r="I74" s="434" t="s">
        <v>142</v>
      </c>
      <c r="J74" s="434"/>
      <c r="K74" t="s">
        <v>250</v>
      </c>
      <c r="L74" s="434" t="s">
        <v>142</v>
      </c>
      <c r="M74" s="434"/>
      <c r="N74" t="s">
        <v>251</v>
      </c>
      <c r="O74" s="312"/>
    </row>
    <row r="75" spans="2:15" ht="15.75" thickBot="1" x14ac:dyDescent="0.25">
      <c r="B75" t="s">
        <v>189</v>
      </c>
      <c r="C75" s="31"/>
      <c r="D75" s="529" t="s">
        <v>240</v>
      </c>
      <c r="F75" s="529" t="s">
        <v>187</v>
      </c>
      <c r="H75" s="515" t="e">
        <f>IF(H78="",E68-(VLOOKUP(F75,'A.1. Conso_bâtiment_EF H2'!E102:AC123,11,0)+VLOOKUP(F75,'A.1. Conso_bâtiment_EF H2'!E102:AC123,12,0)*2.3)*E69,E68*-H78)</f>
        <v>#N/A</v>
      </c>
      <c r="I75" s="516" t="s">
        <v>252</v>
      </c>
      <c r="J75" s="138"/>
      <c r="K75" s="515" t="e">
        <f>E68-H75</f>
        <v>#N/A</v>
      </c>
      <c r="L75" s="516" t="s">
        <v>253</v>
      </c>
      <c r="M75" s="138"/>
      <c r="N75" s="515" t="e">
        <f>IF(H78="",E68*'D.1. Facteur d''émissions'!C8*-'Clients 360 (2)'!N76,(E68*'D.1. Facteur d''émissions'!C8)-((VLOOKUP(F75,'A.1. Conso_bâtiment_EF H2'!E102:AC123,11,0)*'D.1. Facteur d''émissions'!C8)+VLOOKUP(F75,'A.1. Conso_bâtiment_EF H2'!E102:AC123,12,0)*'D.1. Facteur d''émissions'!C15*E69))</f>
        <v>#N/A</v>
      </c>
      <c r="O75" s="517" t="s">
        <v>254</v>
      </c>
    </row>
    <row r="76" spans="2:15" x14ac:dyDescent="0.2">
      <c r="B76" t="s">
        <v>187</v>
      </c>
      <c r="H76" s="543" t="e" cm="1">
        <f t="array" ref="H76">IF(AND(E71="",E72="",H78=""),INDEX('A.2. Performances_Bâtiment H2'!D65:M74,'Clients 360 (2)'!H82,'Clients 360 (2)'!H83),"")</f>
        <v>#N/A</v>
      </c>
      <c r="I76" s="513" t="s">
        <v>256</v>
      </c>
      <c r="K76" s="198"/>
      <c r="N76" s="535" t="e" cm="1">
        <f t="array" ref="N76">INDEX('A.2. Performances_Bâtiment H2'!S65:AB74,'Clients 360 (2)'!N82,'Clients 360 (2)'!N83)</f>
        <v>#N/A</v>
      </c>
      <c r="O76" s="513" t="s">
        <v>256</v>
      </c>
    </row>
    <row r="77" spans="2:15" x14ac:dyDescent="0.2">
      <c r="H77" s="542" t="e">
        <f>IF(AND(H78="",H76=""),-H75/E68,"")</f>
        <v>#N/A</v>
      </c>
      <c r="I77" s="1150" t="s">
        <v>265</v>
      </c>
      <c r="K77" s="198"/>
      <c r="N77" s="535"/>
      <c r="O77" s="513"/>
    </row>
    <row r="78" spans="2:15" ht="15" x14ac:dyDescent="0.25">
      <c r="G78" s="32" t="s">
        <v>257</v>
      </c>
      <c r="H78" s="539"/>
      <c r="I78" s="1150"/>
    </row>
    <row r="79" spans="2:15" x14ac:dyDescent="0.2">
      <c r="H79" s="537" t="s">
        <v>258</v>
      </c>
    </row>
    <row r="82" spans="4:14" outlineLevel="1" x14ac:dyDescent="0.2">
      <c r="D82" s="540" t="s">
        <v>260</v>
      </c>
      <c r="E82" s="540"/>
      <c r="F82" s="540"/>
      <c r="G82" s="540"/>
      <c r="H82" s="540" t="e">
        <f>MATCH(D75,'A.2. Performances_Bâtiment H2'!D65:D74,0)</f>
        <v>#N/A</v>
      </c>
      <c r="I82" s="540"/>
      <c r="J82" s="540"/>
      <c r="K82" s="540"/>
      <c r="L82" s="540"/>
      <c r="M82" s="540"/>
      <c r="N82" s="540" t="e">
        <f>MATCH(D75,'A.2. Performances_Bâtiment H2'!S65:S74,0)</f>
        <v>#N/A</v>
      </c>
    </row>
    <row r="83" spans="4:14" outlineLevel="1" x14ac:dyDescent="0.2">
      <c r="D83" s="540"/>
      <c r="E83" s="540"/>
      <c r="F83" s="540"/>
      <c r="G83" s="540"/>
      <c r="H83" s="540">
        <f>MATCH(F75,'A.2. Performances_Bâtiment H2'!D65:M65,0)</f>
        <v>5</v>
      </c>
      <c r="I83" s="540"/>
      <c r="J83" s="540"/>
      <c r="K83" s="540"/>
      <c r="L83" s="540"/>
      <c r="M83" s="540"/>
      <c r="N83" s="540">
        <f>MATCH(F75,'A.2. Performances_Bâtiment H2'!S65:AB65,0)</f>
        <v>5</v>
      </c>
    </row>
  </sheetData>
  <mergeCells count="8">
    <mergeCell ref="F68:F69"/>
    <mergeCell ref="I77:I78"/>
    <mergeCell ref="K9:N9"/>
    <mergeCell ref="F13:F14"/>
    <mergeCell ref="F31:F32"/>
    <mergeCell ref="I40:I41"/>
    <mergeCell ref="F50:F51"/>
    <mergeCell ref="I59:I60"/>
  </mergeCells>
  <dataValidations count="8">
    <dataValidation type="list" allowBlank="1" showInputMessage="1" showErrorMessage="1" sqref="F21" xr:uid="{972F908A-0F6B-4DA8-85BB-420A1C2FB0B7}">
      <formula1>$B$20:$B$22</formula1>
    </dataValidation>
    <dataValidation type="list" allowBlank="1" showInputMessage="1" showErrorMessage="1" sqref="F57" xr:uid="{0C28FB76-AD39-4FEB-A4AC-7586BE6C1125}">
      <formula1>$B$53:$B$54</formula1>
    </dataValidation>
    <dataValidation type="list" allowBlank="1" showInputMessage="1" showErrorMessage="1" sqref="D57" xr:uid="{FCE271D0-D6BE-4013-B5AB-BA555D049A17}">
      <formula1>$B$49:$B$50</formula1>
    </dataValidation>
    <dataValidation type="list" allowBlank="1" showInputMessage="1" showErrorMessage="1" sqref="F38" xr:uid="{A28A0516-8D2D-4F82-9E62-9ED6FBC5321F}">
      <formula1>$B$35:$B$37</formula1>
    </dataValidation>
    <dataValidation type="list" allowBlank="1" showInputMessage="1" showErrorMessage="1" sqref="D38" xr:uid="{03C861BE-CEAD-4A77-ACA6-6848BF1513E8}">
      <formula1>$B$30:$B$32</formula1>
    </dataValidation>
    <dataValidation type="list" allowBlank="1" showInputMessage="1" showErrorMessage="1" sqref="F75" xr:uid="{F3B4D04C-4951-4785-AD64-0A589515B6B4}">
      <formula1>$B$73:$B$76</formula1>
    </dataValidation>
    <dataValidation type="list" allowBlank="1" showInputMessage="1" showErrorMessage="1" sqref="D75" xr:uid="{A3521B1E-FB7D-4777-BC92-C0473F53F5B8}">
      <formula1>$B$67:$B$70</formula1>
    </dataValidation>
    <dataValidation type="list" allowBlank="1" showInputMessage="1" showErrorMessage="1" sqref="D21" xr:uid="{9A1E3163-2C34-443D-AB75-7DFBE8AA69B3}">
      <formula1>$B$13:$B$16</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3E466-ACB7-4797-B1A2-52E6DC332D56}">
  <sheetPr>
    <tabColor theme="5" tint="0.79998168889431442"/>
  </sheetPr>
  <dimension ref="B2:AO137"/>
  <sheetViews>
    <sheetView showGridLines="0" topLeftCell="A109" zoomScale="85" zoomScaleNormal="85" workbookViewId="0">
      <pane xSplit="5" topLeftCell="I1" activePane="topRight" state="frozen"/>
      <selection activeCell="B13" sqref="B13"/>
      <selection pane="topRight" activeCell="P133" sqref="P133"/>
    </sheetView>
  </sheetViews>
  <sheetFormatPr baseColWidth="10" defaultColWidth="11" defaultRowHeight="14.25" outlineLevelRow="1" outlineLevelCol="1" x14ac:dyDescent="0.2"/>
  <cols>
    <col min="1" max="3" width="10.625" customWidth="1"/>
    <col min="5" max="5" width="62.5" customWidth="1"/>
    <col min="6" max="8" width="19.25" hidden="1" customWidth="1" outlineLevel="1"/>
    <col min="9" max="9" width="17.75" customWidth="1" collapsed="1"/>
    <col min="10" max="30" width="17.75" customWidth="1"/>
    <col min="31" max="31" width="10.625" customWidth="1"/>
    <col min="32" max="32" width="13.875" customWidth="1"/>
    <col min="33" max="34" width="10.625" customWidth="1"/>
    <col min="35" max="35" width="12" customWidth="1"/>
    <col min="36" max="36" width="12.875" customWidth="1"/>
    <col min="39" max="39" width="11.875" customWidth="1"/>
    <col min="40" max="40" width="1.375" customWidth="1"/>
  </cols>
  <sheetData>
    <row r="2" spans="5:25" x14ac:dyDescent="0.2">
      <c r="E2" s="138"/>
      <c r="F2" s="138"/>
      <c r="G2" s="138"/>
      <c r="H2" s="138"/>
    </row>
    <row r="3" spans="5:25" ht="20.25" x14ac:dyDescent="0.3">
      <c r="E3" s="274" t="s">
        <v>160</v>
      </c>
      <c r="F3" s="274"/>
      <c r="G3" s="274"/>
      <c r="H3" s="274"/>
    </row>
    <row r="5" spans="5:25" ht="15" x14ac:dyDescent="0.25">
      <c r="T5" s="27"/>
      <c r="X5" s="27"/>
    </row>
    <row r="6" spans="5:25" x14ac:dyDescent="0.2">
      <c r="T6" s="693"/>
      <c r="U6" s="693"/>
      <c r="V6" s="693"/>
      <c r="W6" s="693"/>
      <c r="X6" s="693"/>
      <c r="Y6" s="693"/>
    </row>
    <row r="7" spans="5:25" x14ac:dyDescent="0.2">
      <c r="T7" s="694"/>
      <c r="U7" s="695"/>
      <c r="V7" s="695"/>
      <c r="W7" s="695"/>
      <c r="X7" s="694"/>
      <c r="Y7" s="695"/>
    </row>
    <row r="8" spans="5:25" ht="18" x14ac:dyDescent="0.25">
      <c r="I8" s="43" t="s">
        <v>161</v>
      </c>
      <c r="J8" s="43"/>
      <c r="K8" s="43"/>
      <c r="L8" s="43"/>
      <c r="M8" s="43"/>
      <c r="N8" s="43"/>
      <c r="T8" s="694"/>
      <c r="U8" s="695"/>
      <c r="V8" s="695"/>
      <c r="W8" s="695"/>
      <c r="X8" s="694"/>
      <c r="Y8" s="695"/>
    </row>
    <row r="9" spans="5:25" ht="18" x14ac:dyDescent="0.25">
      <c r="I9" s="43"/>
      <c r="J9" s="43"/>
      <c r="K9" s="43"/>
      <c r="L9" s="43"/>
      <c r="M9" s="43"/>
      <c r="N9" s="43"/>
      <c r="T9" s="696"/>
      <c r="U9" s="697"/>
      <c r="V9" s="695"/>
      <c r="W9" s="695"/>
      <c r="X9" s="696"/>
      <c r="Y9" s="697"/>
    </row>
    <row r="10" spans="5:25" ht="18.75" thickBot="1" x14ac:dyDescent="0.3">
      <c r="I10" s="43"/>
      <c r="J10" s="43"/>
      <c r="K10" s="43"/>
      <c r="L10" s="43"/>
      <c r="M10" s="43"/>
      <c r="N10" s="43"/>
      <c r="T10" s="694"/>
      <c r="U10" s="695"/>
      <c r="V10" s="695"/>
      <c r="W10" s="695"/>
      <c r="X10" s="694"/>
      <c r="Y10" s="695"/>
    </row>
    <row r="11" spans="5:25" ht="47.25" x14ac:dyDescent="0.2">
      <c r="I11" s="99"/>
      <c r="J11" s="100" t="s">
        <v>162</v>
      </c>
      <c r="K11" s="100" t="s">
        <v>163</v>
      </c>
      <c r="L11" s="100" t="s">
        <v>164</v>
      </c>
      <c r="M11" s="101" t="s">
        <v>165</v>
      </c>
      <c r="N11" s="738"/>
      <c r="T11" s="694"/>
      <c r="U11" s="695"/>
      <c r="V11" s="695"/>
      <c r="W11" s="695"/>
      <c r="X11" s="694"/>
      <c r="Y11" s="695"/>
    </row>
    <row r="12" spans="5:25" ht="18.75" thickBot="1" x14ac:dyDescent="0.25">
      <c r="I12" s="744" t="s">
        <v>166</v>
      </c>
      <c r="J12" s="125">
        <v>122</v>
      </c>
      <c r="K12" s="845"/>
      <c r="L12" s="125">
        <v>74</v>
      </c>
      <c r="M12" s="126">
        <f>M13</f>
        <v>995</v>
      </c>
      <c r="N12" s="153"/>
      <c r="T12" s="696"/>
      <c r="U12" s="697"/>
      <c r="V12" s="695"/>
      <c r="W12" s="695"/>
      <c r="X12" s="696"/>
      <c r="Y12" s="697"/>
    </row>
    <row r="13" spans="5:25" ht="18.75" thickBot="1" x14ac:dyDescent="0.25">
      <c r="I13" s="102" t="s">
        <v>167</v>
      </c>
      <c r="J13" s="125">
        <v>111</v>
      </c>
      <c r="K13" s="125">
        <v>71</v>
      </c>
      <c r="L13" s="125">
        <v>66</v>
      </c>
      <c r="M13" s="126">
        <v>995</v>
      </c>
      <c r="N13" s="153"/>
      <c r="T13" s="694"/>
      <c r="U13" s="695"/>
      <c r="V13" s="695"/>
      <c r="W13" s="695"/>
      <c r="X13" s="694"/>
      <c r="Y13" s="695"/>
    </row>
    <row r="14" spans="5:25" x14ac:dyDescent="0.2">
      <c r="T14" s="694"/>
      <c r="U14" s="695"/>
      <c r="V14" s="695"/>
      <c r="W14" s="695"/>
      <c r="X14" s="694"/>
      <c r="Y14" s="695"/>
    </row>
    <row r="15" spans="5:25" x14ac:dyDescent="0.2">
      <c r="T15" s="696"/>
      <c r="U15" s="697"/>
      <c r="V15" s="695"/>
      <c r="W15" s="695"/>
      <c r="X15" s="696"/>
      <c r="Y15" s="697"/>
    </row>
    <row r="17" spans="2:41" x14ac:dyDescent="0.2">
      <c r="C17" s="1072" t="s">
        <v>128</v>
      </c>
      <c r="D17" s="1072" t="s">
        <v>3771</v>
      </c>
    </row>
    <row r="18" spans="2:41" ht="15" x14ac:dyDescent="0.25">
      <c r="B18" t="s">
        <v>3783</v>
      </c>
      <c r="C18" s="375">
        <f>K122*J13*'D.1. Facteur d''émissions'!C15</f>
        <v>230.10699600000004</v>
      </c>
      <c r="D18" s="1072"/>
    </row>
    <row r="19" spans="2:41" ht="15" x14ac:dyDescent="0.25">
      <c r="B19" t="s">
        <v>3748</v>
      </c>
      <c r="C19" s="375">
        <f>K123*J13*'D.1. Facteur d''émissions'!C15</f>
        <v>478.79406</v>
      </c>
      <c r="D19" s="375">
        <f>Q123*K13*'D.1. Facteur d''émissions'!C15</f>
        <v>269.23072200000007</v>
      </c>
      <c r="O19" s="593"/>
    </row>
    <row r="20" spans="2:41" ht="15" x14ac:dyDescent="0.25">
      <c r="B20" t="s">
        <v>938</v>
      </c>
      <c r="C20" s="375">
        <f>(J106*J13*'D.1. Facteur d''émissions'!C8)</f>
        <v>2821.1999760000003</v>
      </c>
      <c r="D20" s="375">
        <f>(P106*K13*'D.1. Facteur d''émissions'!C11)</f>
        <v>325.16479890000005</v>
      </c>
      <c r="O20" s="593"/>
    </row>
    <row r="21" spans="2:41" ht="15" x14ac:dyDescent="0.25">
      <c r="B21" t="s">
        <v>3749</v>
      </c>
      <c r="C21" s="375">
        <f>(J107*J13*'D.1. Facteur d''émissions'!C8)+(K107*J13*'D.1. Facteur d''émissions'!C15)</f>
        <v>983.09159099999999</v>
      </c>
      <c r="D21" s="375">
        <f>(P108*K13*'D.1. Facteur d''émissions'!C8)+(Q108*K13*'D.1. Facteur d''émissions'!C15)</f>
        <v>1451.5332300000002</v>
      </c>
    </row>
    <row r="22" spans="2:41" x14ac:dyDescent="0.2">
      <c r="B22" t="s">
        <v>3769</v>
      </c>
      <c r="C22" s="1071">
        <f>(C20-C19)/1000</f>
        <v>2.3424059160000001</v>
      </c>
      <c r="D22" s="1071">
        <f>(D20-D19)/1000</f>
        <v>5.5934076899999977E-2</v>
      </c>
      <c r="O22" s="1047"/>
      <c r="P22" s="1047"/>
    </row>
    <row r="23" spans="2:41" x14ac:dyDescent="0.2">
      <c r="B23" t="s">
        <v>3770</v>
      </c>
      <c r="C23" s="1071">
        <f>(C21-C19)/1000</f>
        <v>0.50429753099999997</v>
      </c>
      <c r="D23" s="1071">
        <f>(D21-D19)/1000</f>
        <v>1.1823025080000003</v>
      </c>
    </row>
    <row r="24" spans="2:41" x14ac:dyDescent="0.2">
      <c r="B24" t="s">
        <v>3782</v>
      </c>
      <c r="C24" s="1071">
        <f>(C20-C18)/1000</f>
        <v>2.5910929800000004</v>
      </c>
    </row>
    <row r="26" spans="2:41" ht="54" x14ac:dyDescent="0.25">
      <c r="B26" s="59"/>
      <c r="E26" s="97" t="s">
        <v>168</v>
      </c>
      <c r="F26" s="97"/>
      <c r="G26" s="97"/>
      <c r="H26" s="97"/>
      <c r="I26" s="43"/>
      <c r="J26" s="43"/>
      <c r="K26" s="43"/>
      <c r="L26" s="43"/>
      <c r="M26" s="43"/>
      <c r="N26" s="43"/>
      <c r="AM26" s="49"/>
    </row>
    <row r="27" spans="2:41" ht="18" x14ac:dyDescent="0.25">
      <c r="B27" s="59"/>
      <c r="E27" s="43"/>
      <c r="F27" s="43"/>
      <c r="G27" s="43"/>
      <c r="H27" s="43"/>
      <c r="I27" s="43"/>
      <c r="J27" s="43"/>
      <c r="K27" s="43"/>
      <c r="L27" s="43"/>
      <c r="M27" s="43"/>
      <c r="N27" s="43"/>
      <c r="AM27" s="49"/>
    </row>
    <row r="28" spans="2:41" ht="23.25" x14ac:dyDescent="0.35">
      <c r="B28" s="59"/>
      <c r="E28" s="206" t="s">
        <v>169</v>
      </c>
      <c r="F28" s="206"/>
      <c r="G28" s="206"/>
      <c r="H28" s="206"/>
      <c r="I28" s="43"/>
      <c r="J28" s="43"/>
      <c r="K28" s="43"/>
      <c r="L28" s="43"/>
      <c r="M28" s="43"/>
      <c r="N28" s="43"/>
      <c r="AM28" s="49"/>
    </row>
    <row r="29" spans="2:41" ht="18" x14ac:dyDescent="0.25">
      <c r="B29" s="59"/>
      <c r="E29" s="43"/>
      <c r="F29" s="43"/>
      <c r="G29" s="43"/>
      <c r="H29" s="43"/>
      <c r="I29" s="43"/>
      <c r="J29" s="43"/>
      <c r="K29" s="43"/>
      <c r="L29" s="43"/>
      <c r="M29" s="43"/>
      <c r="N29" s="43"/>
      <c r="AM29" s="49"/>
    </row>
    <row r="30" spans="2:41" ht="20.25" x14ac:dyDescent="0.2">
      <c r="I30" s="1141" t="s">
        <v>162</v>
      </c>
      <c r="J30" s="1141"/>
      <c r="K30" s="1141"/>
      <c r="L30" s="1141"/>
      <c r="M30" s="1141"/>
      <c r="N30" s="1042"/>
      <c r="O30" s="1141" t="s">
        <v>163</v>
      </c>
      <c r="P30" s="1141"/>
      <c r="Q30" s="1141"/>
      <c r="R30" s="1141"/>
      <c r="S30" s="1042"/>
      <c r="T30" s="1141" t="s">
        <v>170</v>
      </c>
      <c r="U30" s="1141"/>
      <c r="V30" s="1141"/>
      <c r="W30" s="1141"/>
      <c r="X30" s="1141"/>
      <c r="Y30" s="1141" t="s">
        <v>165</v>
      </c>
      <c r="Z30" s="1141"/>
      <c r="AA30" s="1141"/>
      <c r="AB30" s="1141"/>
      <c r="AC30" s="1141"/>
    </row>
    <row r="31" spans="2:41" ht="15.75" x14ac:dyDescent="0.25">
      <c r="E31" s="96"/>
      <c r="F31" s="96"/>
      <c r="G31" s="96"/>
      <c r="H31" s="96"/>
      <c r="I31" s="96"/>
      <c r="J31" s="1142" t="s">
        <v>171</v>
      </c>
      <c r="K31" s="1142"/>
      <c r="L31" s="1142"/>
      <c r="M31" s="1142"/>
      <c r="N31" s="1043"/>
      <c r="O31" s="18"/>
      <c r="P31" s="1142" t="s">
        <v>171</v>
      </c>
      <c r="Q31" s="1142"/>
      <c r="R31" s="1142"/>
      <c r="S31" s="1043"/>
      <c r="T31" s="18"/>
      <c r="U31" s="1142" t="s">
        <v>171</v>
      </c>
      <c r="V31" s="1142"/>
      <c r="W31" s="1142"/>
      <c r="X31" s="1142"/>
      <c r="Y31" s="18"/>
      <c r="Z31" s="1142" t="s">
        <v>171</v>
      </c>
      <c r="AA31" s="1142"/>
      <c r="AB31" s="1142"/>
      <c r="AC31" s="1142"/>
      <c r="AD31" s="1"/>
      <c r="AE31" s="1"/>
      <c r="AF31" s="1"/>
      <c r="AG31" s="1"/>
      <c r="AH31" s="1"/>
      <c r="AI31" s="1"/>
      <c r="AJ31" s="1"/>
      <c r="AK31" s="1"/>
      <c r="AL31" s="1"/>
      <c r="AM31" s="1"/>
      <c r="AN31" s="1"/>
      <c r="AO31" s="1"/>
    </row>
    <row r="32" spans="2:41" ht="15.75" x14ac:dyDescent="0.25">
      <c r="E32" s="96"/>
      <c r="F32" s="96"/>
      <c r="G32" s="96"/>
      <c r="H32" s="96"/>
      <c r="I32" s="96"/>
      <c r="J32" s="96"/>
      <c r="K32" s="96"/>
      <c r="L32" s="96"/>
      <c r="M32" s="96"/>
      <c r="N32" s="96"/>
      <c r="AM32" s="98"/>
    </row>
    <row r="33" spans="2:41" s="11" customFormat="1" ht="68.45" customHeight="1" x14ac:dyDescent="0.8">
      <c r="B33" s="987" t="s">
        <v>153</v>
      </c>
      <c r="E33" s="103" t="s">
        <v>172</v>
      </c>
      <c r="F33" s="103" t="s">
        <v>173</v>
      </c>
      <c r="G33" s="103" t="s">
        <v>174</v>
      </c>
      <c r="H33" s="103" t="s">
        <v>175</v>
      </c>
      <c r="I33" s="203" t="s">
        <v>176</v>
      </c>
      <c r="J33" s="203" t="s">
        <v>177</v>
      </c>
      <c r="K33" s="203" t="s">
        <v>178</v>
      </c>
      <c r="L33" s="203" t="s">
        <v>179</v>
      </c>
      <c r="M33" s="203" t="s">
        <v>180</v>
      </c>
      <c r="N33" s="203" t="s">
        <v>3797</v>
      </c>
      <c r="O33" s="203" t="s">
        <v>176</v>
      </c>
      <c r="P33" s="203" t="s">
        <v>177</v>
      </c>
      <c r="Q33" s="203" t="s">
        <v>178</v>
      </c>
      <c r="R33" s="203" t="s">
        <v>180</v>
      </c>
      <c r="S33" s="203" t="s">
        <v>3797</v>
      </c>
      <c r="T33" s="203" t="s">
        <v>176</v>
      </c>
      <c r="U33" s="203" t="s">
        <v>177</v>
      </c>
      <c r="V33" s="203" t="s">
        <v>178</v>
      </c>
      <c r="W33" s="203" t="s">
        <v>179</v>
      </c>
      <c r="X33" s="203" t="s">
        <v>180</v>
      </c>
      <c r="Y33" s="203" t="s">
        <v>176</v>
      </c>
      <c r="Z33" s="203" t="s">
        <v>177</v>
      </c>
      <c r="AA33" s="203" t="s">
        <v>178</v>
      </c>
      <c r="AB33" s="203" t="s">
        <v>179</v>
      </c>
      <c r="AC33" s="203" t="s">
        <v>180</v>
      </c>
      <c r="AD33" s="204"/>
      <c r="AM33" s="1144"/>
      <c r="AN33" s="1144"/>
      <c r="AO33" s="1144"/>
    </row>
    <row r="34" spans="2:41" ht="31.5" customHeight="1" x14ac:dyDescent="0.35">
      <c r="D34" s="1148" t="s">
        <v>181</v>
      </c>
      <c r="E34" s="202" t="s">
        <v>182</v>
      </c>
      <c r="F34" s="202"/>
      <c r="G34" s="202" t="s">
        <v>183</v>
      </c>
      <c r="H34" s="202"/>
      <c r="I34" s="1106">
        <f>SUM(J34:N34)</f>
        <v>122.32200000000002</v>
      </c>
      <c r="J34" s="988">
        <f>'A.1. Conso_bâtiment_EF H2'!J34*'0. Zones climatiques'!$F$6</f>
        <v>122.32200000000002</v>
      </c>
      <c r="K34" s="254"/>
      <c r="L34" s="254"/>
      <c r="M34" s="254"/>
      <c r="N34" s="254"/>
      <c r="O34" s="1106">
        <f>SUM(P34:S34)</f>
        <v>122.10000000000001</v>
      </c>
      <c r="P34" s="988">
        <f>'A.1. Conso_bâtiment_EF H2'!P34*'0. Zones climatiques'!$F$6</f>
        <v>122.10000000000001</v>
      </c>
      <c r="Q34" s="254"/>
      <c r="R34" s="254"/>
      <c r="S34" s="254"/>
      <c r="T34" s="252">
        <f>SUM(U34:X34)</f>
        <v>173.16000000000003</v>
      </c>
      <c r="U34" s="253">
        <f>'A.1. Conso_bâtiment_EF H2'!U34*'0. Zones climatiques'!$F$6</f>
        <v>173.16000000000003</v>
      </c>
      <c r="V34" s="254"/>
      <c r="W34" s="254"/>
      <c r="X34" s="254"/>
      <c r="Y34" s="1106">
        <f>SUM(Z34:AC34)</f>
        <v>175.71300000000002</v>
      </c>
      <c r="Z34" s="988">
        <f>'A.1. Conso_bâtiment_EF H2'!Z34*'0. Zones climatiques'!$F$6</f>
        <v>175.71300000000002</v>
      </c>
      <c r="AA34" s="255"/>
      <c r="AB34" s="255"/>
      <c r="AC34" s="255"/>
    </row>
    <row r="35" spans="2:41" ht="31.5" customHeight="1" x14ac:dyDescent="0.35">
      <c r="D35" s="1148"/>
      <c r="E35" s="202" t="s">
        <v>184</v>
      </c>
      <c r="F35" s="202"/>
      <c r="G35" s="202" t="s">
        <v>183</v>
      </c>
      <c r="H35" s="202"/>
      <c r="I35" s="1106">
        <f t="shared" ref="I35:I54" si="0">SUM(J35:N35)</f>
        <v>116.21700000000001</v>
      </c>
      <c r="J35" s="988">
        <f>'A.1. Conso_bâtiment_EF H2'!J35*'0. Zones climatiques'!$F$6</f>
        <v>116.21700000000001</v>
      </c>
      <c r="K35" s="254"/>
      <c r="L35" s="254"/>
      <c r="M35" s="254"/>
      <c r="N35" s="254"/>
      <c r="O35" s="1106">
        <f t="shared" ref="O35:O54" si="1">SUM(P35:S35)</f>
        <v>115.995</v>
      </c>
      <c r="P35" s="988">
        <f>'A.1. Conso_bâtiment_EF H2'!P35*'0. Zones climatiques'!$F$6</f>
        <v>115.995</v>
      </c>
      <c r="Q35" s="254"/>
      <c r="R35" s="254"/>
      <c r="S35" s="254"/>
      <c r="T35" s="252">
        <f t="shared" ref="T35:T54" si="2">SUM(U35:X35)</f>
        <v>164.50200000000001</v>
      </c>
      <c r="U35" s="253">
        <f>'A.1. Conso_bâtiment_EF H2'!U35*'0. Zones climatiques'!$F$6</f>
        <v>164.50200000000001</v>
      </c>
      <c r="V35" s="254"/>
      <c r="W35" s="254"/>
      <c r="X35" s="254"/>
      <c r="Y35" s="1106">
        <f t="shared" ref="Y35:Y54" si="3">SUM(Z35:AC35)</f>
        <v>166.83300000000003</v>
      </c>
      <c r="Z35" s="988">
        <f>'A.1. Conso_bâtiment_EF H2'!Z35*'0. Zones climatiques'!$F$6</f>
        <v>166.83300000000003</v>
      </c>
      <c r="AA35" s="255"/>
      <c r="AB35" s="255"/>
      <c r="AC35" s="255"/>
    </row>
    <row r="36" spans="2:41" ht="31.5" customHeight="1" x14ac:dyDescent="0.35">
      <c r="D36" s="1148"/>
      <c r="E36" s="202" t="s">
        <v>185</v>
      </c>
      <c r="F36" s="202"/>
      <c r="G36" s="202" t="s">
        <v>183</v>
      </c>
      <c r="H36" s="202"/>
      <c r="I36" s="1106">
        <f t="shared" si="0"/>
        <v>110.40615000000001</v>
      </c>
      <c r="J36" s="988">
        <f>'A.1. Conso_bâtiment_EF H2'!J36*'0. Zones climatiques'!$F$6</f>
        <v>110.40615000000001</v>
      </c>
      <c r="K36" s="254"/>
      <c r="L36" s="254"/>
      <c r="M36" s="254"/>
      <c r="N36" s="254"/>
      <c r="O36" s="1106">
        <f t="shared" si="1"/>
        <v>110.19525</v>
      </c>
      <c r="P36" s="988">
        <f>'A.1. Conso_bâtiment_EF H2'!P36*'0. Zones climatiques'!$F$6</f>
        <v>110.19525</v>
      </c>
      <c r="Q36" s="254"/>
      <c r="R36" s="254"/>
      <c r="S36" s="254"/>
      <c r="T36" s="252">
        <f t="shared" si="2"/>
        <v>156.27690000000001</v>
      </c>
      <c r="U36" s="253">
        <f>'A.1. Conso_bâtiment_EF H2'!U36*'0. Zones climatiques'!$F$6</f>
        <v>156.27690000000001</v>
      </c>
      <c r="V36" s="254"/>
      <c r="W36" s="254"/>
      <c r="X36" s="254"/>
      <c r="Y36" s="1106">
        <f t="shared" si="3"/>
        <v>158.49135000000001</v>
      </c>
      <c r="Z36" s="988">
        <f>'A.1. Conso_bâtiment_EF H2'!Z36*'0. Zones climatiques'!$F$6</f>
        <v>158.49135000000001</v>
      </c>
      <c r="AA36" s="255"/>
      <c r="AB36" s="255"/>
      <c r="AC36" s="255"/>
    </row>
    <row r="37" spans="2:41" ht="31.5" customHeight="1" x14ac:dyDescent="0.35">
      <c r="D37" s="1148"/>
      <c r="E37" s="202" t="s">
        <v>186</v>
      </c>
      <c r="F37" s="202"/>
      <c r="G37" s="202" t="s">
        <v>183</v>
      </c>
      <c r="H37" s="202"/>
      <c r="I37" s="1106">
        <f t="shared" si="0"/>
        <v>92.13000000000001</v>
      </c>
      <c r="J37" s="988">
        <f>'A.1. Conso_bâtiment_EF H2'!J37*'0. Zones climatiques'!$F$6</f>
        <v>92.13000000000001</v>
      </c>
      <c r="K37" s="254"/>
      <c r="L37" s="254"/>
      <c r="M37" s="254"/>
      <c r="N37" s="254"/>
      <c r="O37" s="1106">
        <f t="shared" si="1"/>
        <v>87.579000000000008</v>
      </c>
      <c r="P37" s="988">
        <f>'A.1. Conso_bâtiment_EF H2'!P37*'0. Zones climatiques'!$F$6</f>
        <v>87.579000000000008</v>
      </c>
      <c r="Q37" s="254"/>
      <c r="R37" s="254"/>
      <c r="S37" s="254"/>
      <c r="T37" s="252">
        <f t="shared" si="2"/>
        <v>128.53800000000001</v>
      </c>
      <c r="U37" s="253">
        <f>'A.1. Conso_bâtiment_EF H2'!U37*'0. Zones climatiques'!$F$6</f>
        <v>128.53800000000001</v>
      </c>
      <c r="V37" s="254"/>
      <c r="W37" s="254"/>
      <c r="X37" s="254"/>
      <c r="Y37" s="1106">
        <f t="shared" si="3"/>
        <v>130.42500000000001</v>
      </c>
      <c r="Z37" s="988">
        <f>'A.1. Conso_bâtiment_EF H2'!Z37*'0. Zones climatiques'!$F$6</f>
        <v>130.42500000000001</v>
      </c>
      <c r="AA37" s="255"/>
      <c r="AB37" s="255"/>
      <c r="AC37" s="255"/>
    </row>
    <row r="38" spans="2:41" ht="31.5" customHeight="1" x14ac:dyDescent="0.35">
      <c r="D38" s="1148"/>
      <c r="E38" s="202" t="s">
        <v>187</v>
      </c>
      <c r="F38" s="202"/>
      <c r="G38" s="202"/>
      <c r="H38" s="202" t="s">
        <v>183</v>
      </c>
      <c r="I38" s="1106">
        <f t="shared" si="0"/>
        <v>45.288000000000004</v>
      </c>
      <c r="J38" s="988">
        <f>'A.1. Conso_bâtiment_EF H2'!J38*'0. Zones climatiques'!$F$6</f>
        <v>15.651000000000002</v>
      </c>
      <c r="K38" s="988">
        <f>'A.1. Conso_bâtiment_EF H2'!K38*'0. Zones climatiques'!$F$6</f>
        <v>29.637</v>
      </c>
      <c r="L38" s="255"/>
      <c r="M38" s="254"/>
      <c r="N38" s="254"/>
      <c r="O38" s="1106">
        <f t="shared" si="1"/>
        <v>0</v>
      </c>
      <c r="P38" s="254"/>
      <c r="Q38" s="254"/>
      <c r="R38" s="254"/>
      <c r="S38" s="254"/>
      <c r="T38" s="252">
        <f t="shared" si="2"/>
        <v>63.714000000000013</v>
      </c>
      <c r="U38" s="253">
        <f>'A.1. Conso_bâtiment_EF H2'!U38*'0. Zones climatiques'!$F$6</f>
        <v>23.532</v>
      </c>
      <c r="V38" s="253">
        <f>'A.1. Conso_bâtiment_EF H2'!V38*'0. Zones climatiques'!$F$6</f>
        <v>40.182000000000009</v>
      </c>
      <c r="W38" s="255"/>
      <c r="X38" s="254"/>
      <c r="Y38" s="1106">
        <f t="shared" si="3"/>
        <v>64.713000000000008</v>
      </c>
      <c r="Z38" s="988">
        <f>'A.1. Conso_bâtiment_EF H2'!Z38*'0. Zones climatiques'!$F$6</f>
        <v>23.976000000000003</v>
      </c>
      <c r="AA38" s="988">
        <f>'A.1. Conso_bâtiment_EF H2'!AA38*'0. Zones climatiques'!$F$6</f>
        <v>40.737000000000009</v>
      </c>
      <c r="AB38" s="255"/>
      <c r="AC38" s="254"/>
    </row>
    <row r="39" spans="2:41" ht="31.5" customHeight="1" x14ac:dyDescent="0.35">
      <c r="D39" s="1148"/>
      <c r="E39" s="202" t="s">
        <v>188</v>
      </c>
      <c r="F39" s="202"/>
      <c r="G39" s="202"/>
      <c r="H39" s="202" t="s">
        <v>183</v>
      </c>
      <c r="I39" s="1106">
        <f t="shared" si="0"/>
        <v>73.260000000000019</v>
      </c>
      <c r="J39" s="988">
        <f>'A.1. Conso_bâtiment_EF H2'!J39*'0. Zones climatiques'!$F$6</f>
        <v>64.491000000000014</v>
      </c>
      <c r="K39" s="988">
        <f>'A.1. Conso_bâtiment_EF H2'!K39*'0. Zones climatiques'!$F$6</f>
        <v>8.7690000000000019</v>
      </c>
      <c r="L39" s="255"/>
      <c r="M39" s="254"/>
      <c r="N39" s="254"/>
      <c r="O39" s="1106">
        <f t="shared" si="1"/>
        <v>69.597000000000008</v>
      </c>
      <c r="P39" s="988">
        <f>'A.1. Conso_bâtiment_EF H2'!P39*'0. Zones climatiques'!$F$6</f>
        <v>61.272000000000006</v>
      </c>
      <c r="Q39" s="988">
        <f>'A.1. Conso_bâtiment_EF H2'!Q39*'0. Zones climatiques'!$F$6</f>
        <v>8.3250000000000011</v>
      </c>
      <c r="R39" s="254"/>
      <c r="S39" s="254"/>
      <c r="T39" s="252">
        <f t="shared" si="2"/>
        <v>0</v>
      </c>
      <c r="U39" s="254"/>
      <c r="V39" s="254"/>
      <c r="W39" s="254"/>
      <c r="X39" s="254"/>
      <c r="Y39" s="1106">
        <f t="shared" si="3"/>
        <v>67.932000000000016</v>
      </c>
      <c r="Z39" s="988">
        <f>'A.1. Conso_bâtiment_EF H2'!Z39*'0. Zones climatiques'!$F$6</f>
        <v>39.07200000000001</v>
      </c>
      <c r="AA39" s="988">
        <f>'A.1. Conso_bâtiment_EF H2'!AA39*'0. Zones climatiques'!$F$6</f>
        <v>28.860000000000003</v>
      </c>
      <c r="AB39" s="255"/>
      <c r="AC39" s="254"/>
    </row>
    <row r="40" spans="2:41" ht="31.5" customHeight="1" x14ac:dyDescent="0.35">
      <c r="D40" s="1148"/>
      <c r="E40" s="202" t="s">
        <v>189</v>
      </c>
      <c r="F40" s="202"/>
      <c r="G40" s="202" t="s">
        <v>183</v>
      </c>
      <c r="H40" s="202"/>
      <c r="I40" s="1106">
        <f t="shared" si="0"/>
        <v>0</v>
      </c>
      <c r="J40" s="254"/>
      <c r="K40" s="254"/>
      <c r="L40" s="254"/>
      <c r="M40" s="254"/>
      <c r="N40" s="254"/>
      <c r="O40" s="1106">
        <f t="shared" si="1"/>
        <v>0</v>
      </c>
      <c r="P40" s="254"/>
      <c r="Q40" s="254"/>
      <c r="R40" s="254"/>
      <c r="S40" s="254"/>
      <c r="T40" s="252">
        <f t="shared" si="2"/>
        <v>94.128</v>
      </c>
      <c r="U40" s="253">
        <f>'A.1. Conso_bâtiment_EF H2'!U40*'0. Zones climatiques'!$F$6</f>
        <v>94.128</v>
      </c>
      <c r="V40" s="255"/>
      <c r="W40" s="255"/>
      <c r="X40" s="254"/>
      <c r="Y40" s="1106">
        <f t="shared" si="3"/>
        <v>95.570999999999998</v>
      </c>
      <c r="Z40" s="988">
        <f>'A.1. Conso_bâtiment_EF H2'!Z40*'0. Zones climatiques'!$F$6</f>
        <v>95.570999999999998</v>
      </c>
      <c r="AA40" s="255"/>
      <c r="AB40" s="255"/>
      <c r="AC40" s="254"/>
    </row>
    <row r="41" spans="2:41" ht="31.5" customHeight="1" x14ac:dyDescent="0.35">
      <c r="D41" s="1148"/>
      <c r="E41" s="202" t="s">
        <v>190</v>
      </c>
      <c r="F41" s="202"/>
      <c r="G41" s="202"/>
      <c r="H41" s="202" t="s">
        <v>183</v>
      </c>
      <c r="I41" s="1106">
        <f t="shared" si="0"/>
        <v>35.187000000000005</v>
      </c>
      <c r="J41" s="988">
        <f>'A.1. Conso_bâtiment_EF H2'!J41*'0. Zones climatiques'!$F$6</f>
        <v>15.651000000000002</v>
      </c>
      <c r="K41" s="988">
        <f>'A.1. Conso_bâtiment_EF H2'!K41*'0. Zones climatiques'!$F$6</f>
        <v>19.536000000000005</v>
      </c>
      <c r="L41" s="255"/>
      <c r="M41" s="254"/>
      <c r="N41" s="254"/>
      <c r="O41" s="1106">
        <f t="shared" si="1"/>
        <v>0</v>
      </c>
      <c r="P41" s="254"/>
      <c r="Q41" s="254"/>
      <c r="R41" s="254"/>
      <c r="S41" s="254"/>
      <c r="T41" s="252">
        <f t="shared" si="2"/>
        <v>50.061</v>
      </c>
      <c r="U41" s="253">
        <f>'A.1. Conso_bâtiment_EF H2'!U41*'0. Zones climatiques'!$F$6</f>
        <v>23.532</v>
      </c>
      <c r="V41" s="253">
        <f>'A.1. Conso_bâtiment_EF H2'!V41*'0. Zones climatiques'!$F$6</f>
        <v>26.529</v>
      </c>
      <c r="W41" s="255"/>
      <c r="X41" s="254"/>
      <c r="Y41" s="1106">
        <f t="shared" si="3"/>
        <v>50.838000000000008</v>
      </c>
      <c r="Z41" s="988">
        <f>'A.1. Conso_bâtiment_EF H2'!Z41*'0. Zones climatiques'!$F$6</f>
        <v>23.976000000000003</v>
      </c>
      <c r="AA41" s="988">
        <f>'A.1. Conso_bâtiment_EF H2'!AA41*'0. Zones climatiques'!$F$6</f>
        <v>26.862000000000002</v>
      </c>
      <c r="AB41" s="255"/>
      <c r="AC41" s="254"/>
    </row>
    <row r="42" spans="2:41" ht="31.5" customHeight="1" x14ac:dyDescent="0.35">
      <c r="D42" s="1148"/>
      <c r="E42" s="202" t="s">
        <v>191</v>
      </c>
      <c r="F42" s="202"/>
      <c r="G42" s="202" t="s">
        <v>183</v>
      </c>
      <c r="H42" s="202"/>
      <c r="I42" s="1106">
        <f t="shared" si="0"/>
        <v>88.911000000000001</v>
      </c>
      <c r="J42" s="988">
        <f>'A.1. Conso_bâtiment_EF H2'!J42*'0. Zones climatiques'!$F$6</f>
        <v>88.911000000000001</v>
      </c>
      <c r="K42" s="255"/>
      <c r="L42" s="255"/>
      <c r="M42" s="255"/>
      <c r="N42" s="255"/>
      <c r="O42" s="1106">
        <f t="shared" si="1"/>
        <v>0</v>
      </c>
      <c r="P42" s="254"/>
      <c r="Q42" s="254"/>
      <c r="R42" s="254"/>
      <c r="S42" s="254"/>
      <c r="T42" s="252">
        <f t="shared" si="2"/>
        <v>127.983</v>
      </c>
      <c r="U42" s="253">
        <f>'A.1. Conso_bâtiment_EF H2'!U42*'0. Zones climatiques'!$F$6</f>
        <v>127.983</v>
      </c>
      <c r="V42" s="255"/>
      <c r="W42" s="255"/>
      <c r="X42" s="254"/>
      <c r="Y42" s="1106">
        <f t="shared" si="3"/>
        <v>129.87</v>
      </c>
      <c r="Z42" s="988">
        <f>'A.1. Conso_bâtiment_EF H2'!Z42*'0. Zones climatiques'!$F$6</f>
        <v>129.87</v>
      </c>
      <c r="AA42" s="255"/>
      <c r="AB42" s="255"/>
      <c r="AC42" s="254"/>
    </row>
    <row r="43" spans="2:41" ht="31.5" customHeight="1" x14ac:dyDescent="0.35">
      <c r="D43" s="1148"/>
      <c r="E43" s="307" t="s">
        <v>192</v>
      </c>
      <c r="F43" s="202"/>
      <c r="G43" s="202" t="s">
        <v>183</v>
      </c>
      <c r="H43" s="202"/>
      <c r="I43" s="1106">
        <f t="shared" si="0"/>
        <v>57.498000000000005</v>
      </c>
      <c r="J43" s="988">
        <f>'A.1. Conso_bâtiment_EF H2'!J43*'0. Zones climatiques'!$F$6</f>
        <v>57.498000000000005</v>
      </c>
      <c r="K43" s="255"/>
      <c r="L43" s="255"/>
      <c r="M43" s="255"/>
      <c r="N43" s="255"/>
      <c r="O43" s="1106">
        <f t="shared" si="1"/>
        <v>0</v>
      </c>
      <c r="P43" s="254"/>
      <c r="Q43" s="254"/>
      <c r="R43" s="254"/>
      <c r="S43" s="254"/>
      <c r="T43" s="252">
        <f t="shared" si="2"/>
        <v>85.692000000000007</v>
      </c>
      <c r="U43" s="253">
        <f>'A.1. Conso_bâtiment_EF H2'!U43*'0. Zones climatiques'!$F$6</f>
        <v>85.692000000000007</v>
      </c>
      <c r="V43" s="255"/>
      <c r="W43" s="255"/>
      <c r="X43" s="254"/>
      <c r="Y43" s="1106">
        <f t="shared" si="3"/>
        <v>87.024000000000015</v>
      </c>
      <c r="Z43" s="988">
        <f>'A.1. Conso_bâtiment_EF H2'!Z43*'0. Zones climatiques'!$F$6</f>
        <v>87.024000000000015</v>
      </c>
      <c r="AA43" s="255"/>
      <c r="AB43" s="255"/>
      <c r="AC43" s="254"/>
    </row>
    <row r="44" spans="2:41" ht="31.5" customHeight="1" x14ac:dyDescent="0.35">
      <c r="D44" s="1148"/>
      <c r="E44" s="307" t="s">
        <v>193</v>
      </c>
      <c r="F44" s="202"/>
      <c r="G44" s="202"/>
      <c r="H44" s="202" t="s">
        <v>183</v>
      </c>
      <c r="I44" s="1106">
        <f t="shared" si="0"/>
        <v>0</v>
      </c>
      <c r="J44" s="255"/>
      <c r="K44" s="255"/>
      <c r="L44" s="255"/>
      <c r="M44" s="255"/>
      <c r="N44" s="255"/>
      <c r="O44" s="1106">
        <f t="shared" si="1"/>
        <v>0</v>
      </c>
      <c r="P44" s="255"/>
      <c r="Q44" s="255"/>
      <c r="R44" s="255"/>
      <c r="S44" s="255"/>
      <c r="T44" s="252">
        <f t="shared" si="2"/>
        <v>170.82900000000004</v>
      </c>
      <c r="U44" s="253">
        <f>'A.1. Conso_bâtiment_EF H2'!U44*'0. Zones climatiques'!$F$6</f>
        <v>12.876000000000001</v>
      </c>
      <c r="V44" s="255"/>
      <c r="W44" s="255"/>
      <c r="X44" s="253">
        <f>'A.1. Conso_bâtiment_EF H2'!X44*'0. Zones climatiques'!$F$6</f>
        <v>157.95300000000003</v>
      </c>
      <c r="Y44" s="1106">
        <f t="shared" si="3"/>
        <v>173.16000000000003</v>
      </c>
      <c r="Z44" s="988">
        <f>'A.1. Conso_bâtiment_EF H2'!Z44*'0. Zones climatiques'!$F$6</f>
        <v>12.987</v>
      </c>
      <c r="AA44" s="255"/>
      <c r="AB44" s="255"/>
      <c r="AC44" s="988">
        <f>'A.1. Conso_bâtiment_EF H2'!AC44*'0. Zones climatiques'!$F$6</f>
        <v>160.17300000000003</v>
      </c>
    </row>
    <row r="45" spans="2:41" ht="31.5" customHeight="1" x14ac:dyDescent="0.35">
      <c r="D45" s="1148"/>
      <c r="E45" s="307" t="s">
        <v>194</v>
      </c>
      <c r="F45" s="202"/>
      <c r="G45" s="202"/>
      <c r="H45" s="202"/>
      <c r="I45" s="1106">
        <f t="shared" si="0"/>
        <v>105.006</v>
      </c>
      <c r="J45" s="988">
        <f>'A.1. Conso_bâtiment_EF H2'!J45*'0. Zones climatiques'!$F$6</f>
        <v>105.006</v>
      </c>
      <c r="K45" s="255"/>
      <c r="L45" s="255"/>
      <c r="M45" s="255"/>
      <c r="N45" s="255"/>
      <c r="O45" s="1106">
        <f t="shared" si="1"/>
        <v>0</v>
      </c>
      <c r="P45" s="254"/>
      <c r="Q45" s="254"/>
      <c r="R45" s="254"/>
      <c r="S45" s="254"/>
      <c r="T45" s="252">
        <f t="shared" si="2"/>
        <v>143.745</v>
      </c>
      <c r="U45" s="253">
        <f>'A.1. Conso_bâtiment_EF H2'!U45*'0. Zones climatiques'!$F$6</f>
        <v>143.745</v>
      </c>
      <c r="V45" s="255"/>
      <c r="W45" s="255"/>
      <c r="X45" s="254"/>
      <c r="Y45" s="1106">
        <f t="shared" si="3"/>
        <v>145.63200000000001</v>
      </c>
      <c r="Z45" s="988">
        <f>'A.1. Conso_bâtiment_EF H2'!Z45*'0. Zones climatiques'!$F$6</f>
        <v>145.63200000000001</v>
      </c>
      <c r="AA45" s="255"/>
      <c r="AB45" s="255"/>
      <c r="AC45" s="254"/>
    </row>
    <row r="46" spans="2:41" ht="31.5" customHeight="1" x14ac:dyDescent="0.35">
      <c r="D46" s="1148"/>
      <c r="E46" s="307" t="s">
        <v>195</v>
      </c>
      <c r="F46" s="202"/>
      <c r="G46" s="202"/>
      <c r="H46" s="202"/>
      <c r="I46" s="1106">
        <f t="shared" si="0"/>
        <v>0</v>
      </c>
      <c r="J46" s="255"/>
      <c r="K46" s="255"/>
      <c r="L46" s="255"/>
      <c r="M46" s="255"/>
      <c r="N46" s="255"/>
      <c r="O46" s="1106">
        <f t="shared" si="1"/>
        <v>0</v>
      </c>
      <c r="P46" s="255"/>
      <c r="Q46" s="255"/>
      <c r="R46" s="255"/>
      <c r="S46" s="255"/>
      <c r="T46" s="252">
        <f t="shared" si="2"/>
        <v>128.53800000000001</v>
      </c>
      <c r="U46" s="253">
        <f>'A.1. Conso_bâtiment_EF H2'!U46*'0. Zones climatiques'!$F$6</f>
        <v>128.53800000000001</v>
      </c>
      <c r="V46" s="255"/>
      <c r="W46" s="255"/>
      <c r="X46" s="255"/>
      <c r="Y46" s="1106">
        <f t="shared" si="3"/>
        <v>130.42500000000001</v>
      </c>
      <c r="Z46" s="988">
        <f>'A.1. Conso_bâtiment_EF H2'!Z46*'0. Zones climatiques'!$F$6</f>
        <v>130.42500000000001</v>
      </c>
      <c r="AA46" s="254"/>
      <c r="AB46" s="254"/>
      <c r="AC46" s="254"/>
    </row>
    <row r="47" spans="2:41" ht="41.45" customHeight="1" x14ac:dyDescent="0.35">
      <c r="D47" s="1146" t="s">
        <v>166</v>
      </c>
      <c r="E47" s="202" t="s">
        <v>196</v>
      </c>
      <c r="F47" s="202" t="s">
        <v>183</v>
      </c>
      <c r="G47" s="202"/>
      <c r="H47" s="202"/>
      <c r="I47" s="1106">
        <f t="shared" si="0"/>
        <v>137.751</v>
      </c>
      <c r="J47" s="255"/>
      <c r="K47" s="255"/>
      <c r="L47" s="253">
        <f>'A.1. Conso_bâtiment_EF H2'!L47*'0. Zones climatiques'!$F$6</f>
        <v>137.751</v>
      </c>
      <c r="M47" s="255"/>
      <c r="N47" s="255"/>
      <c r="O47" s="1106">
        <f t="shared" si="1"/>
        <v>0</v>
      </c>
      <c r="P47" s="255"/>
      <c r="Q47" s="255"/>
      <c r="R47" s="255"/>
      <c r="S47" s="255"/>
      <c r="T47" s="252">
        <f t="shared" si="2"/>
        <v>176.82300000000004</v>
      </c>
      <c r="U47" s="255"/>
      <c r="V47" s="255"/>
      <c r="W47" s="253">
        <f>'A.1. Conso_bâtiment_EF H2'!W47*'0. Zones climatiques'!$F$6</f>
        <v>176.82300000000004</v>
      </c>
      <c r="X47" s="255"/>
      <c r="Y47" s="1106">
        <f t="shared" si="3"/>
        <v>154.84500000000003</v>
      </c>
      <c r="Z47" s="254"/>
      <c r="AA47" s="254"/>
      <c r="AB47" s="988">
        <f>'A.1. Conso_bâtiment_EF H2'!AB47*'0. Zones climatiques'!$F$6</f>
        <v>154.84500000000003</v>
      </c>
      <c r="AC47" s="254"/>
    </row>
    <row r="48" spans="2:41" ht="41.45" customHeight="1" x14ac:dyDescent="0.35">
      <c r="D48" s="1147"/>
      <c r="E48" s="202" t="s">
        <v>197</v>
      </c>
      <c r="F48" s="202"/>
      <c r="G48" s="202"/>
      <c r="H48" s="202"/>
      <c r="I48" s="1106">
        <f t="shared" si="0"/>
        <v>103.78500000000001</v>
      </c>
      <c r="J48" s="255"/>
      <c r="K48" s="255"/>
      <c r="L48" s="253">
        <f>'A.1. Conso_bâtiment_EF H2'!L48*'0. Zones climatiques'!$F$6</f>
        <v>103.78500000000001</v>
      </c>
      <c r="M48" s="255"/>
      <c r="N48" s="255"/>
      <c r="O48" s="1106">
        <f t="shared" si="1"/>
        <v>0</v>
      </c>
      <c r="P48" s="255"/>
      <c r="Q48" s="255"/>
      <c r="R48" s="255"/>
      <c r="S48" s="255"/>
      <c r="T48" s="252">
        <f t="shared" si="2"/>
        <v>131.31300000000002</v>
      </c>
      <c r="U48" s="255"/>
      <c r="V48" s="255"/>
      <c r="W48" s="253">
        <f>'A.1. Conso_bâtiment_EF H2'!W48*'0. Zones climatiques'!$F$6</f>
        <v>131.31300000000002</v>
      </c>
      <c r="X48" s="255"/>
      <c r="Y48" s="1106">
        <f t="shared" si="3"/>
        <v>114.99600000000001</v>
      </c>
      <c r="Z48" s="254"/>
      <c r="AA48" s="254"/>
      <c r="AB48" s="988">
        <f>'A.1. Conso_bâtiment_EF H2'!AB48*'0. Zones climatiques'!$F$6</f>
        <v>114.99600000000001</v>
      </c>
      <c r="AC48" s="254"/>
      <c r="AD48" s="61"/>
    </row>
    <row r="49" spans="4:30" ht="41.45" customHeight="1" x14ac:dyDescent="0.35">
      <c r="D49" s="1041" t="s">
        <v>767</v>
      </c>
      <c r="E49" s="202" t="s">
        <v>3795</v>
      </c>
      <c r="F49" s="202"/>
      <c r="G49" s="202"/>
      <c r="H49" s="202"/>
      <c r="I49" s="1106">
        <f t="shared" si="0"/>
        <v>150.18300000000002</v>
      </c>
      <c r="J49" s="255"/>
      <c r="K49" s="255"/>
      <c r="L49" s="255"/>
      <c r="M49" s="253">
        <f>'A.1. Conso_bâtiment_EF H2'!M49*'0. Zones climatiques'!$F$6</f>
        <v>150.18300000000002</v>
      </c>
      <c r="N49" s="255"/>
      <c r="O49" s="1106">
        <f t="shared" si="1"/>
        <v>0</v>
      </c>
      <c r="P49" s="255"/>
      <c r="Q49" s="255"/>
      <c r="R49" s="255"/>
      <c r="S49" s="255"/>
      <c r="T49" s="252">
        <f t="shared" si="2"/>
        <v>0</v>
      </c>
      <c r="U49" s="255"/>
      <c r="V49" s="255"/>
      <c r="W49" s="253"/>
      <c r="X49" s="255"/>
      <c r="Y49" s="1106">
        <f t="shared" si="3"/>
        <v>0</v>
      </c>
      <c r="Z49" s="254"/>
      <c r="AA49" s="254"/>
      <c r="AB49" s="988"/>
      <c r="AC49" s="254"/>
      <c r="AD49" s="61"/>
    </row>
    <row r="50" spans="4:30" ht="41.45" customHeight="1" x14ac:dyDescent="0.35">
      <c r="D50" s="1103" t="s">
        <v>768</v>
      </c>
      <c r="E50" s="202" t="s">
        <v>3796</v>
      </c>
      <c r="F50" s="202"/>
      <c r="G50" s="202"/>
      <c r="H50" s="202"/>
      <c r="I50" s="1106">
        <f t="shared" si="0"/>
        <v>122.32200000000002</v>
      </c>
      <c r="J50" s="255"/>
      <c r="K50" s="255"/>
      <c r="L50" s="255"/>
      <c r="M50" s="255"/>
      <c r="N50" s="253">
        <f>'A.1. Conso_bâtiment_EF H2'!N50*'0. Zones climatiques'!$F$6</f>
        <v>122.32200000000002</v>
      </c>
      <c r="O50" s="1106">
        <f t="shared" si="1"/>
        <v>122.10000000000001</v>
      </c>
      <c r="P50" s="255"/>
      <c r="Q50" s="255"/>
      <c r="R50" s="255"/>
      <c r="S50" s="253">
        <f>'A.1. Conso_bâtiment_EF H2'!S50*'0. Zones climatiques'!$F$6</f>
        <v>122.10000000000001</v>
      </c>
      <c r="T50" s="252">
        <f t="shared" si="2"/>
        <v>0</v>
      </c>
      <c r="U50" s="255"/>
      <c r="V50" s="255"/>
      <c r="W50" s="253"/>
      <c r="X50" s="255"/>
      <c r="Y50" s="1106">
        <f t="shared" si="3"/>
        <v>0</v>
      </c>
      <c r="Z50" s="254"/>
      <c r="AA50" s="254"/>
      <c r="AB50" s="988"/>
      <c r="AC50" s="254"/>
      <c r="AD50" s="61"/>
    </row>
    <row r="51" spans="4:30" ht="41.45" customHeight="1" x14ac:dyDescent="0.35">
      <c r="D51" s="1146" t="s">
        <v>198</v>
      </c>
      <c r="E51" s="202" t="s">
        <v>199</v>
      </c>
      <c r="F51" s="202"/>
      <c r="G51" s="202"/>
      <c r="H51" s="202" t="s">
        <v>183</v>
      </c>
      <c r="I51" s="1106">
        <f t="shared" si="0"/>
        <v>17.205000000000002</v>
      </c>
      <c r="J51" s="988">
        <f>'A.1. Conso_bâtiment_EF H2'!J51*'0. Zones climatiques'!$F$6</f>
        <v>9.5460000000000012</v>
      </c>
      <c r="K51" s="988">
        <f>'A.1. Conso_bâtiment_EF H2'!K51*'0. Zones climatiques'!$F$6</f>
        <v>7.6590000000000007</v>
      </c>
      <c r="L51" s="255"/>
      <c r="M51" s="255"/>
      <c r="N51" s="255"/>
      <c r="O51" s="1106">
        <f t="shared" si="1"/>
        <v>0</v>
      </c>
      <c r="P51" s="255"/>
      <c r="Q51" s="255"/>
      <c r="R51" s="254"/>
      <c r="S51" s="254"/>
      <c r="T51" s="252">
        <f t="shared" si="2"/>
        <v>19.758000000000003</v>
      </c>
      <c r="U51" s="253">
        <f>'A.1. Conso_bâtiment_EF H2'!U51*'0. Zones climatiques'!$F$6</f>
        <v>15.873000000000003</v>
      </c>
      <c r="V51" s="253">
        <f>'A.1. Conso_bâtiment_EF H2'!V51*'0. Zones climatiques'!$F$6</f>
        <v>3.8850000000000002</v>
      </c>
      <c r="W51" s="255"/>
      <c r="X51" s="254"/>
      <c r="Y51" s="1106">
        <f t="shared" si="3"/>
        <v>26.418000000000003</v>
      </c>
      <c r="Z51" s="988">
        <f>'A.1. Conso_bâtiment_EF H2'!Z51*'0. Zones climatiques'!$F$6</f>
        <v>22.644000000000002</v>
      </c>
      <c r="AA51" s="988">
        <f>'A.1. Conso_bâtiment_EF H2'!AA51*'0. Zones climatiques'!$F$6</f>
        <v>3.774</v>
      </c>
      <c r="AB51" s="254"/>
      <c r="AC51" s="254"/>
    </row>
    <row r="52" spans="4:30" ht="41.45" customHeight="1" x14ac:dyDescent="0.35">
      <c r="D52" s="1147"/>
      <c r="E52" s="202" t="s">
        <v>200</v>
      </c>
      <c r="F52" s="202"/>
      <c r="G52" s="202"/>
      <c r="H52" s="202"/>
      <c r="I52" s="1106">
        <f t="shared" si="0"/>
        <v>24.531000000000002</v>
      </c>
      <c r="J52" s="988">
        <f>'A.1. Conso_bâtiment_EF H2'!J52*'0. Zones climatiques'!$F$6</f>
        <v>24.531000000000002</v>
      </c>
      <c r="K52" s="988">
        <f>'A.1. Conso_bâtiment_EF H2'!K52*'0. Zones climatiques'!$F$6</f>
        <v>0</v>
      </c>
      <c r="L52" s="255"/>
      <c r="M52" s="255"/>
      <c r="N52" s="255"/>
      <c r="O52" s="1106">
        <f t="shared" si="1"/>
        <v>24.975000000000001</v>
      </c>
      <c r="P52" s="988">
        <f>'A.1. Conso_bâtiment_EF H2'!P52*'0. Zones climatiques'!$F$6</f>
        <v>24.975000000000001</v>
      </c>
      <c r="Q52" s="255"/>
      <c r="R52" s="254"/>
      <c r="S52" s="254"/>
      <c r="T52" s="252">
        <f t="shared" si="2"/>
        <v>23.421000000000003</v>
      </c>
      <c r="U52" s="253">
        <f>'A.1. Conso_bâtiment_EF H2'!U52*'0. Zones climatiques'!$F$6</f>
        <v>23.421000000000003</v>
      </c>
      <c r="V52" s="255"/>
      <c r="W52" s="255"/>
      <c r="X52" s="254"/>
      <c r="Y52" s="1106">
        <f t="shared" si="3"/>
        <v>0</v>
      </c>
      <c r="Z52" s="255"/>
      <c r="AA52" s="255"/>
      <c r="AB52" s="254"/>
      <c r="AC52" s="254"/>
    </row>
    <row r="53" spans="4:30" ht="56.45" customHeight="1" outlineLevel="1" x14ac:dyDescent="0.35">
      <c r="D53" s="1145" t="s">
        <v>201</v>
      </c>
      <c r="E53" s="776" t="s">
        <v>202</v>
      </c>
      <c r="F53" s="202"/>
      <c r="G53" s="202"/>
      <c r="H53" s="202"/>
      <c r="I53" s="1106">
        <f t="shared" si="0"/>
        <v>35.742000000000004</v>
      </c>
      <c r="J53" s="254"/>
      <c r="K53" s="988">
        <f>'A.1. Conso_bâtiment_EF H2'!K53*'0. Zones climatiques'!$F$6</f>
        <v>35.742000000000004</v>
      </c>
      <c r="L53" s="254"/>
      <c r="M53" s="254"/>
      <c r="N53" s="254"/>
      <c r="O53" s="1106">
        <f t="shared" si="1"/>
        <v>0</v>
      </c>
      <c r="P53" s="254"/>
      <c r="Q53" s="255"/>
      <c r="R53" s="254"/>
      <c r="S53" s="254"/>
      <c r="T53" s="252">
        <f t="shared" si="2"/>
        <v>48.396000000000008</v>
      </c>
      <c r="U53" s="255"/>
      <c r="V53" s="253">
        <f>'A.1. Conso_bâtiment_EF H2'!V53*'0. Zones climatiques'!$F$6</f>
        <v>48.396000000000008</v>
      </c>
      <c r="W53" s="254"/>
      <c r="X53" s="254"/>
      <c r="Y53" s="1106">
        <f t="shared" si="3"/>
        <v>49.173000000000002</v>
      </c>
      <c r="Z53" s="254"/>
      <c r="AA53" s="988">
        <f>'A.1. Conso_bâtiment_EF H2'!AA53*'0. Zones climatiques'!$F$6</f>
        <v>49.173000000000002</v>
      </c>
      <c r="AB53" s="254"/>
      <c r="AC53" s="254"/>
    </row>
    <row r="54" spans="4:30" ht="56.45" customHeight="1" outlineLevel="1" x14ac:dyDescent="0.35">
      <c r="D54" s="1145"/>
      <c r="E54" s="776" t="s">
        <v>203</v>
      </c>
      <c r="F54" s="202"/>
      <c r="G54" s="202"/>
      <c r="H54" s="202"/>
      <c r="I54" s="1106">
        <f t="shared" si="0"/>
        <v>74.37</v>
      </c>
      <c r="J54" s="254"/>
      <c r="K54" s="988">
        <f>'A.1. Conso_bâtiment_EF H2'!K54*'0. Zones climatiques'!$F$6</f>
        <v>74.37</v>
      </c>
      <c r="L54" s="254"/>
      <c r="M54" s="254"/>
      <c r="N54" s="254"/>
      <c r="O54" s="1106">
        <f t="shared" si="1"/>
        <v>65.379000000000005</v>
      </c>
      <c r="P54" s="254"/>
      <c r="Q54" s="988">
        <f>'A.1. Conso_bâtiment_EF H2'!Q54*'0. Zones climatiques'!$F$6</f>
        <v>65.379000000000005</v>
      </c>
      <c r="R54" s="254"/>
      <c r="S54" s="254"/>
      <c r="T54" s="252">
        <f t="shared" si="2"/>
        <v>0</v>
      </c>
      <c r="U54" s="641"/>
      <c r="V54" s="254"/>
      <c r="W54" s="254"/>
      <c r="X54" s="254"/>
      <c r="Y54" s="1106">
        <f t="shared" si="3"/>
        <v>93.906000000000006</v>
      </c>
      <c r="Z54" s="254"/>
      <c r="AA54" s="988">
        <f>'A.1. Conso_bâtiment_EF H2'!AA54*'0. Zones climatiques'!$F$6</f>
        <v>93.906000000000006</v>
      </c>
      <c r="AB54" s="254"/>
      <c r="AC54" s="254"/>
    </row>
    <row r="57" spans="4:30" ht="23.25" x14ac:dyDescent="0.35">
      <c r="E57" s="206" t="s">
        <v>204</v>
      </c>
      <c r="F57" s="206"/>
      <c r="G57" s="206"/>
      <c r="H57" s="206"/>
    </row>
    <row r="59" spans="4:30" ht="20.25" x14ac:dyDescent="0.2">
      <c r="I59" s="1141" t="s">
        <v>162</v>
      </c>
      <c r="J59" s="1141"/>
      <c r="K59" s="1141"/>
      <c r="L59" s="1141"/>
      <c r="M59" s="1141"/>
      <c r="N59" s="1042"/>
      <c r="O59" s="1141" t="s">
        <v>163</v>
      </c>
      <c r="P59" s="1141"/>
      <c r="Q59" s="1141"/>
      <c r="R59" s="1141"/>
      <c r="S59" s="1042"/>
      <c r="T59" s="1141" t="s">
        <v>170</v>
      </c>
      <c r="U59" s="1141"/>
      <c r="V59" s="1141"/>
      <c r="W59" s="1141"/>
      <c r="X59" s="1141"/>
      <c r="Y59" s="1141" t="s">
        <v>165</v>
      </c>
      <c r="Z59" s="1141"/>
      <c r="AA59" s="1141"/>
      <c r="AB59" s="1141"/>
      <c r="AC59" s="1141"/>
    </row>
    <row r="60" spans="4:30" ht="15.75" x14ac:dyDescent="0.25">
      <c r="E60" s="96"/>
      <c r="F60" s="96"/>
      <c r="G60" s="96"/>
      <c r="H60" s="96"/>
      <c r="I60" s="96"/>
      <c r="J60" s="1142" t="s">
        <v>171</v>
      </c>
      <c r="K60" s="1142"/>
      <c r="L60" s="1142"/>
      <c r="M60" s="1142"/>
      <c r="N60" s="1043"/>
      <c r="O60" s="18"/>
      <c r="P60" s="1142" t="s">
        <v>171</v>
      </c>
      <c r="Q60" s="1142"/>
      <c r="R60" s="1142"/>
      <c r="S60" s="1043"/>
      <c r="T60" s="18"/>
      <c r="U60" s="1142" t="s">
        <v>171</v>
      </c>
      <c r="V60" s="1142"/>
      <c r="W60" s="1142"/>
      <c r="X60" s="1142"/>
      <c r="Y60" s="18"/>
      <c r="Z60" s="1142" t="s">
        <v>171</v>
      </c>
      <c r="AA60" s="1142"/>
      <c r="AB60" s="1142"/>
      <c r="AC60" s="1142"/>
    </row>
    <row r="61" spans="4:30" ht="15.75" x14ac:dyDescent="0.25">
      <c r="E61" s="96"/>
      <c r="F61" s="96"/>
      <c r="G61" s="96"/>
      <c r="H61" s="96"/>
      <c r="I61" s="96"/>
      <c r="J61" s="96"/>
      <c r="K61" s="96"/>
      <c r="L61" s="96"/>
      <c r="M61" s="96"/>
      <c r="N61" s="96"/>
    </row>
    <row r="62" spans="4:30" ht="75" x14ac:dyDescent="0.2">
      <c r="E62" s="103" t="s">
        <v>172</v>
      </c>
      <c r="F62" s="103" t="s">
        <v>173</v>
      </c>
      <c r="G62" s="103" t="s">
        <v>174</v>
      </c>
      <c r="H62" s="103" t="s">
        <v>175</v>
      </c>
      <c r="I62" s="203" t="s">
        <v>176</v>
      </c>
      <c r="J62" s="203" t="s">
        <v>177</v>
      </c>
      <c r="K62" s="203" t="s">
        <v>205</v>
      </c>
      <c r="L62" s="203" t="s">
        <v>179</v>
      </c>
      <c r="M62" s="203" t="s">
        <v>180</v>
      </c>
      <c r="N62" s="203" t="s">
        <v>3797</v>
      </c>
      <c r="O62" s="203" t="s">
        <v>176</v>
      </c>
      <c r="P62" s="203" t="s">
        <v>177</v>
      </c>
      <c r="Q62" s="203" t="s">
        <v>178</v>
      </c>
      <c r="R62" s="203" t="s">
        <v>180</v>
      </c>
      <c r="S62" s="203" t="s">
        <v>3797</v>
      </c>
      <c r="T62" s="203" t="s">
        <v>176</v>
      </c>
      <c r="U62" s="203" t="s">
        <v>177</v>
      </c>
      <c r="V62" s="203" t="s">
        <v>178</v>
      </c>
      <c r="W62" s="203" t="s">
        <v>179</v>
      </c>
      <c r="X62" s="203" t="s">
        <v>180</v>
      </c>
      <c r="Y62" s="203" t="s">
        <v>206</v>
      </c>
      <c r="Z62" s="203" t="s">
        <v>177</v>
      </c>
      <c r="AA62" s="203" t="s">
        <v>178</v>
      </c>
      <c r="AB62" s="203" t="s">
        <v>179</v>
      </c>
      <c r="AC62" s="203" t="s">
        <v>180</v>
      </c>
    </row>
    <row r="63" spans="4:30" ht="33.6" customHeight="1" x14ac:dyDescent="0.4">
      <c r="D63" s="1148" t="s">
        <v>181</v>
      </c>
      <c r="E63" s="202" t="s">
        <v>182</v>
      </c>
      <c r="F63" s="202"/>
      <c r="G63" s="202" t="s">
        <v>183</v>
      </c>
      <c r="H63" s="202"/>
      <c r="I63" s="633">
        <f>SUM(J63:N63)</f>
        <v>19.57</v>
      </c>
      <c r="J63" s="253">
        <f>'A.1. Conso_bâtiment_EF H2'!J63*'0. Zones climatiques'!$F$7</f>
        <v>19.57</v>
      </c>
      <c r="K63" s="254"/>
      <c r="L63" s="254"/>
      <c r="M63" s="255"/>
      <c r="N63" s="255"/>
      <c r="O63" s="633">
        <f>SUM(P63:S63)</f>
        <v>31.003000000000004</v>
      </c>
      <c r="P63" s="253">
        <f>'A.1. Conso_bâtiment_EF H2'!P63*'0. Zones climatiques'!$F$7</f>
        <v>31.003000000000004</v>
      </c>
      <c r="Q63" s="255"/>
      <c r="R63" s="255"/>
      <c r="S63" s="255"/>
      <c r="T63" s="633">
        <f>SUM(U63:X63)</f>
        <v>45.011000000000003</v>
      </c>
      <c r="U63" s="253">
        <f>'A.1. Conso_bâtiment_EF H2'!U63*'0. Zones climatiques'!$F$7</f>
        <v>45.011000000000003</v>
      </c>
      <c r="V63" s="255"/>
      <c r="W63" s="255"/>
      <c r="X63" s="255"/>
      <c r="Y63" s="633">
        <f>SUM(Z63:AC63)</f>
        <v>22.866</v>
      </c>
      <c r="Z63" s="253">
        <f>'A.1. Conso_bâtiment_EF H2'!Z63*'0. Zones climatiques'!$F$7</f>
        <v>22.866</v>
      </c>
      <c r="AA63" s="255"/>
      <c r="AB63" s="255"/>
      <c r="AC63" s="255"/>
    </row>
    <row r="64" spans="4:30" ht="33.6" customHeight="1" x14ac:dyDescent="0.4">
      <c r="D64" s="1148"/>
      <c r="E64" s="202" t="s">
        <v>207</v>
      </c>
      <c r="F64" s="202"/>
      <c r="G64" s="202" t="s">
        <v>183</v>
      </c>
      <c r="H64" s="202"/>
      <c r="I64" s="633">
        <f t="shared" ref="I64:I83" si="4">SUM(J64:N64)</f>
        <v>18.643000000000001</v>
      </c>
      <c r="J64" s="253">
        <f>'A.1. Conso_bâtiment_EF H2'!J64*'0. Zones climatiques'!$F$7</f>
        <v>18.643000000000001</v>
      </c>
      <c r="K64" s="254"/>
      <c r="L64" s="254"/>
      <c r="M64" s="255"/>
      <c r="N64" s="255"/>
      <c r="O64" s="633">
        <f t="shared" ref="O64:O83" si="5">SUM(P64:S64)</f>
        <v>29.458000000000002</v>
      </c>
      <c r="P64" s="253">
        <f>'A.1. Conso_bâtiment_EF H2'!P64*'0. Zones climatiques'!$F$7</f>
        <v>29.458000000000002</v>
      </c>
      <c r="Q64" s="255"/>
      <c r="R64" s="255"/>
      <c r="S64" s="255"/>
      <c r="T64" s="633">
        <f t="shared" ref="T64:T83" si="6">SUM(U64:X64)</f>
        <v>42.745000000000005</v>
      </c>
      <c r="U64" s="253">
        <f>'A.1. Conso_bâtiment_EF H2'!U64*'0. Zones climatiques'!$F$7</f>
        <v>42.745000000000005</v>
      </c>
      <c r="V64" s="255"/>
      <c r="W64" s="255"/>
      <c r="X64" s="255"/>
      <c r="Y64" s="633">
        <f t="shared" ref="Y64:Y83" si="7">SUM(Z64:AC64)</f>
        <v>21.63</v>
      </c>
      <c r="Z64" s="253">
        <f>'A.1. Conso_bâtiment_EF H2'!Z64*'0. Zones climatiques'!$F$7</f>
        <v>21.63</v>
      </c>
      <c r="AA64" s="255"/>
      <c r="AB64" s="255"/>
      <c r="AC64" s="255"/>
    </row>
    <row r="65" spans="4:29" ht="33.6" customHeight="1" x14ac:dyDescent="0.4">
      <c r="D65" s="1148"/>
      <c r="E65" s="202" t="s">
        <v>185</v>
      </c>
      <c r="F65" s="202"/>
      <c r="G65" s="202" t="s">
        <v>183</v>
      </c>
      <c r="H65" s="202"/>
      <c r="I65" s="633">
        <f t="shared" si="4"/>
        <v>17.710850000000001</v>
      </c>
      <c r="J65" s="253">
        <f>'A.1. Conso_bâtiment_EF H2'!J65*'0. Zones climatiques'!$F$7</f>
        <v>17.710850000000001</v>
      </c>
      <c r="K65" s="254"/>
      <c r="L65" s="254"/>
      <c r="M65" s="255"/>
      <c r="N65" s="255"/>
      <c r="O65" s="633">
        <f t="shared" si="5"/>
        <v>27.985100000000003</v>
      </c>
      <c r="P65" s="253">
        <f>'A.1. Conso_bâtiment_EF H2'!P65*'0. Zones climatiques'!$F$7</f>
        <v>27.985100000000003</v>
      </c>
      <c r="Q65" s="255"/>
      <c r="R65" s="255"/>
      <c r="S65" s="255"/>
      <c r="T65" s="633">
        <f t="shared" si="6"/>
        <v>40.607749999999996</v>
      </c>
      <c r="U65" s="253">
        <f>'A.1. Conso_bâtiment_EF H2'!U65*'0. Zones climatiques'!$F$7</f>
        <v>40.607749999999996</v>
      </c>
      <c r="V65" s="255"/>
      <c r="W65" s="255"/>
      <c r="X65" s="255"/>
      <c r="Y65" s="633">
        <f t="shared" si="7"/>
        <v>20.548500000000001</v>
      </c>
      <c r="Z65" s="253">
        <f>'A.1. Conso_bâtiment_EF H2'!Z65*'0. Zones climatiques'!$F$7</f>
        <v>20.548500000000001</v>
      </c>
      <c r="AA65" s="255"/>
      <c r="AB65" s="255"/>
      <c r="AC65" s="255"/>
    </row>
    <row r="66" spans="4:29" ht="33.6" customHeight="1" x14ac:dyDescent="0.4">
      <c r="D66" s="1148"/>
      <c r="E66" s="202" t="s">
        <v>186</v>
      </c>
      <c r="F66" s="202"/>
      <c r="G66" s="202" t="s">
        <v>183</v>
      </c>
      <c r="H66" s="202"/>
      <c r="I66" s="633">
        <f t="shared" si="4"/>
        <v>14.214</v>
      </c>
      <c r="J66" s="253">
        <f>'A.1. Conso_bâtiment_EF H2'!J66*'0. Zones climatiques'!$F$7</f>
        <v>14.214</v>
      </c>
      <c r="K66" s="254"/>
      <c r="L66" s="254"/>
      <c r="M66" s="255"/>
      <c r="N66" s="255"/>
      <c r="O66" s="633">
        <f t="shared" si="5"/>
        <v>22.248000000000001</v>
      </c>
      <c r="P66" s="253">
        <f>'A.1. Conso_bâtiment_EF H2'!P66*'0. Zones climatiques'!$F$7</f>
        <v>22.248000000000001</v>
      </c>
      <c r="Q66" s="255"/>
      <c r="R66" s="255"/>
      <c r="S66" s="255"/>
      <c r="T66" s="633">
        <f t="shared" si="6"/>
        <v>38.728000000000002</v>
      </c>
      <c r="U66" s="253">
        <f>'A.1. Conso_bâtiment_EF H2'!U66*'0. Zones climatiques'!$F$7</f>
        <v>38.728000000000002</v>
      </c>
      <c r="V66" s="255"/>
      <c r="W66" s="255"/>
      <c r="X66" s="255"/>
      <c r="Y66" s="633">
        <f t="shared" si="7"/>
        <v>19.57</v>
      </c>
      <c r="Z66" s="253">
        <f>'A.1. Conso_bâtiment_EF H2'!Z66*'0. Zones climatiques'!$F$7</f>
        <v>19.57</v>
      </c>
      <c r="AA66" s="255"/>
      <c r="AB66" s="255"/>
      <c r="AC66" s="255"/>
    </row>
    <row r="67" spans="4:29" ht="33.6" customHeight="1" x14ac:dyDescent="0.4">
      <c r="D67" s="1148"/>
      <c r="E67" s="202" t="s">
        <v>187</v>
      </c>
      <c r="F67" s="202"/>
      <c r="G67" s="202"/>
      <c r="H67" s="202" t="s">
        <v>183</v>
      </c>
      <c r="I67" s="633">
        <f t="shared" si="4"/>
        <v>14.214</v>
      </c>
      <c r="J67" s="253">
        <f>'A.1. Conso_bâtiment_EF H2'!J67*'0. Zones climatiques'!$F$7</f>
        <v>14.214</v>
      </c>
      <c r="K67" s="254"/>
      <c r="L67" s="254"/>
      <c r="M67" s="255"/>
      <c r="N67" s="255"/>
      <c r="O67" s="633">
        <f t="shared" si="5"/>
        <v>0</v>
      </c>
      <c r="P67" s="255"/>
      <c r="Q67" s="255"/>
      <c r="R67" s="255"/>
      <c r="S67" s="255"/>
      <c r="T67" s="633">
        <f t="shared" si="6"/>
        <v>17.509999999999998</v>
      </c>
      <c r="U67" s="253">
        <f>'A.1. Conso_bâtiment_EF H2'!U67*'0. Zones climatiques'!$F$7</f>
        <v>3.9139999999999997</v>
      </c>
      <c r="V67" s="253">
        <f>'A.1. Conso_bâtiment_EF H2'!V67*'0. Zones climatiques'!$F$7</f>
        <v>13.596</v>
      </c>
      <c r="W67" s="255"/>
      <c r="X67" s="255"/>
      <c r="Y67" s="633">
        <f t="shared" si="7"/>
        <v>8.8580000000000005</v>
      </c>
      <c r="Z67" s="253">
        <f>'A.1. Conso_bâtiment_EF H2'!Z67*'0. Zones climatiques'!$F$7</f>
        <v>1.9569999999999999</v>
      </c>
      <c r="AA67" s="253">
        <f>'A.1. Conso_bâtiment_EF H2'!AA67*'0. Zones climatiques'!$F$7</f>
        <v>6.9010000000000007</v>
      </c>
      <c r="AB67" s="255"/>
      <c r="AC67" s="255"/>
    </row>
    <row r="68" spans="4:29" ht="33.6" customHeight="1" x14ac:dyDescent="0.4">
      <c r="D68" s="1148"/>
      <c r="E68" s="202" t="s">
        <v>188</v>
      </c>
      <c r="F68" s="202"/>
      <c r="G68" s="202"/>
      <c r="H68" s="202" t="s">
        <v>183</v>
      </c>
      <c r="I68" s="633">
        <f t="shared" si="4"/>
        <v>14.214</v>
      </c>
      <c r="J68" s="253">
        <f>'A.1. Conso_bâtiment_EF H2'!J68*'0. Zones climatiques'!$F$7</f>
        <v>14.214</v>
      </c>
      <c r="K68" s="255"/>
      <c r="L68" s="255"/>
      <c r="M68" s="255"/>
      <c r="N68" s="255"/>
      <c r="O68" s="633">
        <f t="shared" si="5"/>
        <v>22.248000000000001</v>
      </c>
      <c r="P68" s="253">
        <f>'A.1. Conso_bâtiment_EF H2'!P68*'0. Zones climatiques'!$F$7</f>
        <v>22.248000000000001</v>
      </c>
      <c r="Q68" s="255"/>
      <c r="R68" s="255"/>
      <c r="S68" s="255"/>
      <c r="T68" s="633">
        <f t="shared" si="6"/>
        <v>0</v>
      </c>
      <c r="U68" s="255"/>
      <c r="V68" s="255"/>
      <c r="W68" s="255"/>
      <c r="X68" s="255"/>
      <c r="Y68" s="633">
        <f t="shared" si="7"/>
        <v>19.57</v>
      </c>
      <c r="Z68" s="253">
        <f>'A.1. Conso_bâtiment_EF H2'!Z68*'0. Zones climatiques'!$F$7</f>
        <v>19.57</v>
      </c>
      <c r="AA68" s="255"/>
      <c r="AB68" s="255"/>
      <c r="AC68" s="255"/>
    </row>
    <row r="69" spans="4:29" ht="33.6" customHeight="1" x14ac:dyDescent="0.4">
      <c r="D69" s="1148"/>
      <c r="E69" s="202" t="s">
        <v>189</v>
      </c>
      <c r="F69" s="202"/>
      <c r="G69" s="202" t="s">
        <v>183</v>
      </c>
      <c r="H69" s="202"/>
      <c r="I69" s="633">
        <f t="shared" si="4"/>
        <v>0</v>
      </c>
      <c r="J69" s="254"/>
      <c r="K69" s="254"/>
      <c r="L69" s="254"/>
      <c r="M69" s="255"/>
      <c r="N69" s="255"/>
      <c r="O69" s="633">
        <f t="shared" si="5"/>
        <v>0</v>
      </c>
      <c r="P69" s="255"/>
      <c r="Q69" s="255"/>
      <c r="R69" s="255"/>
      <c r="S69" s="255"/>
      <c r="T69" s="633">
        <f t="shared" si="6"/>
        <v>26.677</v>
      </c>
      <c r="U69" s="253">
        <f>'A.1. Conso_bâtiment_EF H2'!U69*'0. Zones climatiques'!$F$7</f>
        <v>26.677</v>
      </c>
      <c r="V69" s="255"/>
      <c r="W69" s="255"/>
      <c r="X69" s="255"/>
      <c r="Y69" s="633">
        <f t="shared" si="7"/>
        <v>13.493</v>
      </c>
      <c r="Z69" s="253">
        <f>'A.1. Conso_bâtiment_EF H2'!Z69*'0. Zones climatiques'!$F$7</f>
        <v>13.493</v>
      </c>
      <c r="AA69" s="255"/>
      <c r="AB69" s="255"/>
      <c r="AC69" s="255"/>
    </row>
    <row r="70" spans="4:29" ht="33.6" customHeight="1" x14ac:dyDescent="0.4">
      <c r="D70" s="1148"/>
      <c r="E70" s="202" t="s">
        <v>190</v>
      </c>
      <c r="F70" s="202"/>
      <c r="G70" s="202"/>
      <c r="H70" s="202" t="s">
        <v>183</v>
      </c>
      <c r="I70" s="633">
        <f t="shared" si="4"/>
        <v>14.214</v>
      </c>
      <c r="J70" s="253">
        <f>'A.1. Conso_bâtiment_EF H2'!J70*'0. Zones climatiques'!$F$7</f>
        <v>14.214</v>
      </c>
      <c r="K70" s="254"/>
      <c r="L70" s="254"/>
      <c r="M70" s="254"/>
      <c r="N70" s="254"/>
      <c r="O70" s="633">
        <f t="shared" si="5"/>
        <v>0</v>
      </c>
      <c r="P70" s="255"/>
      <c r="Q70" s="255"/>
      <c r="R70" s="255"/>
      <c r="S70" s="255"/>
      <c r="T70" s="633">
        <f t="shared" si="6"/>
        <v>12.875</v>
      </c>
      <c r="U70" s="253">
        <f>'A.1. Conso_bâtiment_EF H2'!U70*'0. Zones climatiques'!$F$7</f>
        <v>3.9139999999999997</v>
      </c>
      <c r="V70" s="253">
        <f>'A.1. Conso_bâtiment_EF H2'!V70*'0. Zones climatiques'!$F$7</f>
        <v>8.9610000000000003</v>
      </c>
      <c r="W70" s="255"/>
      <c r="X70" s="255"/>
      <c r="Y70" s="633">
        <f t="shared" si="7"/>
        <v>6.4890000000000008</v>
      </c>
      <c r="Z70" s="253">
        <f>'A.1. Conso_bâtiment_EF H2'!Z70*'0. Zones climatiques'!$F$7</f>
        <v>1.9569999999999999</v>
      </c>
      <c r="AA70" s="253">
        <f>'A.1. Conso_bâtiment_EF H2'!AA70*'0. Zones climatiques'!$F$7</f>
        <v>4.5320000000000009</v>
      </c>
      <c r="AB70" s="255"/>
      <c r="AC70" s="255"/>
    </row>
    <row r="71" spans="4:29" ht="33.6" customHeight="1" x14ac:dyDescent="0.4">
      <c r="D71" s="1148"/>
      <c r="E71" s="202" t="s">
        <v>191</v>
      </c>
      <c r="F71" s="202"/>
      <c r="G71" s="202" t="s">
        <v>183</v>
      </c>
      <c r="H71" s="202"/>
      <c r="I71" s="633">
        <f t="shared" si="4"/>
        <v>10.3</v>
      </c>
      <c r="J71" s="253">
        <f>'A.1. Conso_bâtiment_EF H2'!J71*'0. Zones climatiques'!$F$7</f>
        <v>10.3</v>
      </c>
      <c r="K71" s="254"/>
      <c r="L71" s="254"/>
      <c r="M71" s="254"/>
      <c r="N71" s="254"/>
      <c r="O71" s="633">
        <f t="shared" si="5"/>
        <v>0</v>
      </c>
      <c r="P71" s="255"/>
      <c r="Q71" s="255"/>
      <c r="R71" s="255"/>
      <c r="S71" s="255"/>
      <c r="T71" s="633">
        <f t="shared" si="6"/>
        <v>23.484000000000002</v>
      </c>
      <c r="U71" s="253">
        <f>'A.1. Conso_bâtiment_EF H2'!U71*'0. Zones climatiques'!$F$7</f>
        <v>23.484000000000002</v>
      </c>
      <c r="V71" s="255"/>
      <c r="W71" s="255"/>
      <c r="X71" s="255"/>
      <c r="Y71" s="633">
        <f t="shared" si="7"/>
        <v>11.845000000000001</v>
      </c>
      <c r="Z71" s="253">
        <f>'A.1. Conso_bâtiment_EF H2'!Z71*'0. Zones climatiques'!$F$7</f>
        <v>11.845000000000001</v>
      </c>
      <c r="AA71" s="255"/>
      <c r="AB71" s="255"/>
      <c r="AC71" s="255"/>
    </row>
    <row r="72" spans="4:29" ht="33.6" customHeight="1" x14ac:dyDescent="0.4">
      <c r="D72" s="1148"/>
      <c r="E72" s="202" t="s">
        <v>192</v>
      </c>
      <c r="F72" s="202"/>
      <c r="G72" s="202" t="s">
        <v>183</v>
      </c>
      <c r="H72" s="202"/>
      <c r="I72" s="633">
        <f t="shared" si="4"/>
        <v>4.12</v>
      </c>
      <c r="J72" s="253">
        <f>'A.1. Conso_bâtiment_EF H2'!J72*'0. Zones climatiques'!$F$7</f>
        <v>4.12</v>
      </c>
      <c r="K72" s="642"/>
      <c r="L72" s="642"/>
      <c r="M72" s="642"/>
      <c r="N72" s="642"/>
      <c r="O72" s="633">
        <f t="shared" si="5"/>
        <v>0</v>
      </c>
      <c r="P72" s="254"/>
      <c r="Q72" s="254"/>
      <c r="R72" s="254"/>
      <c r="S72" s="254"/>
      <c r="T72" s="633">
        <f t="shared" si="6"/>
        <v>21.835999999999999</v>
      </c>
      <c r="U72" s="253">
        <f>'A.1. Conso_bâtiment_EF H2'!U72*'0. Zones climatiques'!$F$7</f>
        <v>21.835999999999999</v>
      </c>
      <c r="V72" s="642"/>
      <c r="W72" s="642"/>
      <c r="X72" s="255"/>
      <c r="Y72" s="633">
        <f t="shared" si="7"/>
        <v>11.124000000000001</v>
      </c>
      <c r="Z72" s="253">
        <f>'A.1. Conso_bâtiment_EF H2'!Z72*'0. Zones climatiques'!$F$7</f>
        <v>11.124000000000001</v>
      </c>
      <c r="AA72" s="642"/>
      <c r="AB72" s="642"/>
      <c r="AC72" s="255"/>
    </row>
    <row r="73" spans="4:29" ht="33.6" customHeight="1" x14ac:dyDescent="0.4">
      <c r="D73" s="1148"/>
      <c r="E73" s="202" t="s">
        <v>193</v>
      </c>
      <c r="F73" s="202"/>
      <c r="G73" s="202"/>
      <c r="H73" s="202"/>
      <c r="I73" s="633">
        <f t="shared" si="4"/>
        <v>0</v>
      </c>
      <c r="J73" s="255"/>
      <c r="K73" s="255"/>
      <c r="L73" s="255"/>
      <c r="M73" s="255"/>
      <c r="N73" s="255"/>
      <c r="O73" s="633">
        <f t="shared" si="5"/>
        <v>0</v>
      </c>
      <c r="P73" s="254"/>
      <c r="Q73" s="254"/>
      <c r="R73" s="254"/>
      <c r="S73" s="254"/>
      <c r="T73" s="633">
        <f t="shared" si="6"/>
        <v>31.106000000000002</v>
      </c>
      <c r="U73" s="253">
        <f>'A.1. Conso_bâtiment_EF H2'!U73*'0. Zones climatiques'!$F$7</f>
        <v>8.4459999999999997</v>
      </c>
      <c r="V73" s="255"/>
      <c r="W73" s="255"/>
      <c r="X73" s="253">
        <f>'A.1. Conso_bâtiment_EF H2'!X73*'0. Zones climatiques'!$F$7</f>
        <v>22.66</v>
      </c>
      <c r="Y73" s="633">
        <f t="shared" si="7"/>
        <v>15.759</v>
      </c>
      <c r="Z73" s="253">
        <f>'A.1. Conso_bâtiment_EF H2'!Z73*'0. Zones climatiques'!$F$7</f>
        <v>4.3260000000000005</v>
      </c>
      <c r="AA73" s="255"/>
      <c r="AB73" s="255"/>
      <c r="AC73" s="253">
        <f>'A.1. Conso_bâtiment_EF H2'!AC73*'0. Zones climatiques'!$F$7</f>
        <v>11.433</v>
      </c>
    </row>
    <row r="74" spans="4:29" ht="33.6" customHeight="1" x14ac:dyDescent="0.4">
      <c r="D74" s="1148"/>
      <c r="E74" s="202" t="s">
        <v>194</v>
      </c>
      <c r="F74" s="202"/>
      <c r="G74" s="202"/>
      <c r="H74" s="202"/>
      <c r="I74" s="633">
        <f t="shared" si="4"/>
        <v>14.214</v>
      </c>
      <c r="J74" s="253">
        <f>'A.1. Conso_bâtiment_EF H2'!J74*'0. Zones climatiques'!$F$7</f>
        <v>14.214</v>
      </c>
      <c r="K74" s="255"/>
      <c r="L74" s="255"/>
      <c r="M74" s="255"/>
      <c r="N74" s="255"/>
      <c r="O74" s="633">
        <f t="shared" si="5"/>
        <v>0</v>
      </c>
      <c r="P74" s="255"/>
      <c r="Q74" s="255"/>
      <c r="R74" s="255"/>
      <c r="S74" s="255"/>
      <c r="T74" s="633">
        <f t="shared" si="6"/>
        <v>38.728000000000002</v>
      </c>
      <c r="U74" s="253">
        <f>'A.1. Conso_bâtiment_EF H2'!U74*'0. Zones climatiques'!$F$7</f>
        <v>38.728000000000002</v>
      </c>
      <c r="V74" s="255"/>
      <c r="W74" s="255"/>
      <c r="X74" s="255"/>
      <c r="Y74" s="633">
        <f t="shared" si="7"/>
        <v>19.57</v>
      </c>
      <c r="Z74" s="253">
        <f>'A.1. Conso_bâtiment_EF H2'!Z74*'0. Zones climatiques'!$F$7</f>
        <v>19.57</v>
      </c>
      <c r="AA74" s="255"/>
      <c r="AB74" s="255"/>
      <c r="AC74" s="255"/>
    </row>
    <row r="75" spans="4:29" ht="33.6" customHeight="1" x14ac:dyDescent="0.4">
      <c r="D75" s="1148"/>
      <c r="E75" s="202" t="s">
        <v>195</v>
      </c>
      <c r="F75" s="202"/>
      <c r="G75" s="202"/>
      <c r="H75" s="202"/>
      <c r="I75" s="633">
        <f t="shared" si="4"/>
        <v>0</v>
      </c>
      <c r="J75" s="254"/>
      <c r="K75" s="254"/>
      <c r="L75" s="254"/>
      <c r="M75" s="254"/>
      <c r="N75" s="254"/>
      <c r="O75" s="633">
        <f t="shared" si="5"/>
        <v>0</v>
      </c>
      <c r="P75" s="639"/>
      <c r="Q75" s="639"/>
      <c r="R75" s="639"/>
      <c r="S75" s="639"/>
      <c r="T75" s="633">
        <f t="shared" si="6"/>
        <v>0</v>
      </c>
      <c r="U75" s="639"/>
      <c r="V75" s="639"/>
      <c r="W75" s="639"/>
      <c r="X75" s="639"/>
      <c r="Y75" s="633">
        <f t="shared" si="7"/>
        <v>0</v>
      </c>
      <c r="Z75" s="639"/>
      <c r="AA75" s="639"/>
      <c r="AB75" s="639"/>
      <c r="AC75" s="255"/>
    </row>
    <row r="76" spans="4:29" ht="48" customHeight="1" x14ac:dyDescent="0.4">
      <c r="D76" s="1146" t="s">
        <v>166</v>
      </c>
      <c r="E76" s="202" t="s">
        <v>196</v>
      </c>
      <c r="F76" s="202" t="s">
        <v>183</v>
      </c>
      <c r="G76" s="202"/>
      <c r="H76" s="202"/>
      <c r="I76" s="633">
        <f t="shared" si="4"/>
        <v>19.981999999999999</v>
      </c>
      <c r="J76" s="254"/>
      <c r="K76" s="254"/>
      <c r="L76" s="253">
        <f>'A.1. Conso_bâtiment_EF H2'!L76*'0. Zones climatiques'!$F$7</f>
        <v>19.981999999999999</v>
      </c>
      <c r="M76" s="254"/>
      <c r="N76" s="254"/>
      <c r="O76" s="633">
        <f t="shared" si="5"/>
        <v>0</v>
      </c>
      <c r="P76" s="639"/>
      <c r="Q76" s="639"/>
      <c r="R76" s="639"/>
      <c r="S76" s="639"/>
      <c r="T76" s="633">
        <f t="shared" si="6"/>
        <v>45.938000000000002</v>
      </c>
      <c r="U76" s="639"/>
      <c r="V76" s="639"/>
      <c r="W76" s="253">
        <f>'A.1. Conso_bâtiment_EF H2'!W76*'0. Zones climatiques'!$F$7</f>
        <v>45.938000000000002</v>
      </c>
      <c r="X76" s="639"/>
      <c r="Y76" s="633">
        <f t="shared" si="7"/>
        <v>13.802000000000001</v>
      </c>
      <c r="Z76" s="639"/>
      <c r="AA76" s="639"/>
      <c r="AB76" s="253">
        <f>'A.1. Conso_bâtiment_EF H2'!AB76*'0. Zones climatiques'!$F$7</f>
        <v>13.802000000000001</v>
      </c>
      <c r="AC76" s="255"/>
    </row>
    <row r="77" spans="4:29" ht="48" customHeight="1" x14ac:dyDescent="0.4">
      <c r="D77" s="1147"/>
      <c r="E77" s="202" t="s">
        <v>197</v>
      </c>
      <c r="F77" s="202" t="s">
        <v>183</v>
      </c>
      <c r="G77" s="202"/>
      <c r="H77" s="202"/>
      <c r="I77" s="633">
        <f t="shared" si="4"/>
        <v>14.523</v>
      </c>
      <c r="J77" s="254"/>
      <c r="K77" s="254"/>
      <c r="L77" s="253">
        <f>'A.1. Conso_bâtiment_EF H2'!L77*'0. Zones climatiques'!$F$7</f>
        <v>14.523</v>
      </c>
      <c r="M77" s="254"/>
      <c r="N77" s="254"/>
      <c r="O77" s="633">
        <f t="shared" si="5"/>
        <v>0</v>
      </c>
      <c r="P77" s="639"/>
      <c r="Q77" s="639"/>
      <c r="R77" s="639"/>
      <c r="S77" s="639"/>
      <c r="T77" s="633">
        <f t="shared" si="6"/>
        <v>39.552</v>
      </c>
      <c r="U77" s="639"/>
      <c r="V77" s="639"/>
      <c r="W77" s="253">
        <f>'A.1. Conso_bâtiment_EF H2'!W77*'0. Zones climatiques'!$F$7</f>
        <v>39.552</v>
      </c>
      <c r="X77" s="639"/>
      <c r="Y77" s="633">
        <f t="shared" si="7"/>
        <v>11.845000000000001</v>
      </c>
      <c r="Z77" s="639"/>
      <c r="AA77" s="639"/>
      <c r="AB77" s="253">
        <f>'A.1. Conso_bâtiment_EF H2'!AB77*'0. Zones climatiques'!$F$7</f>
        <v>11.845000000000001</v>
      </c>
      <c r="AC77" s="255"/>
    </row>
    <row r="78" spans="4:29" ht="48" customHeight="1" x14ac:dyDescent="0.4">
      <c r="D78" s="1041" t="s">
        <v>767</v>
      </c>
      <c r="E78" s="202" t="s">
        <v>3795</v>
      </c>
      <c r="F78" s="202"/>
      <c r="G78" s="202"/>
      <c r="H78" s="202"/>
      <c r="I78" s="633">
        <f t="shared" si="4"/>
        <v>36.461999999999996</v>
      </c>
      <c r="J78" s="254"/>
      <c r="K78" s="254"/>
      <c r="L78" s="254"/>
      <c r="M78" s="253">
        <f>'A.1. Conso_bâtiment_EF H2'!M78*'0. Zones climatiques'!$F$7</f>
        <v>36.461999999999996</v>
      </c>
      <c r="N78" s="254"/>
      <c r="O78" s="633">
        <f t="shared" si="5"/>
        <v>0</v>
      </c>
      <c r="P78" s="639"/>
      <c r="Q78" s="639"/>
      <c r="R78" s="639"/>
      <c r="S78" s="639"/>
      <c r="T78" s="633">
        <f t="shared" si="6"/>
        <v>0</v>
      </c>
      <c r="U78" s="639"/>
      <c r="V78" s="639"/>
      <c r="W78" s="639"/>
      <c r="X78" s="639"/>
      <c r="Y78" s="633">
        <f t="shared" si="7"/>
        <v>0</v>
      </c>
      <c r="Z78" s="639"/>
      <c r="AA78" s="639"/>
      <c r="AB78" s="253"/>
      <c r="AC78" s="255"/>
    </row>
    <row r="79" spans="4:29" ht="48" customHeight="1" x14ac:dyDescent="0.4">
      <c r="D79" s="1103" t="s">
        <v>768</v>
      </c>
      <c r="E79" s="202" t="s">
        <v>3796</v>
      </c>
      <c r="F79" s="202"/>
      <c r="G79" s="202"/>
      <c r="H79" s="202"/>
      <c r="I79" s="633">
        <f t="shared" si="4"/>
        <v>19.57</v>
      </c>
      <c r="J79" s="254"/>
      <c r="K79" s="254"/>
      <c r="L79" s="254"/>
      <c r="M79" s="254"/>
      <c r="N79" s="253">
        <f>'A.1. Conso_bâtiment_EF H2'!N79*'0. Zones climatiques'!$F$7</f>
        <v>19.57</v>
      </c>
      <c r="O79" s="633">
        <f t="shared" si="5"/>
        <v>31.003000000000004</v>
      </c>
      <c r="P79" s="639"/>
      <c r="Q79" s="639"/>
      <c r="R79" s="639"/>
      <c r="S79" s="253">
        <f>'A.1. Conso_bâtiment_EF H2'!S79*'0. Zones climatiques'!$F$7</f>
        <v>31.003000000000004</v>
      </c>
      <c r="T79" s="633">
        <f t="shared" si="6"/>
        <v>0</v>
      </c>
      <c r="U79" s="639"/>
      <c r="V79" s="639"/>
      <c r="W79" s="639"/>
      <c r="X79" s="639"/>
      <c r="Y79" s="633">
        <f t="shared" si="7"/>
        <v>0</v>
      </c>
      <c r="Z79" s="639"/>
      <c r="AA79" s="639"/>
      <c r="AB79" s="253"/>
      <c r="AC79" s="255"/>
    </row>
    <row r="80" spans="4:29" ht="48" customHeight="1" x14ac:dyDescent="0.4">
      <c r="D80" s="1146" t="s">
        <v>198</v>
      </c>
      <c r="E80" s="202" t="s">
        <v>199</v>
      </c>
      <c r="F80" s="202"/>
      <c r="G80" s="202"/>
      <c r="H80" s="202"/>
      <c r="I80" s="633">
        <f t="shared" si="4"/>
        <v>8.5490000000000013</v>
      </c>
      <c r="J80" s="988">
        <f>'A.1. Conso_bâtiment_EF H2'!J80*'0. Zones climatiques'!$F$7</f>
        <v>2.472</v>
      </c>
      <c r="K80" s="988">
        <f>'A.1. Conso_bâtiment_EF H2'!K80*'0. Zones climatiques'!$F$7</f>
        <v>6.0770000000000008</v>
      </c>
      <c r="L80" s="255"/>
      <c r="M80" s="254"/>
      <c r="N80" s="254"/>
      <c r="O80" s="633">
        <f t="shared" si="5"/>
        <v>0</v>
      </c>
      <c r="P80" s="639"/>
      <c r="Q80" s="639"/>
      <c r="R80" s="639"/>
      <c r="S80" s="639"/>
      <c r="T80" s="633">
        <f t="shared" si="6"/>
        <v>7.2100000000000009</v>
      </c>
      <c r="U80" s="253">
        <f>'A.1. Conso_bâtiment_EF H2'!U80*'0. Zones climatiques'!$F$7</f>
        <v>2.1630000000000003</v>
      </c>
      <c r="V80" s="253">
        <f>'A.1. Conso_bâtiment_EF H2'!V80*'0. Zones climatiques'!$F$7</f>
        <v>5.0470000000000006</v>
      </c>
      <c r="W80" s="255"/>
      <c r="X80" s="255"/>
      <c r="Y80" s="633">
        <f t="shared" si="7"/>
        <v>2.06</v>
      </c>
      <c r="Z80" s="639"/>
      <c r="AA80" s="253">
        <f>'A.1. Conso_bâtiment_EF H2'!AA80*'0. Zones climatiques'!$F$7</f>
        <v>2.06</v>
      </c>
      <c r="AB80" s="255"/>
      <c r="AC80" s="255"/>
    </row>
    <row r="81" spans="4:29" ht="48" customHeight="1" x14ac:dyDescent="0.4">
      <c r="D81" s="1147"/>
      <c r="E81" s="202" t="s">
        <v>200</v>
      </c>
      <c r="F81" s="202"/>
      <c r="G81" s="202"/>
      <c r="H81" s="202"/>
      <c r="I81" s="633">
        <f t="shared" si="4"/>
        <v>14.553900000000001</v>
      </c>
      <c r="J81" s="988">
        <f>'A.1. Conso_bâtiment_EF H2'!J81*'0. Zones climatiques'!$F$7</f>
        <v>0.1133</v>
      </c>
      <c r="K81" s="988">
        <f>'A.1. Conso_bâtiment_EF H2'!K81*'0. Zones climatiques'!$F$7</f>
        <v>14.4406</v>
      </c>
      <c r="L81" s="255"/>
      <c r="M81" s="254"/>
      <c r="N81" s="254"/>
      <c r="O81" s="633">
        <f t="shared" si="5"/>
        <v>9.0640000000000018</v>
      </c>
      <c r="P81" s="639"/>
      <c r="Q81" s="253">
        <f>'A.1. Conso_bâtiment_EF H2'!Q81*'0. Zones climatiques'!$F$7</f>
        <v>9.0640000000000018</v>
      </c>
      <c r="R81" s="639"/>
      <c r="S81" s="639"/>
      <c r="T81" s="633">
        <f t="shared" si="6"/>
        <v>8.9610000000000003</v>
      </c>
      <c r="U81" s="253">
        <f>'A.1. Conso_bâtiment_EF H2'!U81*'0. Zones climatiques'!$F$7</f>
        <v>1.8540000000000001</v>
      </c>
      <c r="V81" s="253">
        <f>'A.1. Conso_bâtiment_EF H2'!V81*'0. Zones climatiques'!$F$7</f>
        <v>7.1070000000000002</v>
      </c>
      <c r="W81" s="255"/>
      <c r="X81" s="255"/>
      <c r="Y81" s="633">
        <f t="shared" si="7"/>
        <v>0</v>
      </c>
      <c r="Z81" s="639"/>
      <c r="AA81" s="255"/>
      <c r="AB81" s="255"/>
      <c r="AC81" s="255"/>
    </row>
    <row r="82" spans="4:29" ht="33.6" customHeight="1" outlineLevel="1" x14ac:dyDescent="0.4">
      <c r="D82" s="1145" t="s">
        <v>201</v>
      </c>
      <c r="E82" s="776" t="s">
        <v>202</v>
      </c>
      <c r="F82" s="202"/>
      <c r="G82" s="202"/>
      <c r="H82" s="202"/>
      <c r="I82" s="633">
        <f t="shared" si="4"/>
        <v>0</v>
      </c>
      <c r="J82" s="254"/>
      <c r="K82" s="988">
        <f>'A.1. Conso_bâtiment_EF H2'!K82*'0. Zones climatiques'!$F$7</f>
        <v>0</v>
      </c>
      <c r="L82" s="988">
        <f>'A.1. Conso_bâtiment_EF H2'!L82*'0. Zones climatiques'!$F$7</f>
        <v>0</v>
      </c>
      <c r="M82" s="254"/>
      <c r="N82" s="254"/>
      <c r="O82" s="633">
        <f t="shared" si="5"/>
        <v>0</v>
      </c>
      <c r="P82" s="254"/>
      <c r="Q82" s="253"/>
      <c r="R82" s="254"/>
      <c r="S82" s="254"/>
      <c r="T82" s="633">
        <f t="shared" si="6"/>
        <v>0</v>
      </c>
      <c r="U82" s="254"/>
      <c r="V82" s="253"/>
      <c r="W82" s="253"/>
      <c r="X82" s="254"/>
      <c r="Y82" s="633">
        <f t="shared" si="7"/>
        <v>0</v>
      </c>
      <c r="Z82" s="254"/>
      <c r="AA82" s="253"/>
      <c r="AB82" s="253"/>
      <c r="AC82" s="254"/>
    </row>
    <row r="83" spans="4:29" ht="33.6" customHeight="1" outlineLevel="1" x14ac:dyDescent="0.4">
      <c r="D83" s="1145"/>
      <c r="E83" s="776" t="s">
        <v>203</v>
      </c>
      <c r="F83" s="202"/>
      <c r="G83" s="202"/>
      <c r="H83" s="202"/>
      <c r="I83" s="633">
        <f t="shared" si="4"/>
        <v>0</v>
      </c>
      <c r="J83" s="254"/>
      <c r="K83" s="988">
        <f>'A.1. Conso_bâtiment_EF H2'!K83*'0. Zones climatiques'!$F$7</f>
        <v>0</v>
      </c>
      <c r="L83" s="256"/>
      <c r="M83" s="254"/>
      <c r="N83" s="254"/>
      <c r="O83" s="633">
        <f t="shared" si="5"/>
        <v>0</v>
      </c>
      <c r="P83" s="254"/>
      <c r="Q83" s="253"/>
      <c r="R83" s="254"/>
      <c r="S83" s="254"/>
      <c r="T83" s="633">
        <f t="shared" si="6"/>
        <v>0</v>
      </c>
      <c r="U83" s="254"/>
      <c r="V83" s="253"/>
      <c r="W83" s="253"/>
      <c r="X83" s="254"/>
      <c r="Y83" s="633">
        <f t="shared" si="7"/>
        <v>0</v>
      </c>
      <c r="Z83" s="254"/>
      <c r="AA83" s="253"/>
      <c r="AB83" s="253"/>
      <c r="AC83" s="254"/>
    </row>
    <row r="88" spans="4:29" ht="23.25" x14ac:dyDescent="0.35">
      <c r="E88" s="206" t="s">
        <v>208</v>
      </c>
    </row>
    <row r="90" spans="4:29" ht="75" x14ac:dyDescent="0.2">
      <c r="E90" s="103" t="s">
        <v>172</v>
      </c>
      <c r="F90" s="103" t="s">
        <v>173</v>
      </c>
      <c r="G90" s="103" t="s">
        <v>174</v>
      </c>
      <c r="H90" s="103" t="s">
        <v>175</v>
      </c>
      <c r="I90" s="203" t="s">
        <v>176</v>
      </c>
      <c r="J90" s="203" t="s">
        <v>177</v>
      </c>
      <c r="K90" s="203" t="s">
        <v>205</v>
      </c>
      <c r="L90" s="203"/>
      <c r="M90" s="203" t="s">
        <v>209</v>
      </c>
      <c r="N90" s="203" t="s">
        <v>3797</v>
      </c>
      <c r="O90" s="203" t="s">
        <v>176</v>
      </c>
      <c r="P90" s="203" t="s">
        <v>177</v>
      </c>
      <c r="Q90" s="203" t="s">
        <v>178</v>
      </c>
      <c r="R90" s="203" t="s">
        <v>209</v>
      </c>
      <c r="S90" s="203" t="s">
        <v>3797</v>
      </c>
      <c r="T90" s="203" t="s">
        <v>176</v>
      </c>
      <c r="U90" s="203" t="s">
        <v>177</v>
      </c>
      <c r="V90" s="203" t="s">
        <v>178</v>
      </c>
      <c r="W90" s="203"/>
      <c r="X90" s="203" t="s">
        <v>209</v>
      </c>
      <c r="Y90" s="203" t="s">
        <v>206</v>
      </c>
      <c r="Z90" s="203" t="s">
        <v>177</v>
      </c>
      <c r="AA90" s="203" t="s">
        <v>178</v>
      </c>
      <c r="AB90" s="203"/>
      <c r="AC90" s="203" t="s">
        <v>209</v>
      </c>
    </row>
    <row r="91" spans="4:29" ht="24" x14ac:dyDescent="0.4">
      <c r="E91" s="202" t="s">
        <v>210</v>
      </c>
      <c r="F91" s="202"/>
      <c r="G91" s="202"/>
      <c r="H91" s="202"/>
      <c r="I91" s="260">
        <f>SUM(J91:M91)</f>
        <v>1.4</v>
      </c>
      <c r="J91" s="259"/>
      <c r="K91" s="258">
        <v>1.4</v>
      </c>
      <c r="L91" s="259"/>
      <c r="M91" s="259"/>
      <c r="N91" s="259"/>
      <c r="O91" s="260">
        <f>SUM(P91:R91)</f>
        <v>1.3</v>
      </c>
      <c r="P91" s="259"/>
      <c r="Q91" s="258">
        <v>1.3</v>
      </c>
      <c r="R91" s="255"/>
      <c r="S91" s="1104"/>
      <c r="T91" s="632">
        <f>SUM(U91:X91)</f>
        <v>0</v>
      </c>
      <c r="U91" s="259"/>
      <c r="V91" s="259"/>
      <c r="W91" s="255"/>
      <c r="X91" s="255"/>
      <c r="Y91" s="508">
        <f>SUM(Z91:AC91)</f>
        <v>6.9</v>
      </c>
      <c r="Z91" s="259"/>
      <c r="AA91" s="258">
        <v>6.9</v>
      </c>
      <c r="AB91" s="255"/>
      <c r="AC91" s="255"/>
    </row>
    <row r="92" spans="4:29" ht="24" x14ac:dyDescent="0.4">
      <c r="E92" s="202" t="s">
        <v>195</v>
      </c>
      <c r="F92" s="202"/>
      <c r="G92" s="202"/>
      <c r="H92" s="202"/>
      <c r="I92" s="259"/>
      <c r="J92" s="259"/>
      <c r="K92" s="259"/>
      <c r="L92" s="259"/>
      <c r="M92" s="259"/>
      <c r="N92" s="259"/>
      <c r="O92" s="259"/>
      <c r="P92" s="259"/>
      <c r="Q92" s="259"/>
      <c r="R92" s="259"/>
      <c r="S92" s="1104"/>
      <c r="T92" s="508">
        <f>SUM(U92:X92)</f>
        <v>0</v>
      </c>
      <c r="U92" s="259"/>
      <c r="V92" s="258">
        <v>0</v>
      </c>
      <c r="W92" s="255"/>
      <c r="X92" s="255"/>
      <c r="Y92" s="508">
        <f>SUM(Z92:AC92)</f>
        <v>0</v>
      </c>
      <c r="Z92" s="259"/>
      <c r="AA92" s="258">
        <v>0</v>
      </c>
      <c r="AB92" s="255"/>
      <c r="AC92" s="255"/>
    </row>
    <row r="97" spans="4:38" ht="20.25" x14ac:dyDescent="0.3">
      <c r="E97" s="205" t="s">
        <v>211</v>
      </c>
      <c r="F97" s="205"/>
      <c r="G97" s="205"/>
      <c r="H97" s="205"/>
      <c r="M97" s="197"/>
      <c r="N97" s="197"/>
      <c r="U97" s="61"/>
    </row>
    <row r="99" spans="4:38" ht="20.25" x14ac:dyDescent="0.3">
      <c r="I99" s="1143" t="s">
        <v>162</v>
      </c>
      <c r="J99" s="1143"/>
      <c r="K99" s="1143"/>
      <c r="L99" s="1143"/>
      <c r="M99" s="1143"/>
      <c r="N99" s="1044"/>
      <c r="O99" s="1143" t="s">
        <v>163</v>
      </c>
      <c r="P99" s="1143"/>
      <c r="Q99" s="1143"/>
      <c r="R99" s="1143"/>
      <c r="S99" s="1044"/>
      <c r="T99" s="1143" t="s">
        <v>170</v>
      </c>
      <c r="U99" s="1143"/>
      <c r="V99" s="1143"/>
      <c r="W99" s="1143"/>
      <c r="X99" s="1143"/>
      <c r="Y99" s="1143" t="s">
        <v>165</v>
      </c>
      <c r="Z99" s="1143"/>
      <c r="AA99" s="1143"/>
      <c r="AB99" s="1143"/>
      <c r="AC99" s="1143"/>
    </row>
    <row r="100" spans="4:38" ht="15.75" x14ac:dyDescent="0.25">
      <c r="E100" s="96"/>
      <c r="F100" s="96"/>
      <c r="G100" s="96"/>
      <c r="H100" s="96"/>
      <c r="I100" s="96"/>
      <c r="J100" s="1142" t="s">
        <v>171</v>
      </c>
      <c r="K100" s="1142"/>
      <c r="L100" s="1142"/>
      <c r="M100" s="1142"/>
      <c r="N100" s="1043"/>
      <c r="O100" s="18"/>
      <c r="P100" s="1142" t="s">
        <v>171</v>
      </c>
      <c r="Q100" s="1142"/>
      <c r="R100" s="1142"/>
      <c r="S100" s="1043"/>
      <c r="T100" s="18"/>
      <c r="U100" s="1142" t="s">
        <v>171</v>
      </c>
      <c r="V100" s="1142"/>
      <c r="W100" s="1142"/>
      <c r="X100" s="1142"/>
      <c r="Y100" s="18"/>
      <c r="Z100" s="1142" t="s">
        <v>171</v>
      </c>
      <c r="AA100" s="1142"/>
      <c r="AB100" s="1142"/>
      <c r="AC100" s="1142"/>
      <c r="AE100" s="1139" t="s">
        <v>212</v>
      </c>
      <c r="AF100" s="1140"/>
      <c r="AG100" s="1139" t="s">
        <v>213</v>
      </c>
      <c r="AH100" s="1140"/>
      <c r="AI100" s="1139" t="s">
        <v>214</v>
      </c>
      <c r="AJ100" s="1140"/>
      <c r="AK100" s="1139" t="s">
        <v>215</v>
      </c>
      <c r="AL100" s="1140"/>
    </row>
    <row r="101" spans="4:38" ht="15.75" x14ac:dyDescent="0.25">
      <c r="E101" s="96"/>
      <c r="F101" s="96"/>
      <c r="G101" s="96"/>
      <c r="H101" s="96"/>
      <c r="I101" s="96"/>
      <c r="J101" s="96"/>
      <c r="K101" s="96"/>
      <c r="L101" s="96"/>
      <c r="M101" s="96"/>
      <c r="N101" s="96"/>
      <c r="AE101" s="31"/>
      <c r="AF101" s="33"/>
      <c r="AG101" s="31"/>
      <c r="AH101" s="33"/>
      <c r="AI101" s="31"/>
      <c r="AJ101" s="33"/>
      <c r="AK101" s="31"/>
      <c r="AL101" s="33"/>
    </row>
    <row r="102" spans="4:38" ht="75" x14ac:dyDescent="0.2">
      <c r="E102" s="103" t="s">
        <v>172</v>
      </c>
      <c r="F102" s="103" t="s">
        <v>173</v>
      </c>
      <c r="G102" s="103" t="s">
        <v>216</v>
      </c>
      <c r="H102" s="103" t="s">
        <v>175</v>
      </c>
      <c r="I102" s="203" t="s">
        <v>176</v>
      </c>
      <c r="J102" s="203" t="s">
        <v>177</v>
      </c>
      <c r="K102" s="203" t="s">
        <v>205</v>
      </c>
      <c r="L102" s="203" t="s">
        <v>179</v>
      </c>
      <c r="M102" s="203" t="s">
        <v>3816</v>
      </c>
      <c r="N102" s="203" t="s">
        <v>3817</v>
      </c>
      <c r="O102" s="203" t="s">
        <v>206</v>
      </c>
      <c r="P102" s="203" t="s">
        <v>177</v>
      </c>
      <c r="Q102" s="203" t="s">
        <v>178</v>
      </c>
      <c r="R102" s="203" t="s">
        <v>180</v>
      </c>
      <c r="S102" s="203" t="s">
        <v>3797</v>
      </c>
      <c r="T102" s="203" t="s">
        <v>206</v>
      </c>
      <c r="U102" s="203" t="s">
        <v>177</v>
      </c>
      <c r="V102" s="203" t="s">
        <v>178</v>
      </c>
      <c r="W102" s="203" t="s">
        <v>179</v>
      </c>
      <c r="X102" s="203" t="s">
        <v>180</v>
      </c>
      <c r="Y102" s="203" t="s">
        <v>206</v>
      </c>
      <c r="Z102" s="203" t="s">
        <v>177</v>
      </c>
      <c r="AA102" s="203" t="s">
        <v>178</v>
      </c>
      <c r="AB102" s="203" t="s">
        <v>179</v>
      </c>
      <c r="AC102" s="203" t="s">
        <v>180</v>
      </c>
      <c r="AE102" s="563" t="s">
        <v>217</v>
      </c>
      <c r="AF102" s="564" t="s">
        <v>218</v>
      </c>
      <c r="AG102" s="563" t="s">
        <v>217</v>
      </c>
      <c r="AH102" s="564" t="s">
        <v>218</v>
      </c>
      <c r="AI102" s="563" t="s">
        <v>217</v>
      </c>
      <c r="AJ102" s="564" t="s">
        <v>218</v>
      </c>
      <c r="AK102" s="563" t="s">
        <v>217</v>
      </c>
      <c r="AL102" s="564" t="s">
        <v>218</v>
      </c>
    </row>
    <row r="103" spans="4:38" ht="45.95" customHeight="1" x14ac:dyDescent="0.4">
      <c r="D103" s="1145" t="s">
        <v>181</v>
      </c>
      <c r="E103" s="202" t="s">
        <v>182</v>
      </c>
      <c r="F103" s="202"/>
      <c r="G103" s="202" t="s">
        <v>183</v>
      </c>
      <c r="H103" s="202"/>
      <c r="I103" s="260">
        <f>SUM(J103:N103)</f>
        <v>141.89200000000002</v>
      </c>
      <c r="J103" s="258">
        <f t="shared" ref="J103:J108" si="8">J34+J63</f>
        <v>141.89200000000002</v>
      </c>
      <c r="K103" s="259"/>
      <c r="L103" s="259"/>
      <c r="M103" s="259"/>
      <c r="N103" s="259"/>
      <c r="O103" s="980">
        <f>SUM(P103:S103)</f>
        <v>153.10300000000001</v>
      </c>
      <c r="P103" s="510">
        <f>P34+P63</f>
        <v>153.10300000000001</v>
      </c>
      <c r="Q103" s="643"/>
      <c r="R103" s="643"/>
      <c r="S103" s="643"/>
      <c r="T103" s="260">
        <f>SUM(U103:X103)</f>
        <v>218.17100000000002</v>
      </c>
      <c r="U103" s="258">
        <f>U34+U63</f>
        <v>218.17100000000002</v>
      </c>
      <c r="V103" s="259"/>
      <c r="W103" s="259"/>
      <c r="X103" s="259"/>
      <c r="Y103" s="633">
        <f>SUM(Z103:AC103)</f>
        <v>198.57900000000001</v>
      </c>
      <c r="Z103" s="258">
        <f t="shared" ref="Z103:Z115" si="9">Z34+Z63</f>
        <v>198.57900000000001</v>
      </c>
      <c r="AA103" s="259"/>
      <c r="AB103" s="255"/>
      <c r="AC103" s="255"/>
      <c r="AD103" s="593"/>
      <c r="AE103" s="31"/>
      <c r="AF103" s="33"/>
      <c r="AG103" s="31"/>
      <c r="AH103" s="33"/>
      <c r="AI103" s="31"/>
      <c r="AJ103" s="33"/>
      <c r="AK103" s="31"/>
      <c r="AL103" s="33"/>
    </row>
    <row r="104" spans="4:38" ht="45.95" customHeight="1" x14ac:dyDescent="0.4">
      <c r="D104" s="1145"/>
      <c r="E104" s="202" t="s">
        <v>207</v>
      </c>
      <c r="F104" s="202"/>
      <c r="G104" s="202" t="s">
        <v>183</v>
      </c>
      <c r="H104" s="202"/>
      <c r="I104" s="260">
        <f t="shared" ref="I104:I123" si="10">SUM(J104:N104)</f>
        <v>134.86000000000001</v>
      </c>
      <c r="J104" s="258">
        <f t="shared" si="8"/>
        <v>134.86000000000001</v>
      </c>
      <c r="K104" s="259"/>
      <c r="L104" s="259"/>
      <c r="M104" s="259"/>
      <c r="N104" s="259"/>
      <c r="O104" s="980">
        <f t="shared" ref="O104:O123" si="11">SUM(P104:S104)</f>
        <v>145.453</v>
      </c>
      <c r="P104" s="510">
        <f>P35+P64</f>
        <v>145.453</v>
      </c>
      <c r="Q104" s="643"/>
      <c r="R104" s="643"/>
      <c r="S104" s="643"/>
      <c r="T104" s="260">
        <f>SUM(U104:X104)</f>
        <v>207.24700000000001</v>
      </c>
      <c r="U104" s="258">
        <f>U35+U64</f>
        <v>207.24700000000001</v>
      </c>
      <c r="V104" s="259"/>
      <c r="W104" s="259"/>
      <c r="X104" s="259"/>
      <c r="Y104" s="633">
        <f>SUM(Z104:AC104)</f>
        <v>188.46300000000002</v>
      </c>
      <c r="Z104" s="258">
        <f t="shared" si="9"/>
        <v>188.46300000000002</v>
      </c>
      <c r="AA104" s="259"/>
      <c r="AB104" s="255"/>
      <c r="AC104" s="255"/>
      <c r="AD104" s="593"/>
      <c r="AE104" s="31"/>
      <c r="AF104" s="33"/>
      <c r="AG104" s="31"/>
      <c r="AH104" s="33"/>
      <c r="AI104" s="31"/>
      <c r="AJ104" s="33"/>
      <c r="AK104" s="31"/>
      <c r="AL104" s="33"/>
    </row>
    <row r="105" spans="4:38" ht="45.95" customHeight="1" x14ac:dyDescent="0.4">
      <c r="D105" s="1145"/>
      <c r="E105" s="202" t="s">
        <v>185</v>
      </c>
      <c r="F105" s="202"/>
      <c r="G105" s="202" t="s">
        <v>183</v>
      </c>
      <c r="H105" s="202"/>
      <c r="I105" s="260">
        <f t="shared" si="10"/>
        <v>128.11700000000002</v>
      </c>
      <c r="J105" s="258">
        <f t="shared" si="8"/>
        <v>128.11700000000002</v>
      </c>
      <c r="K105" s="259"/>
      <c r="L105" s="259"/>
      <c r="M105" s="259"/>
      <c r="N105" s="259"/>
      <c r="O105" s="980">
        <f t="shared" si="11"/>
        <v>138.18035</v>
      </c>
      <c r="P105" s="510">
        <f>P36+P65</f>
        <v>138.18035</v>
      </c>
      <c r="Q105" s="643"/>
      <c r="R105" s="643"/>
      <c r="S105" s="643"/>
      <c r="T105" s="980">
        <f>SUM(U105:X105)</f>
        <v>196.88465000000002</v>
      </c>
      <c r="U105" s="510">
        <f>U36+U65</f>
        <v>196.88465000000002</v>
      </c>
      <c r="V105" s="259"/>
      <c r="W105" s="259"/>
      <c r="X105" s="259"/>
      <c r="Y105" s="979">
        <f>SUM(Z105:AC105)</f>
        <v>179.03985</v>
      </c>
      <c r="Z105" s="510">
        <f t="shared" si="9"/>
        <v>179.03985</v>
      </c>
      <c r="AA105" s="259"/>
      <c r="AB105" s="255"/>
      <c r="AC105" s="255"/>
      <c r="AD105" s="593"/>
      <c r="AE105" s="31"/>
      <c r="AF105" s="33"/>
      <c r="AG105" s="31"/>
      <c r="AH105" s="33"/>
      <c r="AI105" s="31"/>
      <c r="AJ105" s="33"/>
      <c r="AK105" s="31"/>
      <c r="AL105" s="33"/>
    </row>
    <row r="106" spans="4:38" ht="45.95" customHeight="1" x14ac:dyDescent="0.4">
      <c r="D106" s="1145"/>
      <c r="E106" s="202" t="s">
        <v>186</v>
      </c>
      <c r="F106" s="202"/>
      <c r="G106" s="202" t="s">
        <v>183</v>
      </c>
      <c r="H106" s="202"/>
      <c r="I106" s="260">
        <f t="shared" si="10"/>
        <v>106.34400000000001</v>
      </c>
      <c r="J106" s="258">
        <f t="shared" si="8"/>
        <v>106.34400000000001</v>
      </c>
      <c r="K106" s="259"/>
      <c r="L106" s="259"/>
      <c r="M106" s="259"/>
      <c r="N106" s="259"/>
      <c r="O106" s="980">
        <f t="shared" si="11"/>
        <v>109.82700000000001</v>
      </c>
      <c r="P106" s="511">
        <f>P37+P66</f>
        <v>109.82700000000001</v>
      </c>
      <c r="Q106" s="638"/>
      <c r="R106" s="638"/>
      <c r="S106" s="638"/>
      <c r="T106" s="260">
        <f t="shared" ref="T106:T123" si="12">SUM(U106:X106)</f>
        <v>167.26600000000002</v>
      </c>
      <c r="U106" s="258">
        <f>U37+U66</f>
        <v>167.26600000000002</v>
      </c>
      <c r="V106" s="259"/>
      <c r="W106" s="259"/>
      <c r="X106" s="259"/>
      <c r="Y106" s="633">
        <f t="shared" ref="Y106:Y123" si="13">SUM(Z106:AC106)</f>
        <v>149.995</v>
      </c>
      <c r="Z106" s="258">
        <f t="shared" si="9"/>
        <v>149.995</v>
      </c>
      <c r="AA106" s="259"/>
      <c r="AB106" s="255"/>
      <c r="AC106" s="255"/>
      <c r="AD106" s="593"/>
      <c r="AE106" s="31"/>
      <c r="AF106" s="33"/>
      <c r="AG106" s="31"/>
      <c r="AH106" s="33"/>
      <c r="AI106" s="31"/>
      <c r="AJ106" s="33"/>
      <c r="AK106" s="31"/>
      <c r="AL106" s="33"/>
    </row>
    <row r="107" spans="4:38" ht="45.95" customHeight="1" x14ac:dyDescent="0.4">
      <c r="D107" s="1145"/>
      <c r="E107" s="202" t="s">
        <v>187</v>
      </c>
      <c r="F107" s="202"/>
      <c r="G107" s="202"/>
      <c r="H107" s="202" t="s">
        <v>183</v>
      </c>
      <c r="I107" s="260">
        <f t="shared" si="10"/>
        <v>59.502000000000002</v>
      </c>
      <c r="J107" s="258">
        <f t="shared" si="8"/>
        <v>29.865000000000002</v>
      </c>
      <c r="K107" s="258">
        <f>K38+K67</f>
        <v>29.637</v>
      </c>
      <c r="L107" s="259"/>
      <c r="M107" s="259"/>
      <c r="N107" s="259"/>
      <c r="O107" s="980">
        <f t="shared" si="11"/>
        <v>0</v>
      </c>
      <c r="P107" s="638"/>
      <c r="Q107" s="638"/>
      <c r="R107" s="638"/>
      <c r="S107" s="638"/>
      <c r="T107" s="260">
        <f t="shared" si="12"/>
        <v>81.224000000000004</v>
      </c>
      <c r="U107" s="258">
        <f>U38+U67</f>
        <v>27.445999999999998</v>
      </c>
      <c r="V107" s="258">
        <f>V38+V67</f>
        <v>53.778000000000006</v>
      </c>
      <c r="W107" s="259"/>
      <c r="X107" s="259"/>
      <c r="Y107" s="633">
        <f t="shared" si="13"/>
        <v>73.571000000000012</v>
      </c>
      <c r="Z107" s="258">
        <f t="shared" si="9"/>
        <v>25.933000000000003</v>
      </c>
      <c r="AA107" s="258">
        <f>AA38+AA67</f>
        <v>47.638000000000012</v>
      </c>
      <c r="AB107" s="255"/>
      <c r="AC107" s="255"/>
      <c r="AD107" s="594"/>
      <c r="AE107" s="565">
        <f>J107/I107</f>
        <v>0.50191590198648783</v>
      </c>
      <c r="AF107" s="566">
        <f>K107/I107</f>
        <v>0.49808409801351211</v>
      </c>
      <c r="AG107" s="567"/>
      <c r="AH107" s="568"/>
      <c r="AI107" s="565">
        <f>U107/T107</f>
        <v>0.33790505269378507</v>
      </c>
      <c r="AJ107" s="566">
        <f>V107/T107</f>
        <v>0.66209494730621499</v>
      </c>
      <c r="AK107" s="565">
        <f>Z107/Y107</f>
        <v>0.35248943197727362</v>
      </c>
      <c r="AL107" s="566">
        <f>AA107/Y107</f>
        <v>0.64751056802272644</v>
      </c>
    </row>
    <row r="108" spans="4:38" ht="45.95" customHeight="1" x14ac:dyDescent="0.4">
      <c r="D108" s="1145"/>
      <c r="E108" s="202" t="s">
        <v>188</v>
      </c>
      <c r="F108" s="202"/>
      <c r="G108" s="202"/>
      <c r="H108" s="202" t="s">
        <v>183</v>
      </c>
      <c r="I108" s="260">
        <f t="shared" si="10"/>
        <v>87.474000000000018</v>
      </c>
      <c r="J108" s="258">
        <f t="shared" si="8"/>
        <v>78.705000000000013</v>
      </c>
      <c r="K108" s="258">
        <f>K39+K68</f>
        <v>8.7690000000000019</v>
      </c>
      <c r="L108" s="259"/>
      <c r="M108" s="259"/>
      <c r="N108" s="259"/>
      <c r="O108" s="980">
        <f t="shared" si="11"/>
        <v>91.845000000000013</v>
      </c>
      <c r="P108" s="511">
        <f>P39+P68</f>
        <v>83.52000000000001</v>
      </c>
      <c r="Q108" s="511">
        <f>Q39+Q68</f>
        <v>8.3250000000000011</v>
      </c>
      <c r="R108" s="638"/>
      <c r="S108" s="638"/>
      <c r="T108" s="631"/>
      <c r="U108" s="259"/>
      <c r="V108" s="259"/>
      <c r="W108" s="259"/>
      <c r="X108" s="259"/>
      <c r="Y108" s="633">
        <f t="shared" si="13"/>
        <v>87.50200000000001</v>
      </c>
      <c r="Z108" s="258">
        <f t="shared" si="9"/>
        <v>58.64200000000001</v>
      </c>
      <c r="AA108" s="258">
        <f>AA39+AA68</f>
        <v>28.860000000000003</v>
      </c>
      <c r="AB108" s="255"/>
      <c r="AC108" s="255"/>
      <c r="AD108" s="594"/>
    </row>
    <row r="109" spans="4:38" ht="45.95" customHeight="1" x14ac:dyDescent="0.4">
      <c r="D109" s="1145"/>
      <c r="E109" s="202" t="s">
        <v>189</v>
      </c>
      <c r="F109" s="202"/>
      <c r="G109" s="202" t="s">
        <v>183</v>
      </c>
      <c r="H109" s="202"/>
      <c r="I109" s="260">
        <f t="shared" si="10"/>
        <v>0</v>
      </c>
      <c r="J109" s="259"/>
      <c r="K109" s="259"/>
      <c r="L109" s="259"/>
      <c r="M109" s="259"/>
      <c r="N109" s="259"/>
      <c r="O109" s="980">
        <f t="shared" si="11"/>
        <v>0</v>
      </c>
      <c r="P109" s="638"/>
      <c r="Q109" s="638"/>
      <c r="R109" s="638"/>
      <c r="S109" s="638"/>
      <c r="T109" s="260">
        <f t="shared" si="12"/>
        <v>120.80500000000001</v>
      </c>
      <c r="U109" s="258">
        <f t="shared" ref="U109:U115" si="14">U40+U69</f>
        <v>120.80500000000001</v>
      </c>
      <c r="V109" s="259"/>
      <c r="W109" s="259"/>
      <c r="X109" s="259"/>
      <c r="Y109" s="633">
        <f t="shared" si="13"/>
        <v>109.06399999999999</v>
      </c>
      <c r="Z109" s="258">
        <f t="shared" si="9"/>
        <v>109.06399999999999</v>
      </c>
      <c r="AA109" s="259"/>
      <c r="AB109" s="255"/>
      <c r="AC109" s="255"/>
    </row>
    <row r="110" spans="4:38" ht="45.95" customHeight="1" x14ac:dyDescent="0.4">
      <c r="D110" s="1145"/>
      <c r="E110" s="202" t="s">
        <v>190</v>
      </c>
      <c r="F110" s="202"/>
      <c r="G110" s="202"/>
      <c r="H110" s="202"/>
      <c r="I110" s="260">
        <f t="shared" si="10"/>
        <v>49.40100000000001</v>
      </c>
      <c r="J110" s="258">
        <f>J41+J70</f>
        <v>29.865000000000002</v>
      </c>
      <c r="K110" s="258">
        <f>K41+K70</f>
        <v>19.536000000000005</v>
      </c>
      <c r="L110" s="259"/>
      <c r="M110" s="259"/>
      <c r="N110" s="259"/>
      <c r="O110" s="980">
        <f t="shared" si="11"/>
        <v>0</v>
      </c>
      <c r="P110" s="638"/>
      <c r="Q110" s="638"/>
      <c r="R110" s="638"/>
      <c r="S110" s="638"/>
      <c r="T110" s="260">
        <f t="shared" si="12"/>
        <v>62.936</v>
      </c>
      <c r="U110" s="258">
        <f t="shared" si="14"/>
        <v>27.445999999999998</v>
      </c>
      <c r="V110" s="258">
        <f>V41+V70</f>
        <v>35.49</v>
      </c>
      <c r="W110" s="259"/>
      <c r="X110" s="259"/>
      <c r="Y110" s="633">
        <f t="shared" si="13"/>
        <v>57.327000000000005</v>
      </c>
      <c r="Z110" s="258">
        <f t="shared" si="9"/>
        <v>25.933000000000003</v>
      </c>
      <c r="AA110" s="258">
        <f>AA41+AA70</f>
        <v>31.394000000000002</v>
      </c>
      <c r="AB110" s="255"/>
      <c r="AC110" s="255"/>
    </row>
    <row r="111" spans="4:38" ht="45.95" customHeight="1" x14ac:dyDescent="0.4">
      <c r="D111" s="1145"/>
      <c r="E111" s="202" t="s">
        <v>191</v>
      </c>
      <c r="F111" s="202"/>
      <c r="G111" s="202" t="s">
        <v>183</v>
      </c>
      <c r="H111" s="202"/>
      <c r="I111" s="260">
        <f t="shared" si="10"/>
        <v>99.210999999999999</v>
      </c>
      <c r="J111" s="258">
        <f>J42+J71</f>
        <v>99.210999999999999</v>
      </c>
      <c r="K111" s="259"/>
      <c r="L111" s="259"/>
      <c r="M111" s="259"/>
      <c r="N111" s="259"/>
      <c r="O111" s="980">
        <f t="shared" si="11"/>
        <v>0</v>
      </c>
      <c r="P111" s="638"/>
      <c r="Q111" s="638"/>
      <c r="R111" s="638"/>
      <c r="S111" s="638"/>
      <c r="T111" s="260">
        <f t="shared" si="12"/>
        <v>151.46700000000001</v>
      </c>
      <c r="U111" s="258">
        <f t="shared" si="14"/>
        <v>151.46700000000001</v>
      </c>
      <c r="V111" s="259"/>
      <c r="W111" s="259"/>
      <c r="X111" s="259"/>
      <c r="Y111" s="633">
        <f t="shared" si="13"/>
        <v>141.715</v>
      </c>
      <c r="Z111" s="258">
        <f t="shared" si="9"/>
        <v>141.715</v>
      </c>
      <c r="AA111" s="259"/>
      <c r="AB111" s="255"/>
      <c r="AC111" s="255"/>
    </row>
    <row r="112" spans="4:38" ht="45.95" customHeight="1" x14ac:dyDescent="0.4">
      <c r="D112" s="1145"/>
      <c r="E112" s="202" t="s">
        <v>192</v>
      </c>
      <c r="F112" s="202"/>
      <c r="G112" s="202" t="s">
        <v>183</v>
      </c>
      <c r="H112" s="202"/>
      <c r="I112" s="260">
        <f t="shared" si="10"/>
        <v>61.618000000000002</v>
      </c>
      <c r="J112" s="258">
        <f>J43+J72</f>
        <v>61.618000000000002</v>
      </c>
      <c r="K112" s="259"/>
      <c r="L112" s="259"/>
      <c r="M112" s="259"/>
      <c r="N112" s="259"/>
      <c r="O112" s="980">
        <f t="shared" si="11"/>
        <v>0</v>
      </c>
      <c r="P112" s="638"/>
      <c r="Q112" s="638"/>
      <c r="R112" s="638"/>
      <c r="S112" s="638"/>
      <c r="T112" s="260">
        <f t="shared" si="12"/>
        <v>107.52800000000001</v>
      </c>
      <c r="U112" s="258">
        <f t="shared" si="14"/>
        <v>107.52800000000001</v>
      </c>
      <c r="V112" s="259"/>
      <c r="W112" s="259"/>
      <c r="X112" s="259"/>
      <c r="Y112" s="633">
        <f t="shared" si="13"/>
        <v>98.14800000000001</v>
      </c>
      <c r="Z112" s="258">
        <f t="shared" si="9"/>
        <v>98.14800000000001</v>
      </c>
      <c r="AA112" s="259"/>
      <c r="AB112" s="255"/>
      <c r="AC112" s="255"/>
    </row>
    <row r="113" spans="4:30" ht="45.95" customHeight="1" x14ac:dyDescent="0.4">
      <c r="D113" s="1145"/>
      <c r="E113" s="202" t="s">
        <v>193</v>
      </c>
      <c r="F113" s="202"/>
      <c r="G113" s="202"/>
      <c r="H113" s="202"/>
      <c r="I113" s="260">
        <f t="shared" si="10"/>
        <v>0</v>
      </c>
      <c r="J113" s="259"/>
      <c r="K113" s="259"/>
      <c r="L113" s="259"/>
      <c r="M113" s="259"/>
      <c r="N113" s="259"/>
      <c r="O113" s="980">
        <f t="shared" si="11"/>
        <v>0</v>
      </c>
      <c r="P113" s="638"/>
      <c r="Q113" s="638"/>
      <c r="R113" s="638"/>
      <c r="S113" s="638"/>
      <c r="T113" s="260">
        <f t="shared" si="12"/>
        <v>201.93500000000003</v>
      </c>
      <c r="U113" s="258">
        <f t="shared" si="14"/>
        <v>21.322000000000003</v>
      </c>
      <c r="V113" s="259"/>
      <c r="W113" s="259"/>
      <c r="X113" s="258">
        <f>X44+X73</f>
        <v>180.61300000000003</v>
      </c>
      <c r="Y113" s="633">
        <f t="shared" si="13"/>
        <v>188.91900000000004</v>
      </c>
      <c r="Z113" s="258">
        <f t="shared" si="9"/>
        <v>17.313000000000002</v>
      </c>
      <c r="AA113" s="259"/>
      <c r="AB113" s="255"/>
      <c r="AC113" s="253">
        <f>AC44+AC73</f>
        <v>171.60600000000002</v>
      </c>
    </row>
    <row r="114" spans="4:30" ht="45.95" customHeight="1" x14ac:dyDescent="0.4">
      <c r="D114" s="1145"/>
      <c r="E114" s="202" t="s">
        <v>194</v>
      </c>
      <c r="F114" s="202"/>
      <c r="G114" s="202"/>
      <c r="H114" s="202"/>
      <c r="I114" s="260">
        <f t="shared" si="10"/>
        <v>119.22</v>
      </c>
      <c r="J114" s="258">
        <f>J45+J74</f>
        <v>119.22</v>
      </c>
      <c r="K114" s="259"/>
      <c r="L114" s="259"/>
      <c r="M114" s="259"/>
      <c r="N114" s="259"/>
      <c r="O114" s="980">
        <f t="shared" si="11"/>
        <v>0</v>
      </c>
      <c r="P114" s="638"/>
      <c r="Q114" s="638"/>
      <c r="R114" s="638"/>
      <c r="S114" s="638"/>
      <c r="T114" s="260">
        <f t="shared" si="12"/>
        <v>182.47300000000001</v>
      </c>
      <c r="U114" s="258">
        <f t="shared" si="14"/>
        <v>182.47300000000001</v>
      </c>
      <c r="V114" s="259"/>
      <c r="W114" s="259"/>
      <c r="X114" s="259"/>
      <c r="Y114" s="633">
        <f t="shared" si="13"/>
        <v>165.202</v>
      </c>
      <c r="Z114" s="258">
        <f t="shared" si="9"/>
        <v>165.202</v>
      </c>
      <c r="AA114" s="259"/>
      <c r="AB114" s="255"/>
      <c r="AC114" s="255"/>
    </row>
    <row r="115" spans="4:30" ht="45.95" customHeight="1" x14ac:dyDescent="0.4">
      <c r="D115" s="1145"/>
      <c r="E115" s="202" t="s">
        <v>219</v>
      </c>
      <c r="F115" s="202"/>
      <c r="G115" s="202"/>
      <c r="H115" s="202"/>
      <c r="I115" s="260">
        <f t="shared" si="10"/>
        <v>0</v>
      </c>
      <c r="J115" s="259"/>
      <c r="K115" s="259"/>
      <c r="L115" s="259"/>
      <c r="M115" s="259"/>
      <c r="N115" s="259"/>
      <c r="O115" s="980">
        <f t="shared" si="11"/>
        <v>0</v>
      </c>
      <c r="P115" s="638"/>
      <c r="Q115" s="638"/>
      <c r="R115" s="638"/>
      <c r="S115" s="638"/>
      <c r="T115" s="260">
        <f t="shared" si="12"/>
        <v>128.53800000000001</v>
      </c>
      <c r="U115" s="258">
        <f t="shared" si="14"/>
        <v>128.53800000000001</v>
      </c>
      <c r="V115" s="259"/>
      <c r="W115" s="259"/>
      <c r="X115" s="259"/>
      <c r="Y115" s="633">
        <f t="shared" si="13"/>
        <v>130.42500000000001</v>
      </c>
      <c r="Z115" s="258">
        <f t="shared" si="9"/>
        <v>130.42500000000001</v>
      </c>
      <c r="AA115" s="259"/>
      <c r="AB115" s="255"/>
      <c r="AC115" s="255"/>
    </row>
    <row r="116" spans="4:30" ht="45.95" customHeight="1" x14ac:dyDescent="0.4">
      <c r="D116" s="1146" t="s">
        <v>166</v>
      </c>
      <c r="E116" s="202" t="s">
        <v>196</v>
      </c>
      <c r="F116" s="202" t="s">
        <v>183</v>
      </c>
      <c r="G116" s="202"/>
      <c r="H116" s="202"/>
      <c r="I116" s="260">
        <f t="shared" si="10"/>
        <v>157.733</v>
      </c>
      <c r="J116" s="259"/>
      <c r="K116" s="259"/>
      <c r="L116" s="253">
        <f>L47+L76</f>
        <v>157.733</v>
      </c>
      <c r="M116" s="692"/>
      <c r="N116" s="1104"/>
      <c r="O116" s="980">
        <f t="shared" si="11"/>
        <v>0</v>
      </c>
      <c r="P116" s="638"/>
      <c r="Q116" s="638"/>
      <c r="R116" s="638"/>
      <c r="S116" s="638"/>
      <c r="T116" s="260">
        <f t="shared" si="12"/>
        <v>222.76100000000002</v>
      </c>
      <c r="U116" s="509"/>
      <c r="V116" s="691"/>
      <c r="W116" s="690">
        <f>W47+W76</f>
        <v>222.76100000000002</v>
      </c>
      <c r="X116" s="255"/>
      <c r="Y116" s="633">
        <f t="shared" si="13"/>
        <v>168.64700000000002</v>
      </c>
      <c r="Z116" s="509"/>
      <c r="AA116" s="691"/>
      <c r="AB116" s="690">
        <f>AB47+AB76</f>
        <v>168.64700000000002</v>
      </c>
      <c r="AC116" s="255"/>
    </row>
    <row r="117" spans="4:30" ht="45.95" customHeight="1" x14ac:dyDescent="0.4">
      <c r="D117" s="1147"/>
      <c r="E117" s="202" t="s">
        <v>197</v>
      </c>
      <c r="F117" s="202" t="s">
        <v>183</v>
      </c>
      <c r="G117" s="202"/>
      <c r="H117" s="202"/>
      <c r="I117" s="260">
        <f t="shared" si="10"/>
        <v>118.30800000000001</v>
      </c>
      <c r="J117" s="259"/>
      <c r="K117" s="259"/>
      <c r="L117" s="253">
        <f>L48+L77</f>
        <v>118.30800000000001</v>
      </c>
      <c r="M117" s="692"/>
      <c r="N117" s="1104"/>
      <c r="O117" s="980">
        <f t="shared" si="11"/>
        <v>0</v>
      </c>
      <c r="P117" s="638"/>
      <c r="Q117" s="638"/>
      <c r="R117" s="638"/>
      <c r="S117" s="638"/>
      <c r="T117" s="260">
        <f t="shared" si="12"/>
        <v>170.86500000000001</v>
      </c>
      <c r="U117" s="509"/>
      <c r="V117" s="691"/>
      <c r="W117" s="690">
        <f>W48+W77</f>
        <v>170.86500000000001</v>
      </c>
      <c r="X117" s="255"/>
      <c r="Y117" s="633">
        <f t="shared" si="13"/>
        <v>126.84100000000001</v>
      </c>
      <c r="Z117" s="509"/>
      <c r="AA117" s="691"/>
      <c r="AB117" s="690">
        <f>AB48+AB77</f>
        <v>126.84100000000001</v>
      </c>
      <c r="AC117" s="255"/>
      <c r="AD117" s="594"/>
    </row>
    <row r="118" spans="4:30" ht="45.95" customHeight="1" x14ac:dyDescent="0.4">
      <c r="D118" s="1041" t="s">
        <v>767</v>
      </c>
      <c r="E118" s="202" t="s">
        <v>3795</v>
      </c>
      <c r="F118" s="202"/>
      <c r="G118" s="202"/>
      <c r="H118" s="202"/>
      <c r="I118" s="260">
        <f t="shared" si="10"/>
        <v>186.64500000000001</v>
      </c>
      <c r="J118" s="259"/>
      <c r="K118" s="259"/>
      <c r="L118" s="259"/>
      <c r="M118" s="253">
        <f>M49+M78</f>
        <v>186.64500000000001</v>
      </c>
      <c r="N118" s="1104"/>
      <c r="O118" s="980">
        <f t="shared" si="11"/>
        <v>0</v>
      </c>
      <c r="P118" s="638"/>
      <c r="Q118" s="638"/>
      <c r="R118" s="638"/>
      <c r="S118" s="638"/>
      <c r="T118" s="260">
        <f t="shared" si="12"/>
        <v>0</v>
      </c>
      <c r="U118" s="509"/>
      <c r="V118" s="691"/>
      <c r="W118" s="691"/>
      <c r="X118" s="255"/>
      <c r="Y118" s="633">
        <f t="shared" si="13"/>
        <v>0</v>
      </c>
      <c r="Z118" s="509"/>
      <c r="AA118" s="691"/>
      <c r="AB118" s="691"/>
      <c r="AC118" s="255"/>
      <c r="AD118" s="594"/>
    </row>
    <row r="119" spans="4:30" ht="45.95" customHeight="1" x14ac:dyDescent="0.4">
      <c r="D119" s="1103" t="s">
        <v>768</v>
      </c>
      <c r="E119" s="202" t="s">
        <v>3796</v>
      </c>
      <c r="F119" s="202"/>
      <c r="G119" s="202"/>
      <c r="H119" s="202"/>
      <c r="I119" s="260">
        <f t="shared" si="10"/>
        <v>141.89200000000002</v>
      </c>
      <c r="J119" s="259"/>
      <c r="K119" s="259"/>
      <c r="L119" s="259"/>
      <c r="M119" s="692"/>
      <c r="N119" s="253">
        <f>N50+N79</f>
        <v>141.89200000000002</v>
      </c>
      <c r="O119" s="980">
        <f t="shared" si="11"/>
        <v>153.10300000000001</v>
      </c>
      <c r="P119" s="638"/>
      <c r="Q119" s="638"/>
      <c r="R119" s="638"/>
      <c r="S119" s="253">
        <f>S50+S79</f>
        <v>153.10300000000001</v>
      </c>
      <c r="T119" s="260">
        <f t="shared" si="12"/>
        <v>0</v>
      </c>
      <c r="U119" s="509"/>
      <c r="V119" s="691"/>
      <c r="W119" s="691"/>
      <c r="X119" s="255"/>
      <c r="Y119" s="633">
        <f t="shared" si="13"/>
        <v>0</v>
      </c>
      <c r="Z119" s="509"/>
      <c r="AA119" s="691"/>
      <c r="AB119" s="691"/>
      <c r="AC119" s="255"/>
      <c r="AD119" s="594"/>
    </row>
    <row r="120" spans="4:30" ht="45.95" customHeight="1" x14ac:dyDescent="0.4">
      <c r="D120" s="1146" t="s">
        <v>198</v>
      </c>
      <c r="E120" s="202" t="s">
        <v>199</v>
      </c>
      <c r="F120" s="202"/>
      <c r="G120" s="202"/>
      <c r="H120" s="202" t="s">
        <v>183</v>
      </c>
      <c r="I120" s="260">
        <f t="shared" si="10"/>
        <v>25.754000000000001</v>
      </c>
      <c r="J120" s="258">
        <f>J51+J80</f>
        <v>12.018000000000001</v>
      </c>
      <c r="K120" s="253">
        <f>K51+K80</f>
        <v>13.736000000000001</v>
      </c>
      <c r="L120" s="255"/>
      <c r="M120" s="255"/>
      <c r="N120" s="259"/>
      <c r="O120" s="980">
        <f t="shared" si="11"/>
        <v>0</v>
      </c>
      <c r="P120" s="638"/>
      <c r="Q120" s="638"/>
      <c r="R120" s="638"/>
      <c r="S120" s="638"/>
      <c r="T120" s="260">
        <f t="shared" si="12"/>
        <v>26.968000000000004</v>
      </c>
      <c r="U120" s="253">
        <f>U51+U80</f>
        <v>18.036000000000001</v>
      </c>
      <c r="V120" s="253">
        <f>V51+V80</f>
        <v>8.9320000000000004</v>
      </c>
      <c r="W120" s="255"/>
      <c r="X120" s="255"/>
      <c r="Y120" s="508">
        <f t="shared" si="13"/>
        <v>28.478000000000002</v>
      </c>
      <c r="Z120" s="253">
        <f>Z51+Z80</f>
        <v>22.644000000000002</v>
      </c>
      <c r="AA120" s="253">
        <f>AA51+AA80</f>
        <v>5.8339999999999996</v>
      </c>
      <c r="AB120" s="255"/>
      <c r="AC120" s="255"/>
    </row>
    <row r="121" spans="4:30" ht="45.95" customHeight="1" x14ac:dyDescent="0.4">
      <c r="D121" s="1147"/>
      <c r="E121" s="202" t="s">
        <v>200</v>
      </c>
      <c r="F121" s="202"/>
      <c r="G121" s="202"/>
      <c r="H121" s="202" t="s">
        <v>183</v>
      </c>
      <c r="I121" s="260">
        <f t="shared" si="10"/>
        <v>39.084900000000005</v>
      </c>
      <c r="J121" s="258">
        <f>J52+J81</f>
        <v>24.644300000000001</v>
      </c>
      <c r="K121" s="253">
        <f>K52+K81</f>
        <v>14.4406</v>
      </c>
      <c r="L121" s="255"/>
      <c r="M121" s="255"/>
      <c r="N121" s="259"/>
      <c r="O121" s="980">
        <f t="shared" si="11"/>
        <v>34.039000000000001</v>
      </c>
      <c r="P121" s="253">
        <f>P52+P81</f>
        <v>24.975000000000001</v>
      </c>
      <c r="Q121" s="253">
        <f>Q52+Q81</f>
        <v>9.0640000000000018</v>
      </c>
      <c r="R121" s="255"/>
      <c r="S121" s="259"/>
      <c r="T121" s="260">
        <f t="shared" si="12"/>
        <v>32.382000000000005</v>
      </c>
      <c r="U121" s="253">
        <f>U52+U81</f>
        <v>25.275000000000002</v>
      </c>
      <c r="V121" s="253">
        <f>V52+V81</f>
        <v>7.1070000000000002</v>
      </c>
      <c r="W121" s="255"/>
      <c r="X121" s="255"/>
      <c r="Y121" s="632"/>
      <c r="Z121" s="255"/>
      <c r="AA121" s="255"/>
      <c r="AB121" s="255"/>
      <c r="AC121" s="255"/>
    </row>
    <row r="122" spans="4:30" ht="47.1" customHeight="1" outlineLevel="1" x14ac:dyDescent="0.4">
      <c r="D122" s="1145" t="s">
        <v>201</v>
      </c>
      <c r="E122" s="776" t="s">
        <v>220</v>
      </c>
      <c r="F122" s="202"/>
      <c r="G122" s="202"/>
      <c r="H122" s="202"/>
      <c r="I122" s="260">
        <f t="shared" si="10"/>
        <v>35.742000000000004</v>
      </c>
      <c r="J122" s="259"/>
      <c r="K122" s="253">
        <f>K53+K82</f>
        <v>35.742000000000004</v>
      </c>
      <c r="L122" s="255"/>
      <c r="M122" s="255"/>
      <c r="N122" s="259"/>
      <c r="O122" s="980">
        <f t="shared" si="11"/>
        <v>0</v>
      </c>
      <c r="P122" s="638"/>
      <c r="Q122" s="638"/>
      <c r="R122" s="255"/>
      <c r="S122" s="259"/>
      <c r="T122" s="260">
        <f t="shared" si="12"/>
        <v>48.396000000000008</v>
      </c>
      <c r="U122" s="255"/>
      <c r="V122" s="253">
        <f t="shared" ref="V122" si="15">V53+V82</f>
        <v>48.396000000000008</v>
      </c>
      <c r="W122" s="255"/>
      <c r="X122" s="255"/>
      <c r="Y122" s="633">
        <f t="shared" si="13"/>
        <v>49.173000000000002</v>
      </c>
      <c r="Z122" s="255"/>
      <c r="AA122" s="253">
        <f>AA53+AA82</f>
        <v>49.173000000000002</v>
      </c>
      <c r="AB122" s="255"/>
      <c r="AC122" s="255"/>
    </row>
    <row r="123" spans="4:30" ht="47.1" customHeight="1" outlineLevel="1" x14ac:dyDescent="0.4">
      <c r="D123" s="1145"/>
      <c r="E123" s="776" t="s">
        <v>203</v>
      </c>
      <c r="F123" s="202"/>
      <c r="G123" s="202"/>
      <c r="H123" s="202"/>
      <c r="I123" s="260">
        <f t="shared" si="10"/>
        <v>74.37</v>
      </c>
      <c r="J123" s="259"/>
      <c r="K123" s="253">
        <f>K54+K83</f>
        <v>74.37</v>
      </c>
      <c r="L123" s="255"/>
      <c r="M123" s="255"/>
      <c r="N123" s="259"/>
      <c r="O123" s="980">
        <f t="shared" si="11"/>
        <v>65.379000000000005</v>
      </c>
      <c r="P123" s="643"/>
      <c r="Q123" s="253">
        <f>Q54+Q83</f>
        <v>65.379000000000005</v>
      </c>
      <c r="R123" s="255"/>
      <c r="S123" s="259"/>
      <c r="T123" s="260">
        <f t="shared" si="12"/>
        <v>0</v>
      </c>
      <c r="U123" s="255"/>
      <c r="V123" s="255"/>
      <c r="W123" s="255"/>
      <c r="X123" s="255"/>
      <c r="Y123" s="508">
        <f t="shared" si="13"/>
        <v>93.906000000000006</v>
      </c>
      <c r="Z123" s="255"/>
      <c r="AA123" s="253">
        <f>AA54+AA83</f>
        <v>93.906000000000006</v>
      </c>
      <c r="AB123" s="255"/>
      <c r="AC123" s="255"/>
    </row>
    <row r="125" spans="4:30" ht="24" x14ac:dyDescent="0.4">
      <c r="I125" s="1131"/>
    </row>
    <row r="127" spans="4:30" x14ac:dyDescent="0.2">
      <c r="J127" s="593">
        <f>J121*'D.1. Facteur d''émissions'!C8*'A.1. Conso_bâtiment_EF H2'!J13</f>
        <v>653.78863469999999</v>
      </c>
      <c r="K127">
        <f>K121*J13*'D.1. Facteur d''émissions'!C15</f>
        <v>92.968582800000007</v>
      </c>
      <c r="L127" s="593">
        <f>J127+K127</f>
        <v>746.75721750000002</v>
      </c>
      <c r="M127">
        <f>L127/1000</f>
        <v>0.74675721750000001</v>
      </c>
      <c r="P127" s="593">
        <f>P121*'D.1. Facteur d''émissions'!$C$8*'A.1. Conso_bâtiment_EF H2'!$J$13</f>
        <v>662.56177500000001</v>
      </c>
      <c r="Q127">
        <f>Q121*$J$13*'D.1. Facteur d''émissions'!$C$15</f>
        <v>58.354032000000011</v>
      </c>
      <c r="R127" s="593">
        <f>P127+Q127</f>
        <v>720.91580699999997</v>
      </c>
      <c r="S127">
        <f>R127/1000</f>
        <v>0.72091580700000002</v>
      </c>
    </row>
    <row r="131" spans="16:17" ht="18" x14ac:dyDescent="0.25">
      <c r="P131" s="1098">
        <f>(P121*K13*'D.1. Facteur d''émissions'!$C$8)/1000</f>
        <v>0.42380077499999996</v>
      </c>
      <c r="Q131" s="1099">
        <f>(Q121*K13*'D.1. Facteur d''émissions'!$C$11)/1000</f>
        <v>2.6835784800000005E-2</v>
      </c>
    </row>
    <row r="132" spans="16:17" x14ac:dyDescent="0.2">
      <c r="P132" s="1132">
        <f>-(Q123*'D.1. Facteur d''émissions'!$C$15-'A.1. Conso_bâtiment_EF H1'!P106*'D.1. Facteur d''émissions'!$C$8)/(Q123*'D.1. Facteur d''émissions'!$C$15)</f>
        <v>5.9221459911993248</v>
      </c>
    </row>
    <row r="134" spans="16:17" x14ac:dyDescent="0.2">
      <c r="P134">
        <f>((Q123*0.058)/1000)</f>
        <v>3.7919820000000006E-3</v>
      </c>
    </row>
    <row r="135" spans="16:17" x14ac:dyDescent="0.2">
      <c r="P135">
        <f>((P106*0.239)/1000)</f>
        <v>2.6248653E-2</v>
      </c>
    </row>
    <row r="136" spans="16:17" x14ac:dyDescent="0.2">
      <c r="P136" s="48">
        <f>P134-P135</f>
        <v>-2.2456671000000001E-2</v>
      </c>
      <c r="Q136" s="61">
        <f>P136/P134</f>
        <v>-5.9221459911993248</v>
      </c>
    </row>
    <row r="137" spans="16:17" x14ac:dyDescent="0.2">
      <c r="P137">
        <f>P134*6.3343</f>
        <v>2.4019551582600003E-2</v>
      </c>
    </row>
  </sheetData>
  <mergeCells count="41">
    <mergeCell ref="I30:M30"/>
    <mergeCell ref="O30:R30"/>
    <mergeCell ref="T30:X30"/>
    <mergeCell ref="Y30:AC30"/>
    <mergeCell ref="J31:M31"/>
    <mergeCell ref="P31:R31"/>
    <mergeCell ref="U31:X31"/>
    <mergeCell ref="Z31:AC31"/>
    <mergeCell ref="D63:D75"/>
    <mergeCell ref="D76:D77"/>
    <mergeCell ref="AM33:AO33"/>
    <mergeCell ref="D34:D46"/>
    <mergeCell ref="D47:D48"/>
    <mergeCell ref="D51:D52"/>
    <mergeCell ref="D53:D54"/>
    <mergeCell ref="I59:M59"/>
    <mergeCell ref="O59:R59"/>
    <mergeCell ref="T59:X59"/>
    <mergeCell ref="Y59:AC59"/>
    <mergeCell ref="Y99:AC99"/>
    <mergeCell ref="J60:M60"/>
    <mergeCell ref="P60:R60"/>
    <mergeCell ref="U60:X60"/>
    <mergeCell ref="Z60:AC60"/>
    <mergeCell ref="D80:D81"/>
    <mergeCell ref="D82:D83"/>
    <mergeCell ref="I99:M99"/>
    <mergeCell ref="O99:R99"/>
    <mergeCell ref="T99:X99"/>
    <mergeCell ref="D122:D123"/>
    <mergeCell ref="J100:M100"/>
    <mergeCell ref="P100:R100"/>
    <mergeCell ref="U100:X100"/>
    <mergeCell ref="Z100:AC100"/>
    <mergeCell ref="AI100:AJ100"/>
    <mergeCell ref="AK100:AL100"/>
    <mergeCell ref="D103:D115"/>
    <mergeCell ref="D116:D117"/>
    <mergeCell ref="D120:D121"/>
    <mergeCell ref="AE100:AF100"/>
    <mergeCell ref="AG100:AH10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A1408-671F-4680-AB3C-AC9FC787ABAE}">
  <sheetPr>
    <tabColor theme="5" tint="0.79998168889431442"/>
  </sheetPr>
  <dimension ref="B2:AO132"/>
  <sheetViews>
    <sheetView showGridLines="0" topLeftCell="A106" zoomScale="70" zoomScaleNormal="70" workbookViewId="0">
      <pane xSplit="5" topLeftCell="I1" activePane="topRight" state="frozen"/>
      <selection activeCell="B13" sqref="B13"/>
      <selection pane="topRight" activeCell="P132" sqref="P132"/>
    </sheetView>
  </sheetViews>
  <sheetFormatPr baseColWidth="10" defaultColWidth="11" defaultRowHeight="14.25" outlineLevelRow="1" outlineLevelCol="1" x14ac:dyDescent="0.2"/>
  <cols>
    <col min="1" max="1" width="10.625" customWidth="1"/>
    <col min="2" max="2" width="16.875" customWidth="1"/>
    <col min="3" max="3" width="10.625" customWidth="1"/>
    <col min="5" max="5" width="62.5" customWidth="1"/>
    <col min="6" max="8" width="19.25" hidden="1" customWidth="1" outlineLevel="1"/>
    <col min="9" max="9" width="17.75" customWidth="1" collapsed="1"/>
    <col min="10" max="30" width="17.75" customWidth="1"/>
    <col min="31" max="31" width="10.625" customWidth="1"/>
    <col min="32" max="32" width="13.875" customWidth="1"/>
    <col min="33" max="34" width="10.625" customWidth="1"/>
    <col min="35" max="35" width="12" customWidth="1"/>
    <col min="36" max="36" width="12.875" customWidth="1"/>
    <col min="39" max="39" width="11.875" customWidth="1"/>
    <col min="40" max="40" width="1.375" customWidth="1"/>
  </cols>
  <sheetData>
    <row r="2" spans="5:25" x14ac:dyDescent="0.2">
      <c r="E2" s="138"/>
      <c r="F2" s="138"/>
      <c r="G2" s="138"/>
      <c r="H2" s="138"/>
    </row>
    <row r="3" spans="5:25" ht="20.25" x14ac:dyDescent="0.3">
      <c r="E3" s="274" t="s">
        <v>160</v>
      </c>
      <c r="F3" s="274"/>
      <c r="G3" s="274"/>
      <c r="H3" s="274"/>
    </row>
    <row r="5" spans="5:25" ht="15" x14ac:dyDescent="0.25">
      <c r="T5" s="27"/>
      <c r="X5" s="27"/>
    </row>
    <row r="6" spans="5:25" x14ac:dyDescent="0.2">
      <c r="T6" s="693"/>
      <c r="U6" s="693"/>
      <c r="V6" s="693"/>
      <c r="W6" s="693"/>
      <c r="X6" s="693"/>
      <c r="Y6" s="693"/>
    </row>
    <row r="7" spans="5:25" x14ac:dyDescent="0.2">
      <c r="T7" s="694"/>
      <c r="U7" s="695"/>
      <c r="V7" s="695"/>
      <c r="W7" s="695"/>
      <c r="X7" s="694"/>
      <c r="Y7" s="695"/>
    </row>
    <row r="8" spans="5:25" ht="18" x14ac:dyDescent="0.25">
      <c r="I8" s="43" t="s">
        <v>161</v>
      </c>
      <c r="J8" s="43"/>
      <c r="K8" s="43"/>
      <c r="L8" s="43"/>
      <c r="M8" s="43"/>
      <c r="N8" s="43"/>
      <c r="T8" s="694"/>
      <c r="U8" s="695"/>
      <c r="V8" s="695"/>
      <c r="W8" s="695"/>
      <c r="X8" s="694"/>
      <c r="Y8" s="695"/>
    </row>
    <row r="9" spans="5:25" ht="18" x14ac:dyDescent="0.25">
      <c r="I9" s="43"/>
      <c r="J9" s="43"/>
      <c r="K9" s="43"/>
      <c r="L9" s="43"/>
      <c r="M9" s="43"/>
      <c r="N9" s="43"/>
      <c r="T9" s="696"/>
      <c r="U9" s="697"/>
      <c r="V9" s="695"/>
      <c r="W9" s="695"/>
      <c r="X9" s="696"/>
      <c r="Y9" s="697"/>
    </row>
    <row r="10" spans="5:25" ht="18.75" thickBot="1" x14ac:dyDescent="0.3">
      <c r="I10" s="43"/>
      <c r="J10" s="43"/>
      <c r="K10" s="43"/>
      <c r="L10" s="43"/>
      <c r="M10" s="43"/>
      <c r="N10" s="43"/>
      <c r="T10" s="694"/>
      <c r="U10" s="695"/>
      <c r="V10" s="695"/>
      <c r="W10" s="695"/>
      <c r="X10" s="694"/>
      <c r="Y10" s="695"/>
    </row>
    <row r="11" spans="5:25" ht="47.25" x14ac:dyDescent="0.2">
      <c r="I11" s="99"/>
      <c r="J11" s="100" t="s">
        <v>162</v>
      </c>
      <c r="K11" s="100" t="s">
        <v>163</v>
      </c>
      <c r="L11" s="100" t="s">
        <v>164</v>
      </c>
      <c r="M11" s="101" t="s">
        <v>165</v>
      </c>
      <c r="N11" s="738"/>
      <c r="T11" s="694"/>
      <c r="U11" s="695"/>
      <c r="V11" s="695"/>
      <c r="W11" s="695"/>
      <c r="X11" s="694"/>
      <c r="Y11" s="695"/>
    </row>
    <row r="12" spans="5:25" ht="18.75" thickBot="1" x14ac:dyDescent="0.25">
      <c r="I12" s="744" t="s">
        <v>166</v>
      </c>
      <c r="J12" s="125">
        <v>122</v>
      </c>
      <c r="K12" s="845"/>
      <c r="L12" s="125">
        <v>74</v>
      </c>
      <c r="M12" s="126">
        <f>M13</f>
        <v>995</v>
      </c>
      <c r="N12" s="153"/>
      <c r="T12" s="696"/>
      <c r="U12" s="697"/>
      <c r="V12" s="695"/>
      <c r="W12" s="695"/>
      <c r="X12" s="696"/>
      <c r="Y12" s="697"/>
    </row>
    <row r="13" spans="5:25" ht="18.75" thickBot="1" x14ac:dyDescent="0.25">
      <c r="I13" s="102" t="s">
        <v>167</v>
      </c>
      <c r="J13" s="125">
        <v>111</v>
      </c>
      <c r="K13" s="125">
        <v>71</v>
      </c>
      <c r="L13" s="125">
        <v>66</v>
      </c>
      <c r="M13" s="126">
        <v>995</v>
      </c>
      <c r="N13" s="153"/>
      <c r="T13" s="694"/>
      <c r="U13" s="695"/>
      <c r="V13" s="695"/>
      <c r="W13" s="695"/>
      <c r="X13" s="694"/>
      <c r="Y13" s="695"/>
    </row>
    <row r="14" spans="5:25" x14ac:dyDescent="0.2">
      <c r="T14" s="694"/>
      <c r="U14" s="695"/>
      <c r="V14" s="695"/>
      <c r="W14" s="695"/>
      <c r="X14" s="694"/>
      <c r="Y14" s="695"/>
    </row>
    <row r="15" spans="5:25" x14ac:dyDescent="0.2">
      <c r="T15" s="696"/>
      <c r="U15" s="697"/>
      <c r="V15" s="695"/>
      <c r="W15" s="695"/>
      <c r="X15" s="696"/>
      <c r="Y15" s="697"/>
    </row>
    <row r="17" spans="2:41" x14ac:dyDescent="0.2">
      <c r="C17" s="1072" t="s">
        <v>128</v>
      </c>
      <c r="D17" s="1072" t="s">
        <v>3771</v>
      </c>
    </row>
    <row r="18" spans="2:41" ht="15" x14ac:dyDescent="0.25">
      <c r="B18" t="s">
        <v>3783</v>
      </c>
      <c r="C18" s="375">
        <f>K122*J13*'D.1. Facteur d''émissions'!C15</f>
        <v>134.74734000000004</v>
      </c>
      <c r="D18" s="1072"/>
    </row>
    <row r="19" spans="2:41" ht="15" x14ac:dyDescent="0.25">
      <c r="B19" t="s">
        <v>3748</v>
      </c>
      <c r="C19" s="375">
        <f>K123*J13*'D.1. Facteur d''émissions'!C15</f>
        <v>280.37490000000003</v>
      </c>
      <c r="D19" s="375">
        <f>Q123*K13*'D.1. Facteur d''émissions'!C15</f>
        <v>157.65763000000001</v>
      </c>
      <c r="O19" s="593"/>
    </row>
    <row r="20" spans="2:41" ht="15" x14ac:dyDescent="0.25">
      <c r="B20" t="s">
        <v>938</v>
      </c>
      <c r="C20" s="375">
        <f>(J106*J13*'D.1. Facteur d''émissions'!C8)</f>
        <v>1760.72973</v>
      </c>
      <c r="D20" s="375">
        <f>(P106*K13*'D.1. Facteur d''émissions'!C11)</f>
        <v>209.39550750000001</v>
      </c>
      <c r="O20" s="593"/>
    </row>
    <row r="21" spans="2:41" ht="15" x14ac:dyDescent="0.25">
      <c r="B21" t="s">
        <v>3749</v>
      </c>
      <c r="C21" s="375">
        <f>(J107*J13*'D.1. Facteur d''émissions'!C8)+(K107*J13*'D.1. Facteur d''émissions'!C15)</f>
        <v>684.35995500000001</v>
      </c>
      <c r="D21" s="375">
        <f>(P108*K13*'D.1. Facteur d''émissions'!C8)+(Q108*K13*'D.1. Facteur d''émissions'!C15)</f>
        <v>958.80033000000014</v>
      </c>
    </row>
    <row r="22" spans="2:41" x14ac:dyDescent="0.2">
      <c r="B22" t="s">
        <v>3769</v>
      </c>
      <c r="C22" s="1073">
        <f>(C20-C19)/1000</f>
        <v>1.48035483</v>
      </c>
      <c r="D22" s="1071">
        <f>(D20-D19)/1000</f>
        <v>5.1737877499999994E-2</v>
      </c>
      <c r="O22" s="1047"/>
      <c r="P22" s="1047"/>
    </row>
    <row r="23" spans="2:41" x14ac:dyDescent="0.2">
      <c r="B23" t="s">
        <v>3770</v>
      </c>
      <c r="C23" s="1071">
        <f>(C21-C19)/1000</f>
        <v>0.40398505499999998</v>
      </c>
      <c r="D23" s="1071">
        <f>(D21-D19)/1000</f>
        <v>0.8011427000000001</v>
      </c>
    </row>
    <row r="24" spans="2:41" x14ac:dyDescent="0.2">
      <c r="B24" t="s">
        <v>3782</v>
      </c>
      <c r="C24" s="1071">
        <f>(C20-C18)/1000</f>
        <v>1.6259823899999999</v>
      </c>
    </row>
    <row r="26" spans="2:41" ht="54" x14ac:dyDescent="0.25">
      <c r="B26" s="59"/>
      <c r="E26" s="97" t="s">
        <v>168</v>
      </c>
      <c r="F26" s="97"/>
      <c r="G26" s="97"/>
      <c r="H26" s="97"/>
      <c r="I26" s="43"/>
      <c r="J26" s="43"/>
      <c r="K26" s="43"/>
      <c r="L26" s="43"/>
      <c r="M26" s="43"/>
      <c r="N26" s="43"/>
      <c r="AM26" s="49"/>
    </row>
    <row r="27" spans="2:41" ht="18" x14ac:dyDescent="0.25">
      <c r="B27" s="59"/>
      <c r="E27" s="43"/>
      <c r="F27" s="43"/>
      <c r="G27" s="43"/>
      <c r="H27" s="43"/>
      <c r="I27" s="43"/>
      <c r="J27" s="43"/>
      <c r="K27" s="43"/>
      <c r="L27" s="43"/>
      <c r="M27" s="43"/>
      <c r="N27" s="43"/>
      <c r="AM27" s="49"/>
    </row>
    <row r="28" spans="2:41" ht="23.25" x14ac:dyDescent="0.35">
      <c r="B28" s="59"/>
      <c r="E28" s="206" t="s">
        <v>169</v>
      </c>
      <c r="F28" s="206"/>
      <c r="G28" s="206"/>
      <c r="H28" s="206"/>
      <c r="I28" s="43"/>
      <c r="J28" s="43"/>
      <c r="K28" s="43"/>
      <c r="L28" s="43"/>
      <c r="M28" s="43"/>
      <c r="N28" s="43"/>
      <c r="AM28" s="49"/>
    </row>
    <row r="29" spans="2:41" ht="18" x14ac:dyDescent="0.25">
      <c r="B29" s="59"/>
      <c r="E29" s="43"/>
      <c r="F29" s="43"/>
      <c r="G29" s="43"/>
      <c r="H29" s="43"/>
      <c r="I29" s="43"/>
      <c r="J29" s="43"/>
      <c r="K29" s="43"/>
      <c r="L29" s="43"/>
      <c r="M29" s="43"/>
      <c r="N29" s="43"/>
      <c r="AM29" s="49"/>
    </row>
    <row r="30" spans="2:41" ht="20.25" x14ac:dyDescent="0.2">
      <c r="I30" s="1141" t="s">
        <v>162</v>
      </c>
      <c r="J30" s="1141"/>
      <c r="K30" s="1141"/>
      <c r="L30" s="1141"/>
      <c r="M30" s="1141"/>
      <c r="N30" s="1042"/>
      <c r="O30" s="1141" t="s">
        <v>163</v>
      </c>
      <c r="P30" s="1141"/>
      <c r="Q30" s="1141"/>
      <c r="R30" s="1141"/>
      <c r="S30" s="1042"/>
      <c r="T30" s="1141" t="s">
        <v>170</v>
      </c>
      <c r="U30" s="1141"/>
      <c r="V30" s="1141"/>
      <c r="W30" s="1141"/>
      <c r="X30" s="1141"/>
      <c r="Y30" s="1141" t="s">
        <v>165</v>
      </c>
      <c r="Z30" s="1141"/>
      <c r="AA30" s="1141"/>
      <c r="AB30" s="1141"/>
      <c r="AC30" s="1141"/>
    </row>
    <row r="31" spans="2:41" ht="15.75" x14ac:dyDescent="0.25">
      <c r="E31" s="96"/>
      <c r="F31" s="96"/>
      <c r="G31" s="96"/>
      <c r="H31" s="96"/>
      <c r="I31" s="96"/>
      <c r="J31" s="1142" t="s">
        <v>171</v>
      </c>
      <c r="K31" s="1142"/>
      <c r="L31" s="1142"/>
      <c r="M31" s="1142"/>
      <c r="N31" s="1043"/>
      <c r="O31" s="18"/>
      <c r="P31" s="1142" t="s">
        <v>171</v>
      </c>
      <c r="Q31" s="1142"/>
      <c r="R31" s="1142"/>
      <c r="S31" s="1043"/>
      <c r="T31" s="18"/>
      <c r="U31" s="1142" t="s">
        <v>171</v>
      </c>
      <c r="V31" s="1142"/>
      <c r="W31" s="1142"/>
      <c r="X31" s="1142"/>
      <c r="Y31" s="18"/>
      <c r="Z31" s="1142" t="s">
        <v>171</v>
      </c>
      <c r="AA31" s="1142"/>
      <c r="AB31" s="1142"/>
      <c r="AC31" s="1142"/>
      <c r="AD31" s="1"/>
      <c r="AE31" s="1"/>
      <c r="AF31" s="1"/>
      <c r="AG31" s="1"/>
      <c r="AH31" s="1"/>
      <c r="AI31" s="1"/>
      <c r="AJ31" s="1"/>
      <c r="AK31" s="1"/>
      <c r="AL31" s="1"/>
      <c r="AM31" s="1"/>
      <c r="AN31" s="1"/>
      <c r="AO31" s="1"/>
    </row>
    <row r="32" spans="2:41" ht="15.75" x14ac:dyDescent="0.25">
      <c r="E32" s="96"/>
      <c r="F32" s="96"/>
      <c r="G32" s="96"/>
      <c r="H32" s="96"/>
      <c r="I32" s="96"/>
      <c r="J32" s="96"/>
      <c r="K32" s="96"/>
      <c r="L32" s="96"/>
      <c r="M32" s="96"/>
      <c r="N32" s="96"/>
      <c r="AM32" s="98"/>
    </row>
    <row r="33" spans="2:41" s="11" customFormat="1" ht="68.45" customHeight="1" x14ac:dyDescent="0.8">
      <c r="B33" s="987" t="s">
        <v>155</v>
      </c>
      <c r="E33" s="103" t="s">
        <v>172</v>
      </c>
      <c r="F33" s="103" t="s">
        <v>173</v>
      </c>
      <c r="G33" s="103" t="s">
        <v>174</v>
      </c>
      <c r="H33" s="103" t="s">
        <v>175</v>
      </c>
      <c r="I33" s="203" t="s">
        <v>176</v>
      </c>
      <c r="J33" s="203" t="s">
        <v>177</v>
      </c>
      <c r="K33" s="203" t="s">
        <v>178</v>
      </c>
      <c r="L33" s="203" t="s">
        <v>179</v>
      </c>
      <c r="M33" s="203" t="s">
        <v>180</v>
      </c>
      <c r="N33" s="203" t="s">
        <v>3797</v>
      </c>
      <c r="O33" s="203" t="s">
        <v>176</v>
      </c>
      <c r="P33" s="203" t="s">
        <v>177</v>
      </c>
      <c r="Q33" s="203" t="s">
        <v>178</v>
      </c>
      <c r="R33" s="203" t="s">
        <v>180</v>
      </c>
      <c r="S33" s="203" t="s">
        <v>3797</v>
      </c>
      <c r="T33" s="203" t="s">
        <v>176</v>
      </c>
      <c r="U33" s="203" t="s">
        <v>177</v>
      </c>
      <c r="V33" s="203" t="s">
        <v>178</v>
      </c>
      <c r="W33" s="203" t="s">
        <v>179</v>
      </c>
      <c r="X33" s="203" t="s">
        <v>180</v>
      </c>
      <c r="Y33" s="203" t="s">
        <v>176</v>
      </c>
      <c r="Z33" s="203" t="s">
        <v>177</v>
      </c>
      <c r="AA33" s="203" t="s">
        <v>178</v>
      </c>
      <c r="AB33" s="203" t="s">
        <v>179</v>
      </c>
      <c r="AC33" s="203" t="s">
        <v>180</v>
      </c>
      <c r="AD33" s="204"/>
      <c r="AM33" s="1144"/>
      <c r="AN33" s="1144"/>
      <c r="AO33" s="1144"/>
    </row>
    <row r="34" spans="2:41" ht="31.5" customHeight="1" x14ac:dyDescent="0.35">
      <c r="D34" s="1148" t="s">
        <v>181</v>
      </c>
      <c r="E34" s="202" t="s">
        <v>182</v>
      </c>
      <c r="F34" s="202"/>
      <c r="G34" s="202" t="s">
        <v>183</v>
      </c>
      <c r="H34" s="202"/>
      <c r="I34" s="252">
        <f>SUM(J34:N34)</f>
        <v>71.63000000000001</v>
      </c>
      <c r="J34" s="253">
        <f>'A.1. Conso_bâtiment_EF H2'!J34*'0. Zones climatiques'!$H$6</f>
        <v>71.63000000000001</v>
      </c>
      <c r="K34" s="254"/>
      <c r="L34" s="254"/>
      <c r="M34" s="254"/>
      <c r="N34" s="254"/>
      <c r="O34" s="252">
        <f>SUM(P34:S34)</f>
        <v>71.5</v>
      </c>
      <c r="P34" s="253">
        <f>'A.1. Conso_bâtiment_EF H2'!P34*'0. Zones climatiques'!$H$6</f>
        <v>71.5</v>
      </c>
      <c r="Q34" s="254"/>
      <c r="R34" s="254"/>
      <c r="S34" s="254"/>
      <c r="T34" s="252">
        <f>SUM(U34:X34)</f>
        <v>101.4</v>
      </c>
      <c r="U34" s="253">
        <f>'A.1. Conso_bâtiment_EF H2'!U34*'0. Zones climatiques'!$H$6</f>
        <v>101.4</v>
      </c>
      <c r="V34" s="254"/>
      <c r="W34" s="254"/>
      <c r="X34" s="254"/>
      <c r="Y34" s="252">
        <f>SUM(Z34:AC34)</f>
        <v>102.89500000000001</v>
      </c>
      <c r="Z34" s="253">
        <f>'A.1. Conso_bâtiment_EF H2'!Z34*'0. Zones climatiques'!$H$6</f>
        <v>102.89500000000001</v>
      </c>
      <c r="AA34" s="255"/>
      <c r="AB34" s="255"/>
      <c r="AC34" s="255"/>
    </row>
    <row r="35" spans="2:41" ht="31.5" customHeight="1" x14ac:dyDescent="0.35">
      <c r="D35" s="1148"/>
      <c r="E35" s="202" t="s">
        <v>184</v>
      </c>
      <c r="F35" s="202"/>
      <c r="G35" s="202" t="s">
        <v>183</v>
      </c>
      <c r="H35" s="202"/>
      <c r="I35" s="252">
        <f t="shared" ref="I35:I54" si="0">SUM(J35:N35)</f>
        <v>68.055000000000007</v>
      </c>
      <c r="J35" s="253">
        <f>'A.1. Conso_bâtiment_EF H2'!J35*'0. Zones climatiques'!$H$6</f>
        <v>68.055000000000007</v>
      </c>
      <c r="K35" s="254"/>
      <c r="L35" s="254"/>
      <c r="M35" s="254"/>
      <c r="N35" s="254"/>
      <c r="O35" s="252">
        <f t="shared" ref="O35:O54" si="1">SUM(P35:S35)</f>
        <v>67.924999999999997</v>
      </c>
      <c r="P35" s="253">
        <f>'A.1. Conso_bâtiment_EF H2'!P35*'0. Zones climatiques'!$H$6</f>
        <v>67.924999999999997</v>
      </c>
      <c r="Q35" s="254"/>
      <c r="R35" s="254"/>
      <c r="S35" s="254"/>
      <c r="T35" s="252">
        <f t="shared" ref="T35:T54" si="2">SUM(U35:X35)</f>
        <v>96.33</v>
      </c>
      <c r="U35" s="253">
        <f>'A.1. Conso_bâtiment_EF H2'!U35*'0. Zones climatiques'!$H$6</f>
        <v>96.33</v>
      </c>
      <c r="V35" s="254"/>
      <c r="W35" s="254"/>
      <c r="X35" s="254"/>
      <c r="Y35" s="252">
        <f t="shared" ref="Y35:Y54" si="3">SUM(Z35:AC35)</f>
        <v>97.695000000000007</v>
      </c>
      <c r="Z35" s="253">
        <f>'A.1. Conso_bâtiment_EF H2'!Z35*'0. Zones climatiques'!$H$6</f>
        <v>97.695000000000007</v>
      </c>
      <c r="AA35" s="255"/>
      <c r="AB35" s="255"/>
      <c r="AC35" s="255"/>
    </row>
    <row r="36" spans="2:41" ht="31.5" customHeight="1" x14ac:dyDescent="0.35">
      <c r="D36" s="1148"/>
      <c r="E36" s="202" t="s">
        <v>185</v>
      </c>
      <c r="F36" s="202"/>
      <c r="G36" s="202" t="s">
        <v>183</v>
      </c>
      <c r="H36" s="202"/>
      <c r="I36" s="252">
        <f t="shared" si="0"/>
        <v>64.652250000000009</v>
      </c>
      <c r="J36" s="253">
        <f>'A.1. Conso_bâtiment_EF H2'!J36*'0. Zones climatiques'!$H$6</f>
        <v>64.652250000000009</v>
      </c>
      <c r="K36" s="254"/>
      <c r="L36" s="254"/>
      <c r="M36" s="254"/>
      <c r="N36" s="254"/>
      <c r="O36" s="252">
        <f t="shared" si="1"/>
        <v>64.528750000000002</v>
      </c>
      <c r="P36" s="253">
        <f>'A.1. Conso_bâtiment_EF H2'!P36*'0. Zones climatiques'!$H$6</f>
        <v>64.528750000000002</v>
      </c>
      <c r="Q36" s="254"/>
      <c r="R36" s="254"/>
      <c r="S36" s="254"/>
      <c r="T36" s="252">
        <f t="shared" si="2"/>
        <v>91.513499999999993</v>
      </c>
      <c r="U36" s="253">
        <f>'A.1. Conso_bâtiment_EF H2'!U36*'0. Zones climatiques'!$H$6</f>
        <v>91.513499999999993</v>
      </c>
      <c r="V36" s="254"/>
      <c r="W36" s="254"/>
      <c r="X36" s="254"/>
      <c r="Y36" s="252">
        <f t="shared" si="3"/>
        <v>92.810249999999996</v>
      </c>
      <c r="Z36" s="253">
        <f>'A.1. Conso_bâtiment_EF H2'!Z36*'0. Zones climatiques'!$H$6</f>
        <v>92.810249999999996</v>
      </c>
      <c r="AA36" s="255"/>
      <c r="AB36" s="255"/>
      <c r="AC36" s="255"/>
    </row>
    <row r="37" spans="2:41" ht="31.5" customHeight="1" x14ac:dyDescent="0.35">
      <c r="D37" s="1148"/>
      <c r="E37" s="202" t="s">
        <v>186</v>
      </c>
      <c r="F37" s="202"/>
      <c r="G37" s="202" t="s">
        <v>183</v>
      </c>
      <c r="H37" s="202"/>
      <c r="I37" s="252">
        <f t="shared" si="0"/>
        <v>53.95</v>
      </c>
      <c r="J37" s="253">
        <f>'A.1. Conso_bâtiment_EF H2'!J37*'0. Zones climatiques'!$H$6</f>
        <v>53.95</v>
      </c>
      <c r="K37" s="254"/>
      <c r="L37" s="254"/>
      <c r="M37" s="254"/>
      <c r="N37" s="254"/>
      <c r="O37" s="252">
        <f t="shared" si="1"/>
        <v>51.285000000000004</v>
      </c>
      <c r="P37" s="253">
        <f>'A.1. Conso_bâtiment_EF H2'!P37*'0. Zones climatiques'!$H$6</f>
        <v>51.285000000000004</v>
      </c>
      <c r="Q37" s="254"/>
      <c r="R37" s="254"/>
      <c r="S37" s="254"/>
      <c r="T37" s="252">
        <f t="shared" si="2"/>
        <v>75.27</v>
      </c>
      <c r="U37" s="253">
        <f>'A.1. Conso_bâtiment_EF H2'!U37*'0. Zones climatiques'!$H$6</f>
        <v>75.27</v>
      </c>
      <c r="V37" s="254"/>
      <c r="W37" s="254"/>
      <c r="X37" s="254"/>
      <c r="Y37" s="252">
        <f t="shared" si="3"/>
        <v>76.375</v>
      </c>
      <c r="Z37" s="253">
        <f>'A.1. Conso_bâtiment_EF H2'!Z37*'0. Zones climatiques'!$H$6</f>
        <v>76.375</v>
      </c>
      <c r="AA37" s="255"/>
      <c r="AB37" s="255"/>
      <c r="AC37" s="255"/>
    </row>
    <row r="38" spans="2:41" ht="31.5" customHeight="1" x14ac:dyDescent="0.35">
      <c r="D38" s="1148"/>
      <c r="E38" s="202" t="s">
        <v>187</v>
      </c>
      <c r="F38" s="202"/>
      <c r="G38" s="202"/>
      <c r="H38" s="202" t="s">
        <v>183</v>
      </c>
      <c r="I38" s="252">
        <f t="shared" si="0"/>
        <v>26.520000000000003</v>
      </c>
      <c r="J38" s="253">
        <f>'A.1. Conso_bâtiment_EF H2'!J38*'0. Zones climatiques'!$H$6</f>
        <v>9.1650000000000009</v>
      </c>
      <c r="K38" s="253">
        <f>'A.1. Conso_bâtiment_EF H2'!K38*'0. Zones climatiques'!$H$6</f>
        <v>17.355</v>
      </c>
      <c r="L38" s="255"/>
      <c r="M38" s="254"/>
      <c r="N38" s="254"/>
      <c r="O38" s="252">
        <f t="shared" si="1"/>
        <v>0</v>
      </c>
      <c r="P38" s="254"/>
      <c r="Q38" s="254"/>
      <c r="R38" s="254"/>
      <c r="S38" s="254"/>
      <c r="T38" s="252">
        <f t="shared" si="2"/>
        <v>37.31</v>
      </c>
      <c r="U38" s="253">
        <f>'A.1. Conso_bâtiment_EF H2'!U38*'0. Zones climatiques'!$H$6</f>
        <v>13.78</v>
      </c>
      <c r="V38" s="253">
        <f>'A.1. Conso_bâtiment_EF H2'!V38*'0. Zones climatiques'!$H$6</f>
        <v>23.53</v>
      </c>
      <c r="W38" s="255"/>
      <c r="X38" s="254"/>
      <c r="Y38" s="252">
        <f t="shared" si="3"/>
        <v>37.895000000000003</v>
      </c>
      <c r="Z38" s="253">
        <f>'A.1. Conso_bâtiment_EF H2'!Z38*'0. Zones climatiques'!$H$6</f>
        <v>14.040000000000001</v>
      </c>
      <c r="AA38" s="253">
        <f>'A.1. Conso_bâtiment_EF H2'!AA38*'0. Zones climatiques'!$H$6</f>
        <v>23.855000000000004</v>
      </c>
      <c r="AB38" s="255"/>
      <c r="AC38" s="254"/>
    </row>
    <row r="39" spans="2:41" ht="31.5" customHeight="1" x14ac:dyDescent="0.35">
      <c r="D39" s="1148"/>
      <c r="E39" s="202" t="s">
        <v>188</v>
      </c>
      <c r="F39" s="202"/>
      <c r="G39" s="202"/>
      <c r="H39" s="202" t="s">
        <v>183</v>
      </c>
      <c r="I39" s="252">
        <f t="shared" si="0"/>
        <v>42.9</v>
      </c>
      <c r="J39" s="253">
        <f>'A.1. Conso_bâtiment_EF H2'!J39*'0. Zones climatiques'!$H$6</f>
        <v>37.765000000000001</v>
      </c>
      <c r="K39" s="253">
        <f>'A.1. Conso_bâtiment_EF H2'!K39*'0. Zones climatiques'!$H$6</f>
        <v>5.1350000000000007</v>
      </c>
      <c r="L39" s="255"/>
      <c r="M39" s="254"/>
      <c r="N39" s="254"/>
      <c r="O39" s="252">
        <f t="shared" si="1"/>
        <v>40.755000000000003</v>
      </c>
      <c r="P39" s="253">
        <f>'A.1. Conso_bâtiment_EF H2'!P39*'0. Zones climatiques'!$H$6</f>
        <v>35.880000000000003</v>
      </c>
      <c r="Q39" s="253">
        <f>'A.1. Conso_bâtiment_EF H2'!Q39*'0. Zones climatiques'!$H$6</f>
        <v>4.875</v>
      </c>
      <c r="R39" s="254"/>
      <c r="S39" s="254"/>
      <c r="T39" s="252">
        <f t="shared" si="2"/>
        <v>0</v>
      </c>
      <c r="U39" s="254"/>
      <c r="V39" s="254"/>
      <c r="W39" s="254"/>
      <c r="X39" s="254"/>
      <c r="Y39" s="252">
        <f t="shared" si="3"/>
        <v>39.78</v>
      </c>
      <c r="Z39" s="253">
        <f>'A.1. Conso_bâtiment_EF H2'!Z39*'0. Zones climatiques'!$H$6</f>
        <v>22.880000000000003</v>
      </c>
      <c r="AA39" s="253">
        <f>'A.1. Conso_bâtiment_EF H2'!AA39*'0. Zones climatiques'!$H$6</f>
        <v>16.900000000000002</v>
      </c>
      <c r="AB39" s="255"/>
      <c r="AC39" s="254"/>
    </row>
    <row r="40" spans="2:41" ht="31.5" customHeight="1" x14ac:dyDescent="0.35">
      <c r="D40" s="1148"/>
      <c r="E40" s="202" t="s">
        <v>189</v>
      </c>
      <c r="F40" s="202"/>
      <c r="G40" s="202" t="s">
        <v>183</v>
      </c>
      <c r="H40" s="202"/>
      <c r="I40" s="252">
        <f t="shared" si="0"/>
        <v>0</v>
      </c>
      <c r="J40" s="254"/>
      <c r="K40" s="254"/>
      <c r="L40" s="254"/>
      <c r="M40" s="254"/>
      <c r="N40" s="254"/>
      <c r="O40" s="252">
        <f t="shared" si="1"/>
        <v>0</v>
      </c>
      <c r="P40" s="254"/>
      <c r="Q40" s="254"/>
      <c r="R40" s="254"/>
      <c r="S40" s="254"/>
      <c r="T40" s="252">
        <f t="shared" si="2"/>
        <v>55.12</v>
      </c>
      <c r="U40" s="253">
        <f>'A.1. Conso_bâtiment_EF H2'!U40*'0. Zones climatiques'!$H$6</f>
        <v>55.12</v>
      </c>
      <c r="V40" s="255"/>
      <c r="W40" s="255"/>
      <c r="X40" s="254"/>
      <c r="Y40" s="252">
        <f t="shared" si="3"/>
        <v>55.964999999999996</v>
      </c>
      <c r="Z40" s="253">
        <f>'A.1. Conso_bâtiment_EF H2'!Z40*'0. Zones climatiques'!$H$6</f>
        <v>55.964999999999996</v>
      </c>
      <c r="AA40" s="255"/>
      <c r="AB40" s="255"/>
      <c r="AC40" s="254"/>
    </row>
    <row r="41" spans="2:41" ht="31.5" customHeight="1" x14ac:dyDescent="0.35">
      <c r="D41" s="1148"/>
      <c r="E41" s="202" t="s">
        <v>190</v>
      </c>
      <c r="F41" s="202"/>
      <c r="G41" s="202"/>
      <c r="H41" s="202" t="s">
        <v>183</v>
      </c>
      <c r="I41" s="252">
        <f t="shared" si="0"/>
        <v>20.605000000000004</v>
      </c>
      <c r="J41" s="253">
        <f>'A.1. Conso_bâtiment_EF H2'!J41*'0. Zones climatiques'!$H$6</f>
        <v>9.1650000000000009</v>
      </c>
      <c r="K41" s="253">
        <f>'A.1. Conso_bâtiment_EF H2'!K41*'0. Zones climatiques'!$H$6</f>
        <v>11.440000000000001</v>
      </c>
      <c r="L41" s="255"/>
      <c r="M41" s="254"/>
      <c r="N41" s="254"/>
      <c r="O41" s="252">
        <f t="shared" si="1"/>
        <v>0</v>
      </c>
      <c r="P41" s="254"/>
      <c r="Q41" s="254"/>
      <c r="R41" s="254"/>
      <c r="S41" s="254"/>
      <c r="T41" s="252">
        <f t="shared" si="2"/>
        <v>29.314999999999998</v>
      </c>
      <c r="U41" s="253">
        <f>'A.1. Conso_bâtiment_EF H2'!U41*'0. Zones climatiques'!$H$6</f>
        <v>13.78</v>
      </c>
      <c r="V41" s="253">
        <f>'A.1. Conso_bâtiment_EF H2'!V41*'0. Zones climatiques'!$H$6</f>
        <v>15.535</v>
      </c>
      <c r="W41" s="255"/>
      <c r="X41" s="254"/>
      <c r="Y41" s="252">
        <f t="shared" si="3"/>
        <v>29.770000000000003</v>
      </c>
      <c r="Z41" s="253">
        <f>'A.1. Conso_bâtiment_EF H2'!Z41*'0. Zones climatiques'!$H$6</f>
        <v>14.040000000000001</v>
      </c>
      <c r="AA41" s="253">
        <f>'A.1. Conso_bâtiment_EF H2'!AA41*'0. Zones climatiques'!$H$6</f>
        <v>15.73</v>
      </c>
      <c r="AB41" s="255"/>
      <c r="AC41" s="254"/>
    </row>
    <row r="42" spans="2:41" ht="31.5" customHeight="1" x14ac:dyDescent="0.35">
      <c r="D42" s="1148"/>
      <c r="E42" s="202" t="s">
        <v>191</v>
      </c>
      <c r="F42" s="202"/>
      <c r="G42" s="202" t="s">
        <v>183</v>
      </c>
      <c r="H42" s="202"/>
      <c r="I42" s="252">
        <f t="shared" si="0"/>
        <v>52.064999999999998</v>
      </c>
      <c r="J42" s="253">
        <f>'A.1. Conso_bâtiment_EF H2'!J42*'0. Zones climatiques'!$H$6</f>
        <v>52.064999999999998</v>
      </c>
      <c r="K42" s="255"/>
      <c r="L42" s="255"/>
      <c r="M42" s="255"/>
      <c r="N42" s="255"/>
      <c r="O42" s="252">
        <f t="shared" si="1"/>
        <v>0</v>
      </c>
      <c r="P42" s="254"/>
      <c r="Q42" s="254"/>
      <c r="R42" s="254"/>
      <c r="S42" s="254"/>
      <c r="T42" s="252">
        <f t="shared" si="2"/>
        <v>74.945000000000007</v>
      </c>
      <c r="U42" s="253">
        <f>'A.1. Conso_bâtiment_EF H2'!U42*'0. Zones climatiques'!$H$6</f>
        <v>74.945000000000007</v>
      </c>
      <c r="V42" s="255"/>
      <c r="W42" s="255"/>
      <c r="X42" s="254"/>
      <c r="Y42" s="252">
        <f t="shared" si="3"/>
        <v>76.05</v>
      </c>
      <c r="Z42" s="253">
        <f>'A.1. Conso_bâtiment_EF H2'!Z42*'0. Zones climatiques'!$H$6</f>
        <v>76.05</v>
      </c>
      <c r="AA42" s="255"/>
      <c r="AB42" s="255"/>
      <c r="AC42" s="254"/>
    </row>
    <row r="43" spans="2:41" ht="31.5" customHeight="1" x14ac:dyDescent="0.35">
      <c r="D43" s="1148"/>
      <c r="E43" s="307" t="s">
        <v>192</v>
      </c>
      <c r="F43" s="202"/>
      <c r="G43" s="202" t="s">
        <v>183</v>
      </c>
      <c r="H43" s="202"/>
      <c r="I43" s="252">
        <f t="shared" si="0"/>
        <v>33.67</v>
      </c>
      <c r="J43" s="253">
        <f>'A.1. Conso_bâtiment_EF H2'!J43*'0. Zones climatiques'!$H$6</f>
        <v>33.67</v>
      </c>
      <c r="K43" s="255"/>
      <c r="L43" s="255"/>
      <c r="M43" s="255"/>
      <c r="N43" s="255"/>
      <c r="O43" s="252">
        <f t="shared" si="1"/>
        <v>0</v>
      </c>
      <c r="P43" s="254"/>
      <c r="Q43" s="254"/>
      <c r="R43" s="254"/>
      <c r="S43" s="254"/>
      <c r="T43" s="252">
        <f t="shared" si="2"/>
        <v>50.180000000000007</v>
      </c>
      <c r="U43" s="253">
        <f>'A.1. Conso_bâtiment_EF H2'!U43*'0. Zones climatiques'!$H$6</f>
        <v>50.180000000000007</v>
      </c>
      <c r="V43" s="255"/>
      <c r="W43" s="255"/>
      <c r="X43" s="254"/>
      <c r="Y43" s="252">
        <f t="shared" si="3"/>
        <v>50.960000000000008</v>
      </c>
      <c r="Z43" s="253">
        <f>'A.1. Conso_bâtiment_EF H2'!Z43*'0. Zones climatiques'!$H$6</f>
        <v>50.960000000000008</v>
      </c>
      <c r="AA43" s="255"/>
      <c r="AB43" s="255"/>
      <c r="AC43" s="254"/>
    </row>
    <row r="44" spans="2:41" ht="31.5" customHeight="1" x14ac:dyDescent="0.35">
      <c r="D44" s="1148"/>
      <c r="E44" s="307" t="s">
        <v>193</v>
      </c>
      <c r="F44" s="202"/>
      <c r="G44" s="202"/>
      <c r="H44" s="202" t="s">
        <v>183</v>
      </c>
      <c r="I44" s="252">
        <f t="shared" si="0"/>
        <v>0</v>
      </c>
      <c r="J44" s="255"/>
      <c r="K44" s="255"/>
      <c r="L44" s="255"/>
      <c r="M44" s="255"/>
      <c r="N44" s="255"/>
      <c r="O44" s="252">
        <f t="shared" si="1"/>
        <v>0</v>
      </c>
      <c r="P44" s="255"/>
      <c r="Q44" s="255"/>
      <c r="R44" s="255"/>
      <c r="S44" s="255"/>
      <c r="T44" s="252">
        <f t="shared" si="2"/>
        <v>100.03500000000001</v>
      </c>
      <c r="U44" s="253">
        <f>'A.1. Conso_bâtiment_EF H2'!U44*'0. Zones climatiques'!$H$6</f>
        <v>7.54</v>
      </c>
      <c r="V44" s="255"/>
      <c r="W44" s="255"/>
      <c r="X44" s="253">
        <f>'A.1. Conso_bâtiment_EF H2'!X44*'0. Zones climatiques'!$H$6</f>
        <v>92.495000000000005</v>
      </c>
      <c r="Y44" s="252">
        <f t="shared" si="3"/>
        <v>101.40000000000002</v>
      </c>
      <c r="Z44" s="253">
        <f>'A.1. Conso_bâtiment_EF H2'!Z44*'0. Zones climatiques'!$H$6</f>
        <v>7.6049999999999995</v>
      </c>
      <c r="AA44" s="255"/>
      <c r="AB44" s="255"/>
      <c r="AC44" s="253">
        <f>'A.1. Conso_bâtiment_EF H2'!AC44*'0. Zones climatiques'!$H$6</f>
        <v>93.795000000000016</v>
      </c>
    </row>
    <row r="45" spans="2:41" ht="31.5" customHeight="1" x14ac:dyDescent="0.35">
      <c r="D45" s="1148"/>
      <c r="E45" s="307" t="s">
        <v>194</v>
      </c>
      <c r="F45" s="202"/>
      <c r="G45" s="202"/>
      <c r="H45" s="202"/>
      <c r="I45" s="252">
        <f t="shared" si="0"/>
        <v>61.489999999999995</v>
      </c>
      <c r="J45" s="253">
        <f>'A.1. Conso_bâtiment_EF H2'!J45*'0. Zones climatiques'!$H$6</f>
        <v>61.489999999999995</v>
      </c>
      <c r="K45" s="255"/>
      <c r="L45" s="255"/>
      <c r="M45" s="255"/>
      <c r="N45" s="255"/>
      <c r="O45" s="252">
        <f t="shared" si="1"/>
        <v>0</v>
      </c>
      <c r="P45" s="254"/>
      <c r="Q45" s="254"/>
      <c r="R45" s="254"/>
      <c r="S45" s="254"/>
      <c r="T45" s="252">
        <f t="shared" si="2"/>
        <v>84.174999999999997</v>
      </c>
      <c r="U45" s="253">
        <f>'A.1. Conso_bâtiment_EF H2'!U45*'0. Zones climatiques'!$H$6</f>
        <v>84.174999999999997</v>
      </c>
      <c r="V45" s="255"/>
      <c r="W45" s="255"/>
      <c r="X45" s="254"/>
      <c r="Y45" s="252">
        <f t="shared" si="3"/>
        <v>85.28</v>
      </c>
      <c r="Z45" s="253">
        <f>'A.1. Conso_bâtiment_EF H2'!Z45*'0. Zones climatiques'!$H$6</f>
        <v>85.28</v>
      </c>
      <c r="AA45" s="255"/>
      <c r="AB45" s="255"/>
      <c r="AC45" s="254"/>
    </row>
    <row r="46" spans="2:41" ht="31.5" customHeight="1" x14ac:dyDescent="0.35">
      <c r="D46" s="1148"/>
      <c r="E46" s="307" t="s">
        <v>195</v>
      </c>
      <c r="F46" s="202"/>
      <c r="G46" s="202"/>
      <c r="H46" s="202"/>
      <c r="I46" s="252">
        <f t="shared" si="0"/>
        <v>0</v>
      </c>
      <c r="J46" s="255"/>
      <c r="K46" s="255"/>
      <c r="L46" s="255"/>
      <c r="M46" s="255"/>
      <c r="N46" s="255"/>
      <c r="O46" s="252">
        <f t="shared" si="1"/>
        <v>0</v>
      </c>
      <c r="P46" s="255"/>
      <c r="Q46" s="255"/>
      <c r="R46" s="255"/>
      <c r="S46" s="255"/>
      <c r="T46" s="252">
        <f t="shared" si="2"/>
        <v>75.27</v>
      </c>
      <c r="U46" s="253">
        <f>'A.1. Conso_bâtiment_EF H2'!U46*'0. Zones climatiques'!$H$6</f>
        <v>75.27</v>
      </c>
      <c r="V46" s="255"/>
      <c r="W46" s="255"/>
      <c r="X46" s="255"/>
      <c r="Y46" s="252">
        <f t="shared" si="3"/>
        <v>76.375</v>
      </c>
      <c r="Z46" s="253">
        <f>'A.1. Conso_bâtiment_EF H2'!Z46*'0. Zones climatiques'!$H$6</f>
        <v>76.375</v>
      </c>
      <c r="AA46" s="254"/>
      <c r="AB46" s="254"/>
      <c r="AC46" s="254"/>
    </row>
    <row r="47" spans="2:41" ht="41.45" customHeight="1" x14ac:dyDescent="0.35">
      <c r="D47" s="1146" t="s">
        <v>166</v>
      </c>
      <c r="E47" s="202" t="s">
        <v>196</v>
      </c>
      <c r="F47" s="202" t="s">
        <v>183</v>
      </c>
      <c r="G47" s="202"/>
      <c r="H47" s="202"/>
      <c r="I47" s="252">
        <f t="shared" si="0"/>
        <v>80.664999999999992</v>
      </c>
      <c r="J47" s="255"/>
      <c r="K47" s="255"/>
      <c r="L47" s="253">
        <f>'A.1. Conso_bâtiment_EF H2'!L47*'0. Zones climatiques'!$H$6</f>
        <v>80.664999999999992</v>
      </c>
      <c r="M47" s="255"/>
      <c r="N47" s="255"/>
      <c r="O47" s="252">
        <f t="shared" si="1"/>
        <v>0</v>
      </c>
      <c r="P47" s="255"/>
      <c r="Q47" s="255"/>
      <c r="R47" s="255"/>
      <c r="S47" s="255"/>
      <c r="T47" s="252">
        <f t="shared" si="2"/>
        <v>103.54500000000002</v>
      </c>
      <c r="U47" s="255"/>
      <c r="V47" s="255"/>
      <c r="W47" s="253">
        <f>'A.1. Conso_bâtiment_EF H2'!W47*'0. Zones climatiques'!$H$6</f>
        <v>103.54500000000002</v>
      </c>
      <c r="X47" s="255"/>
      <c r="Y47" s="252">
        <f t="shared" si="3"/>
        <v>90.674999999999997</v>
      </c>
      <c r="Z47" s="254"/>
      <c r="AA47" s="254"/>
      <c r="AB47" s="253">
        <f>'A.1. Conso_bâtiment_EF H2'!AB47*'0. Zones climatiques'!$H$6</f>
        <v>90.674999999999997</v>
      </c>
      <c r="AC47" s="254"/>
    </row>
    <row r="48" spans="2:41" ht="41.45" customHeight="1" x14ac:dyDescent="0.35">
      <c r="D48" s="1147"/>
      <c r="E48" s="202" t="s">
        <v>197</v>
      </c>
      <c r="F48" s="202"/>
      <c r="G48" s="202"/>
      <c r="H48" s="202"/>
      <c r="I48" s="252">
        <f t="shared" si="0"/>
        <v>60.774999999999999</v>
      </c>
      <c r="J48" s="255"/>
      <c r="K48" s="255"/>
      <c r="L48" s="253">
        <f>'A.1. Conso_bâtiment_EF H2'!L48*'0. Zones climatiques'!$H$6</f>
        <v>60.774999999999999</v>
      </c>
      <c r="M48" s="255"/>
      <c r="N48" s="255"/>
      <c r="O48" s="252">
        <f t="shared" si="1"/>
        <v>0</v>
      </c>
      <c r="P48" s="255"/>
      <c r="Q48" s="255"/>
      <c r="R48" s="255"/>
      <c r="S48" s="255"/>
      <c r="T48" s="252">
        <f t="shared" si="2"/>
        <v>76.894999999999996</v>
      </c>
      <c r="U48" s="255"/>
      <c r="V48" s="255"/>
      <c r="W48" s="253">
        <f>'A.1. Conso_bâtiment_EF H2'!W48*'0. Zones climatiques'!$H$6</f>
        <v>76.894999999999996</v>
      </c>
      <c r="X48" s="255"/>
      <c r="Y48" s="252">
        <f t="shared" si="3"/>
        <v>67.34</v>
      </c>
      <c r="Z48" s="254"/>
      <c r="AA48" s="254"/>
      <c r="AB48" s="253">
        <f>'A.1. Conso_bâtiment_EF H2'!AB48*'0. Zones climatiques'!$H$6</f>
        <v>67.34</v>
      </c>
      <c r="AC48" s="254"/>
      <c r="AD48" s="61"/>
    </row>
    <row r="49" spans="4:30" ht="41.45" customHeight="1" x14ac:dyDescent="0.35">
      <c r="D49" s="1041" t="s">
        <v>767</v>
      </c>
      <c r="E49" s="202" t="s">
        <v>3795</v>
      </c>
      <c r="F49" s="202"/>
      <c r="G49" s="202"/>
      <c r="H49" s="202"/>
      <c r="I49" s="252">
        <f t="shared" si="0"/>
        <v>87.945000000000007</v>
      </c>
      <c r="J49" s="255"/>
      <c r="K49" s="255"/>
      <c r="L49" s="255"/>
      <c r="M49" s="253">
        <f>'A.1. Conso_bâtiment_EF H2'!M49*'0. Zones climatiques'!$H$6</f>
        <v>87.945000000000007</v>
      </c>
      <c r="N49" s="255"/>
      <c r="O49" s="252">
        <f t="shared" si="1"/>
        <v>0</v>
      </c>
      <c r="P49" s="255"/>
      <c r="Q49" s="255"/>
      <c r="R49" s="253">
        <f>'A.1. Conso_bâtiment_EF H2'!R49*'0. Zones climatiques'!$H$6</f>
        <v>0</v>
      </c>
      <c r="S49" s="255"/>
      <c r="T49" s="252">
        <f t="shared" si="2"/>
        <v>0</v>
      </c>
      <c r="U49" s="255"/>
      <c r="V49" s="255"/>
      <c r="W49" s="255"/>
      <c r="X49" s="255"/>
      <c r="Y49" s="252">
        <f t="shared" si="3"/>
        <v>0</v>
      </c>
      <c r="Z49" s="254"/>
      <c r="AA49" s="254"/>
      <c r="AB49" s="253"/>
      <c r="AC49" s="254"/>
      <c r="AD49" s="61"/>
    </row>
    <row r="50" spans="4:30" ht="41.45" customHeight="1" x14ac:dyDescent="0.35">
      <c r="D50" s="1103" t="s">
        <v>768</v>
      </c>
      <c r="E50" s="202" t="s">
        <v>3796</v>
      </c>
      <c r="F50" s="202"/>
      <c r="G50" s="202"/>
      <c r="H50" s="202"/>
      <c r="I50" s="252">
        <f t="shared" si="0"/>
        <v>71.63000000000001</v>
      </c>
      <c r="J50" s="255"/>
      <c r="K50" s="255"/>
      <c r="L50" s="255"/>
      <c r="M50" s="255"/>
      <c r="N50" s="253">
        <f>'A.1. Conso_bâtiment_EF H2'!N50*'0. Zones climatiques'!$H$6</f>
        <v>71.63000000000001</v>
      </c>
      <c r="O50" s="252">
        <f t="shared" si="1"/>
        <v>71.5</v>
      </c>
      <c r="P50" s="255"/>
      <c r="Q50" s="255"/>
      <c r="R50" s="255"/>
      <c r="S50" s="253">
        <f>'A.1. Conso_bâtiment_EF H2'!S50*'0. Zones climatiques'!$H$6</f>
        <v>71.5</v>
      </c>
      <c r="T50" s="252">
        <f t="shared" si="2"/>
        <v>0</v>
      </c>
      <c r="U50" s="255"/>
      <c r="V50" s="255"/>
      <c r="W50" s="255"/>
      <c r="X50" s="255"/>
      <c r="Y50" s="252">
        <f t="shared" si="3"/>
        <v>0</v>
      </c>
      <c r="Z50" s="254"/>
      <c r="AA50" s="254"/>
      <c r="AB50" s="253"/>
      <c r="AC50" s="254"/>
      <c r="AD50" s="61"/>
    </row>
    <row r="51" spans="4:30" ht="41.45" customHeight="1" x14ac:dyDescent="0.35">
      <c r="D51" s="1146" t="s">
        <v>198</v>
      </c>
      <c r="E51" s="202" t="s">
        <v>199</v>
      </c>
      <c r="F51" s="202"/>
      <c r="G51" s="202"/>
      <c r="H51" s="202" t="s">
        <v>183</v>
      </c>
      <c r="I51" s="252">
        <f t="shared" si="0"/>
        <v>10.074999999999999</v>
      </c>
      <c r="J51" s="253">
        <f>'A.1. Conso_bâtiment_EF H2'!J51*'0. Zones climatiques'!$H$6</f>
        <v>5.59</v>
      </c>
      <c r="K51" s="253">
        <f>'A.1. Conso_bâtiment_EF H2'!K51*'0. Zones climatiques'!$H$6</f>
        <v>4.4850000000000003</v>
      </c>
      <c r="L51" s="255"/>
      <c r="M51" s="255"/>
      <c r="N51" s="255"/>
      <c r="O51" s="252">
        <f t="shared" si="1"/>
        <v>0</v>
      </c>
      <c r="P51" s="255"/>
      <c r="Q51" s="255"/>
      <c r="R51" s="254"/>
      <c r="S51" s="254"/>
      <c r="T51" s="252">
        <f t="shared" si="2"/>
        <v>11.57</v>
      </c>
      <c r="U51" s="253">
        <f>'A.1. Conso_bâtiment_EF H2'!U51*'0. Zones climatiques'!$H$6</f>
        <v>9.2949999999999999</v>
      </c>
      <c r="V51" s="253">
        <f>'A.1. Conso_bâtiment_EF H2'!V51*'0. Zones climatiques'!$H$6</f>
        <v>2.2749999999999999</v>
      </c>
      <c r="W51" s="255"/>
      <c r="X51" s="254"/>
      <c r="Y51" s="252">
        <f t="shared" si="3"/>
        <v>15.469999999999999</v>
      </c>
      <c r="Z51" s="253">
        <f>'A.1. Conso_bâtiment_EF H2'!Z51*'0. Zones climatiques'!$H$6</f>
        <v>13.26</v>
      </c>
      <c r="AA51" s="253">
        <f>'A.1. Conso_bâtiment_EF H2'!AA51*'0. Zones climatiques'!$H$6</f>
        <v>2.21</v>
      </c>
      <c r="AB51" s="254"/>
      <c r="AC51" s="254"/>
    </row>
    <row r="52" spans="4:30" ht="41.45" customHeight="1" x14ac:dyDescent="0.35">
      <c r="D52" s="1147"/>
      <c r="E52" s="202" t="s">
        <v>200</v>
      </c>
      <c r="F52" s="202"/>
      <c r="G52" s="202"/>
      <c r="H52" s="202"/>
      <c r="I52" s="252">
        <f t="shared" si="0"/>
        <v>14.365000000000002</v>
      </c>
      <c r="J52" s="253">
        <f>'A.1. Conso_bâtiment_EF H2'!J52*'0. Zones climatiques'!$H$6</f>
        <v>14.365000000000002</v>
      </c>
      <c r="K52" s="253">
        <f>'A.1. Conso_bâtiment_EF H2'!K52*'0. Zones climatiques'!$H$6</f>
        <v>0</v>
      </c>
      <c r="L52" s="255"/>
      <c r="M52" s="255"/>
      <c r="N52" s="255"/>
      <c r="O52" s="252">
        <f t="shared" si="1"/>
        <v>14.625</v>
      </c>
      <c r="P52" s="253">
        <f>'A.1. Conso_bâtiment_EF H2'!P52*'0. Zones climatiques'!$H$6</f>
        <v>14.625</v>
      </c>
      <c r="Q52" s="255"/>
      <c r="R52" s="254"/>
      <c r="S52" s="254"/>
      <c r="T52" s="252">
        <f t="shared" si="2"/>
        <v>13.715000000000002</v>
      </c>
      <c r="U52" s="253">
        <f>'A.1. Conso_bâtiment_EF H2'!U52*'0. Zones climatiques'!$H$6</f>
        <v>13.715000000000002</v>
      </c>
      <c r="V52" s="255"/>
      <c r="W52" s="255"/>
      <c r="X52" s="254"/>
      <c r="Y52" s="252">
        <f t="shared" si="3"/>
        <v>0</v>
      </c>
      <c r="Z52" s="255"/>
      <c r="AA52" s="255"/>
      <c r="AB52" s="254"/>
      <c r="AC52" s="254"/>
    </row>
    <row r="53" spans="4:30" ht="56.45" customHeight="1" outlineLevel="1" x14ac:dyDescent="0.35">
      <c r="D53" s="1145" t="s">
        <v>201</v>
      </c>
      <c r="E53" s="776" t="s">
        <v>202</v>
      </c>
      <c r="F53" s="202"/>
      <c r="G53" s="202"/>
      <c r="H53" s="202"/>
      <c r="I53" s="252">
        <f t="shared" si="0"/>
        <v>20.930000000000003</v>
      </c>
      <c r="J53" s="254"/>
      <c r="K53" s="253">
        <f>'A.1. Conso_bâtiment_EF H2'!K53*'0. Zones climatiques'!$H$6</f>
        <v>20.930000000000003</v>
      </c>
      <c r="L53" s="254"/>
      <c r="M53" s="254"/>
      <c r="N53" s="254"/>
      <c r="O53" s="252">
        <f t="shared" si="1"/>
        <v>0</v>
      </c>
      <c r="P53" s="254"/>
      <c r="Q53" s="255"/>
      <c r="R53" s="254"/>
      <c r="S53" s="254"/>
      <c r="T53" s="252">
        <f t="shared" si="2"/>
        <v>28.340000000000003</v>
      </c>
      <c r="U53" s="255"/>
      <c r="V53" s="253">
        <f>'A.1. Conso_bâtiment_EF H2'!V53*'0. Zones climatiques'!$H$6</f>
        <v>28.340000000000003</v>
      </c>
      <c r="W53" s="254"/>
      <c r="X53" s="254"/>
      <c r="Y53" s="252">
        <f t="shared" si="3"/>
        <v>28.794999999999998</v>
      </c>
      <c r="Z53" s="254"/>
      <c r="AA53" s="253">
        <f>'A.1. Conso_bâtiment_EF H2'!AA53*'0. Zones climatiques'!$H$6</f>
        <v>28.794999999999998</v>
      </c>
      <c r="AB53" s="254"/>
      <c r="AC53" s="254"/>
    </row>
    <row r="54" spans="4:30" ht="56.45" customHeight="1" outlineLevel="1" x14ac:dyDescent="0.35">
      <c r="D54" s="1145"/>
      <c r="E54" s="776" t="s">
        <v>203</v>
      </c>
      <c r="F54" s="202"/>
      <c r="G54" s="202"/>
      <c r="H54" s="202"/>
      <c r="I54" s="252">
        <f t="shared" si="0"/>
        <v>43.550000000000004</v>
      </c>
      <c r="J54" s="254"/>
      <c r="K54" s="253">
        <f>'A.1. Conso_bâtiment_EF H2'!K54*'0. Zones climatiques'!$H$6</f>
        <v>43.550000000000004</v>
      </c>
      <c r="L54" s="254"/>
      <c r="M54" s="254"/>
      <c r="N54" s="254"/>
      <c r="O54" s="252">
        <f t="shared" si="1"/>
        <v>38.285000000000004</v>
      </c>
      <c r="P54" s="254"/>
      <c r="Q54" s="253">
        <f>'A.1. Conso_bâtiment_EF H2'!Q54*'0. Zones climatiques'!$H$6</f>
        <v>38.285000000000004</v>
      </c>
      <c r="R54" s="254"/>
      <c r="S54" s="254"/>
      <c r="T54" s="252">
        <f t="shared" si="2"/>
        <v>0</v>
      </c>
      <c r="U54" s="641"/>
      <c r="V54" s="254"/>
      <c r="W54" s="254"/>
      <c r="X54" s="254"/>
      <c r="Y54" s="252">
        <f t="shared" si="3"/>
        <v>54.989999999999995</v>
      </c>
      <c r="Z54" s="254"/>
      <c r="AA54" s="253">
        <f>'A.1. Conso_bâtiment_EF H2'!AA54*'0. Zones climatiques'!$H$6</f>
        <v>54.989999999999995</v>
      </c>
      <c r="AB54" s="254"/>
      <c r="AC54" s="254"/>
    </row>
    <row r="57" spans="4:30" ht="23.25" x14ac:dyDescent="0.35">
      <c r="E57" s="206" t="s">
        <v>204</v>
      </c>
      <c r="F57" s="206"/>
      <c r="G57" s="206"/>
      <c r="H57" s="206"/>
    </row>
    <row r="59" spans="4:30" ht="20.25" x14ac:dyDescent="0.2">
      <c r="I59" s="1141" t="s">
        <v>162</v>
      </c>
      <c r="J59" s="1141"/>
      <c r="K59" s="1141"/>
      <c r="L59" s="1141"/>
      <c r="M59" s="1141"/>
      <c r="N59" s="1042"/>
      <c r="O59" s="1141" t="s">
        <v>163</v>
      </c>
      <c r="P59" s="1141"/>
      <c r="Q59" s="1141"/>
      <c r="R59" s="1141"/>
      <c r="S59" s="1042"/>
      <c r="T59" s="1141" t="s">
        <v>170</v>
      </c>
      <c r="U59" s="1141"/>
      <c r="V59" s="1141"/>
      <c r="W59" s="1141"/>
      <c r="X59" s="1141"/>
      <c r="Y59" s="1141" t="s">
        <v>165</v>
      </c>
      <c r="Z59" s="1141"/>
      <c r="AA59" s="1141"/>
      <c r="AB59" s="1141"/>
      <c r="AC59" s="1141"/>
    </row>
    <row r="60" spans="4:30" ht="15.75" x14ac:dyDescent="0.25">
      <c r="E60" s="96"/>
      <c r="F60" s="96"/>
      <c r="G60" s="96"/>
      <c r="H60" s="96"/>
      <c r="I60" s="96"/>
      <c r="J60" s="1142" t="s">
        <v>171</v>
      </c>
      <c r="K60" s="1142"/>
      <c r="L60" s="1142"/>
      <c r="M60" s="1142"/>
      <c r="N60" s="1043"/>
      <c r="O60" s="18"/>
      <c r="P60" s="1142" t="s">
        <v>171</v>
      </c>
      <c r="Q60" s="1142"/>
      <c r="R60" s="1142"/>
      <c r="S60" s="1043"/>
      <c r="T60" s="18"/>
      <c r="U60" s="1142" t="s">
        <v>171</v>
      </c>
      <c r="V60" s="1142"/>
      <c r="W60" s="1142"/>
      <c r="X60" s="1142"/>
      <c r="Y60" s="18"/>
      <c r="Z60" s="1142" t="s">
        <v>171</v>
      </c>
      <c r="AA60" s="1142"/>
      <c r="AB60" s="1142"/>
      <c r="AC60" s="1142"/>
    </row>
    <row r="61" spans="4:30" ht="15.75" x14ac:dyDescent="0.25">
      <c r="E61" s="96"/>
      <c r="F61" s="96"/>
      <c r="G61" s="96"/>
      <c r="H61" s="96"/>
      <c r="I61" s="96"/>
      <c r="J61" s="96"/>
      <c r="K61" s="96"/>
      <c r="L61" s="96"/>
      <c r="M61" s="96"/>
      <c r="N61" s="96"/>
    </row>
    <row r="62" spans="4:30" ht="75" x14ac:dyDescent="0.2">
      <c r="E62" s="103" t="s">
        <v>172</v>
      </c>
      <c r="F62" s="103" t="s">
        <v>173</v>
      </c>
      <c r="G62" s="103" t="s">
        <v>174</v>
      </c>
      <c r="H62" s="103" t="s">
        <v>175</v>
      </c>
      <c r="I62" s="203" t="s">
        <v>176</v>
      </c>
      <c r="J62" s="203" t="s">
        <v>177</v>
      </c>
      <c r="K62" s="203" t="s">
        <v>205</v>
      </c>
      <c r="L62" s="203" t="s">
        <v>179</v>
      </c>
      <c r="M62" s="203" t="s">
        <v>180</v>
      </c>
      <c r="N62" s="203" t="s">
        <v>3797</v>
      </c>
      <c r="O62" s="203" t="s">
        <v>176</v>
      </c>
      <c r="P62" s="203" t="s">
        <v>177</v>
      </c>
      <c r="Q62" s="203" t="s">
        <v>178</v>
      </c>
      <c r="R62" s="203" t="s">
        <v>180</v>
      </c>
      <c r="S62" s="203" t="s">
        <v>3797</v>
      </c>
      <c r="T62" s="203" t="s">
        <v>176</v>
      </c>
      <c r="U62" s="203" t="s">
        <v>177</v>
      </c>
      <c r="V62" s="203" t="s">
        <v>178</v>
      </c>
      <c r="W62" s="203" t="s">
        <v>179</v>
      </c>
      <c r="X62" s="203" t="s">
        <v>180</v>
      </c>
      <c r="Y62" s="203" t="s">
        <v>206</v>
      </c>
      <c r="Z62" s="203" t="s">
        <v>177</v>
      </c>
      <c r="AA62" s="203" t="s">
        <v>178</v>
      </c>
      <c r="AB62" s="203" t="s">
        <v>179</v>
      </c>
      <c r="AC62" s="203" t="s">
        <v>180</v>
      </c>
    </row>
    <row r="63" spans="4:30" ht="33.6" customHeight="1" x14ac:dyDescent="0.4">
      <c r="D63" s="1148" t="s">
        <v>181</v>
      </c>
      <c r="E63" s="202" t="s">
        <v>182</v>
      </c>
      <c r="F63" s="202"/>
      <c r="G63" s="202" t="s">
        <v>183</v>
      </c>
      <c r="H63" s="202"/>
      <c r="I63" s="633">
        <f>SUM(J63:N63)</f>
        <v>17.100000000000001</v>
      </c>
      <c r="J63" s="253">
        <f>'A.1. Conso_bâtiment_EF H2'!J63*'0. Zones climatiques'!$H$7</f>
        <v>17.100000000000001</v>
      </c>
      <c r="K63" s="254"/>
      <c r="L63" s="254"/>
      <c r="M63" s="255"/>
      <c r="N63" s="255"/>
      <c r="O63" s="633">
        <f>SUM(P63:S63)</f>
        <v>27.090000000000003</v>
      </c>
      <c r="P63" s="253">
        <f>'A.1. Conso_bâtiment_EF H2'!P63*'0. Zones climatiques'!$H$7</f>
        <v>27.090000000000003</v>
      </c>
      <c r="Q63" s="255"/>
      <c r="R63" s="255"/>
      <c r="S63" s="255"/>
      <c r="T63" s="633">
        <f>SUM(U63:X63)</f>
        <v>39.330000000000005</v>
      </c>
      <c r="U63" s="253">
        <f>'A.1. Conso_bâtiment_EF H2'!U63*'0. Zones climatiques'!$H$7</f>
        <v>39.330000000000005</v>
      </c>
      <c r="V63" s="255"/>
      <c r="W63" s="255"/>
      <c r="X63" s="255"/>
      <c r="Y63" s="633">
        <f>SUM(Z63:AC63)</f>
        <v>19.98</v>
      </c>
      <c r="Z63" s="253">
        <f>'A.1. Conso_bâtiment_EF H2'!Z63*'0. Zones climatiques'!$H$7</f>
        <v>19.98</v>
      </c>
      <c r="AA63" s="255"/>
      <c r="AB63" s="255"/>
      <c r="AC63" s="255"/>
    </row>
    <row r="64" spans="4:30" ht="33.6" customHeight="1" x14ac:dyDescent="0.4">
      <c r="D64" s="1148"/>
      <c r="E64" s="202" t="s">
        <v>207</v>
      </c>
      <c r="F64" s="202"/>
      <c r="G64" s="202" t="s">
        <v>183</v>
      </c>
      <c r="H64" s="202"/>
      <c r="I64" s="633">
        <f t="shared" ref="I64:I83" si="4">SUM(J64:N64)</f>
        <v>16.290000000000003</v>
      </c>
      <c r="J64" s="253">
        <f>'A.1. Conso_bâtiment_EF H2'!J64*'0. Zones climatiques'!$H$7</f>
        <v>16.290000000000003</v>
      </c>
      <c r="K64" s="254"/>
      <c r="L64" s="254"/>
      <c r="M64" s="255"/>
      <c r="N64" s="255"/>
      <c r="O64" s="633">
        <f t="shared" ref="O64:O83" si="5">SUM(P64:S64)</f>
        <v>25.740000000000002</v>
      </c>
      <c r="P64" s="253">
        <f>'A.1. Conso_bâtiment_EF H2'!P64*'0. Zones climatiques'!$H$7</f>
        <v>25.740000000000002</v>
      </c>
      <c r="Q64" s="255"/>
      <c r="R64" s="255"/>
      <c r="S64" s="255"/>
      <c r="T64" s="633">
        <f t="shared" ref="T64:T83" si="6">SUM(U64:X64)</f>
        <v>37.35</v>
      </c>
      <c r="U64" s="253">
        <f>'A.1. Conso_bâtiment_EF H2'!U64*'0. Zones climatiques'!$H$7</f>
        <v>37.35</v>
      </c>
      <c r="V64" s="255"/>
      <c r="W64" s="255"/>
      <c r="X64" s="255"/>
      <c r="Y64" s="633">
        <f>SUM(Z64:AC64)</f>
        <v>18.900000000000002</v>
      </c>
      <c r="Z64" s="253">
        <f>'A.1. Conso_bâtiment_EF H2'!Z64*'0. Zones climatiques'!$H$7</f>
        <v>18.900000000000002</v>
      </c>
      <c r="AA64" s="255"/>
      <c r="AB64" s="255"/>
      <c r="AC64" s="255"/>
    </row>
    <row r="65" spans="4:29" ht="33.6" customHeight="1" x14ac:dyDescent="0.4">
      <c r="D65" s="1148"/>
      <c r="E65" s="202" t="s">
        <v>185</v>
      </c>
      <c r="F65" s="202"/>
      <c r="G65" s="202" t="s">
        <v>183</v>
      </c>
      <c r="H65" s="202"/>
      <c r="I65" s="633">
        <f t="shared" si="4"/>
        <v>15.4755</v>
      </c>
      <c r="J65" s="253">
        <f>'A.1. Conso_bâtiment_EF H2'!J65*'0. Zones climatiques'!$H$7</f>
        <v>15.4755</v>
      </c>
      <c r="K65" s="254"/>
      <c r="L65" s="254"/>
      <c r="M65" s="255"/>
      <c r="N65" s="255"/>
      <c r="O65" s="633">
        <f t="shared" si="5"/>
        <v>24.453000000000003</v>
      </c>
      <c r="P65" s="253">
        <f>'A.1. Conso_bâtiment_EF H2'!P65*'0. Zones climatiques'!$H$7</f>
        <v>24.453000000000003</v>
      </c>
      <c r="Q65" s="255"/>
      <c r="R65" s="255"/>
      <c r="S65" s="255"/>
      <c r="T65" s="633">
        <f t="shared" si="6"/>
        <v>35.482500000000002</v>
      </c>
      <c r="U65" s="253">
        <f>'A.1. Conso_bâtiment_EF H2'!U65*'0. Zones climatiques'!$H$7</f>
        <v>35.482500000000002</v>
      </c>
      <c r="V65" s="255"/>
      <c r="W65" s="255"/>
      <c r="X65" s="255"/>
      <c r="Y65" s="979">
        <f>SUM(Z65:AC65)</f>
        <v>17.954999999999998</v>
      </c>
      <c r="Z65" s="253">
        <f>'A.1. Conso_bâtiment_EF H2'!Z65*'0. Zones climatiques'!$H$7</f>
        <v>17.954999999999998</v>
      </c>
      <c r="AA65" s="255"/>
      <c r="AB65" s="255"/>
      <c r="AC65" s="255"/>
    </row>
    <row r="66" spans="4:29" ht="33.6" customHeight="1" x14ac:dyDescent="0.4">
      <c r="D66" s="1148"/>
      <c r="E66" s="202" t="s">
        <v>186</v>
      </c>
      <c r="F66" s="202"/>
      <c r="G66" s="202" t="s">
        <v>183</v>
      </c>
      <c r="H66" s="202"/>
      <c r="I66" s="633">
        <f t="shared" si="4"/>
        <v>12.420000000000002</v>
      </c>
      <c r="J66" s="253">
        <f>'A.1. Conso_bâtiment_EF H2'!J66*'0. Zones climatiques'!$H$7</f>
        <v>12.420000000000002</v>
      </c>
      <c r="K66" s="254"/>
      <c r="L66" s="254"/>
      <c r="M66" s="255"/>
      <c r="N66" s="255"/>
      <c r="O66" s="633">
        <f t="shared" si="5"/>
        <v>19.440000000000001</v>
      </c>
      <c r="P66" s="253">
        <f>'A.1. Conso_bâtiment_EF H2'!P66*'0. Zones climatiques'!$H$7</f>
        <v>19.440000000000001</v>
      </c>
      <c r="Q66" s="255"/>
      <c r="R66" s="255"/>
      <c r="S66" s="255"/>
      <c r="T66" s="633">
        <f t="shared" si="6"/>
        <v>33.840000000000003</v>
      </c>
      <c r="U66" s="253">
        <f>'A.1. Conso_bâtiment_EF H2'!U66*'0. Zones climatiques'!$H$7</f>
        <v>33.840000000000003</v>
      </c>
      <c r="V66" s="255"/>
      <c r="W66" s="255"/>
      <c r="X66" s="255"/>
      <c r="Y66" s="633">
        <f t="shared" ref="Y66:Y70" si="7">SUM(Z66:AC66)</f>
        <v>17.100000000000001</v>
      </c>
      <c r="Z66" s="253">
        <f>'A.1. Conso_bâtiment_EF H2'!Z66*'0. Zones climatiques'!$H$7</f>
        <v>17.100000000000001</v>
      </c>
      <c r="AA66" s="255"/>
      <c r="AB66" s="255"/>
      <c r="AC66" s="255"/>
    </row>
    <row r="67" spans="4:29" ht="33.6" customHeight="1" x14ac:dyDescent="0.4">
      <c r="D67" s="1148"/>
      <c r="E67" s="202" t="s">
        <v>187</v>
      </c>
      <c r="F67" s="202"/>
      <c r="G67" s="202"/>
      <c r="H67" s="202" t="s">
        <v>183</v>
      </c>
      <c r="I67" s="633">
        <f t="shared" si="4"/>
        <v>12.420000000000002</v>
      </c>
      <c r="J67" s="253">
        <f>'A.1. Conso_bâtiment_EF H2'!J67*'0. Zones climatiques'!$H$7</f>
        <v>12.420000000000002</v>
      </c>
      <c r="K67" s="254"/>
      <c r="L67" s="254"/>
      <c r="M67" s="255"/>
      <c r="N67" s="255"/>
      <c r="O67" s="633">
        <f t="shared" si="5"/>
        <v>0</v>
      </c>
      <c r="P67" s="255"/>
      <c r="Q67" s="255"/>
      <c r="R67" s="255"/>
      <c r="S67" s="255"/>
      <c r="T67" s="633">
        <f t="shared" si="6"/>
        <v>15.299999999999999</v>
      </c>
      <c r="U67" s="253">
        <f>'A.1. Conso_bâtiment_EF H2'!U67*'0. Zones climatiques'!$H$7</f>
        <v>3.42</v>
      </c>
      <c r="V67" s="253">
        <f>'A.1. Conso_bâtiment_EF H2'!V67*'0. Zones climatiques'!$H$7</f>
        <v>11.879999999999999</v>
      </c>
      <c r="W67" s="255"/>
      <c r="X67" s="255"/>
      <c r="Y67" s="633">
        <f t="shared" si="7"/>
        <v>7.74</v>
      </c>
      <c r="Z67" s="253">
        <f>'A.1. Conso_bâtiment_EF H2'!Z67*'0. Zones climatiques'!$H$7</f>
        <v>1.71</v>
      </c>
      <c r="AA67" s="253">
        <f>'A.1. Conso_bâtiment_EF H2'!AA67*'0. Zones climatiques'!$H$7</f>
        <v>6.03</v>
      </c>
      <c r="AB67" s="255"/>
      <c r="AC67" s="255"/>
    </row>
    <row r="68" spans="4:29" ht="33.6" customHeight="1" x14ac:dyDescent="0.4">
      <c r="D68" s="1148"/>
      <c r="E68" s="202" t="s">
        <v>188</v>
      </c>
      <c r="F68" s="202"/>
      <c r="G68" s="202"/>
      <c r="H68" s="202" t="s">
        <v>183</v>
      </c>
      <c r="I68" s="633">
        <f t="shared" si="4"/>
        <v>12.420000000000002</v>
      </c>
      <c r="J68" s="253">
        <f>'A.1. Conso_bâtiment_EF H2'!J68*'0. Zones climatiques'!$H$7</f>
        <v>12.420000000000002</v>
      </c>
      <c r="K68" s="255"/>
      <c r="L68" s="255"/>
      <c r="M68" s="255"/>
      <c r="N68" s="255"/>
      <c r="O68" s="633">
        <f t="shared" si="5"/>
        <v>19.440000000000001</v>
      </c>
      <c r="P68" s="253">
        <f>'A.1. Conso_bâtiment_EF H2'!P68*'0. Zones climatiques'!$H$7</f>
        <v>19.440000000000001</v>
      </c>
      <c r="Q68" s="255"/>
      <c r="R68" s="255"/>
      <c r="S68" s="255"/>
      <c r="T68" s="633">
        <f t="shared" si="6"/>
        <v>0</v>
      </c>
      <c r="U68" s="255"/>
      <c r="V68" s="255"/>
      <c r="W68" s="255"/>
      <c r="X68" s="255"/>
      <c r="Y68" s="633">
        <f t="shared" si="7"/>
        <v>17.100000000000001</v>
      </c>
      <c r="Z68" s="253">
        <f>'A.1. Conso_bâtiment_EF H2'!Z68*'0. Zones climatiques'!$H$7</f>
        <v>17.100000000000001</v>
      </c>
      <c r="AA68" s="255"/>
      <c r="AB68" s="255"/>
      <c r="AC68" s="255"/>
    </row>
    <row r="69" spans="4:29" ht="33.6" customHeight="1" x14ac:dyDescent="0.4">
      <c r="D69" s="1148"/>
      <c r="E69" s="202" t="s">
        <v>189</v>
      </c>
      <c r="F69" s="202"/>
      <c r="G69" s="202" t="s">
        <v>183</v>
      </c>
      <c r="H69" s="202"/>
      <c r="I69" s="633">
        <f t="shared" si="4"/>
        <v>0</v>
      </c>
      <c r="J69" s="254"/>
      <c r="K69" s="254"/>
      <c r="L69" s="254"/>
      <c r="M69" s="255"/>
      <c r="N69" s="255"/>
      <c r="O69" s="633">
        <f t="shared" si="5"/>
        <v>0</v>
      </c>
      <c r="P69" s="255"/>
      <c r="Q69" s="255"/>
      <c r="R69" s="255"/>
      <c r="S69" s="255"/>
      <c r="T69" s="633">
        <f t="shared" si="6"/>
        <v>23.31</v>
      </c>
      <c r="U69" s="253">
        <f>'A.1. Conso_bâtiment_EF H2'!U69*'0. Zones climatiques'!$H$7</f>
        <v>23.31</v>
      </c>
      <c r="V69" s="255"/>
      <c r="W69" s="255"/>
      <c r="X69" s="255"/>
      <c r="Y69" s="633">
        <f t="shared" si="7"/>
        <v>11.79</v>
      </c>
      <c r="Z69" s="253">
        <f>'A.1. Conso_bâtiment_EF H2'!Z69*'0. Zones climatiques'!$H$7</f>
        <v>11.79</v>
      </c>
      <c r="AA69" s="255"/>
      <c r="AB69" s="255"/>
      <c r="AC69" s="255"/>
    </row>
    <row r="70" spans="4:29" ht="33.6" customHeight="1" x14ac:dyDescent="0.4">
      <c r="D70" s="1148"/>
      <c r="E70" s="202" t="s">
        <v>190</v>
      </c>
      <c r="F70" s="202"/>
      <c r="G70" s="202"/>
      <c r="H70" s="202" t="s">
        <v>183</v>
      </c>
      <c r="I70" s="633">
        <f t="shared" si="4"/>
        <v>12.420000000000002</v>
      </c>
      <c r="J70" s="253">
        <f>'A.1. Conso_bâtiment_EF H2'!J70*'0. Zones climatiques'!$H$7</f>
        <v>12.420000000000002</v>
      </c>
      <c r="K70" s="254"/>
      <c r="L70" s="254"/>
      <c r="M70" s="254"/>
      <c r="N70" s="254"/>
      <c r="O70" s="633">
        <f t="shared" si="5"/>
        <v>0</v>
      </c>
      <c r="P70" s="255"/>
      <c r="Q70" s="255"/>
      <c r="R70" s="255"/>
      <c r="S70" s="255"/>
      <c r="T70" s="633">
        <f t="shared" si="6"/>
        <v>11.25</v>
      </c>
      <c r="U70" s="253">
        <f>'A.1. Conso_bâtiment_EF H2'!U70*'0. Zones climatiques'!$H$7</f>
        <v>3.42</v>
      </c>
      <c r="V70" s="253">
        <f>'A.1. Conso_bâtiment_EF H2'!V70*'0. Zones climatiques'!$H$7</f>
        <v>7.8299999999999992</v>
      </c>
      <c r="W70" s="255"/>
      <c r="X70" s="255"/>
      <c r="Y70" s="633">
        <f t="shared" si="7"/>
        <v>5.67</v>
      </c>
      <c r="Z70" s="253">
        <f>'A.1. Conso_bâtiment_EF H2'!Z70*'0. Zones climatiques'!$H$7</f>
        <v>1.71</v>
      </c>
      <c r="AA70" s="253">
        <f>'A.1. Conso_bâtiment_EF H2'!AA70*'0. Zones climatiques'!$H$7</f>
        <v>3.9600000000000004</v>
      </c>
      <c r="AB70" s="255"/>
      <c r="AC70" s="255"/>
    </row>
    <row r="71" spans="4:29" ht="33.6" customHeight="1" x14ac:dyDescent="0.4">
      <c r="D71" s="1148"/>
      <c r="E71" s="202" t="s">
        <v>191</v>
      </c>
      <c r="F71" s="202"/>
      <c r="G71" s="202" t="s">
        <v>183</v>
      </c>
      <c r="H71" s="202"/>
      <c r="I71" s="633">
        <f t="shared" si="4"/>
        <v>9</v>
      </c>
      <c r="J71" s="253">
        <f>'A.1. Conso_bâtiment_EF H2'!J71*'0. Zones climatiques'!$H$7</f>
        <v>9</v>
      </c>
      <c r="K71" s="254"/>
      <c r="L71" s="254"/>
      <c r="M71" s="254"/>
      <c r="N71" s="254"/>
      <c r="O71" s="633">
        <f t="shared" si="5"/>
        <v>0</v>
      </c>
      <c r="P71" s="255"/>
      <c r="Q71" s="255"/>
      <c r="R71" s="255"/>
      <c r="S71" s="255"/>
      <c r="T71" s="633">
        <f t="shared" si="6"/>
        <v>20.52</v>
      </c>
      <c r="U71" s="253">
        <f>'A.1. Conso_bâtiment_EF H2'!U71*'0. Zones climatiques'!$H$7</f>
        <v>20.52</v>
      </c>
      <c r="V71" s="255"/>
      <c r="W71" s="255"/>
      <c r="X71" s="255"/>
      <c r="Y71" s="633">
        <f>SUM(Z71:AC71)</f>
        <v>10.35</v>
      </c>
      <c r="Z71" s="253">
        <f>'A.1. Conso_bâtiment_EF H2'!Z71*'0. Zones climatiques'!$H$7</f>
        <v>10.35</v>
      </c>
      <c r="AA71" s="255"/>
      <c r="AB71" s="255"/>
      <c r="AC71" s="255"/>
    </row>
    <row r="72" spans="4:29" ht="33.6" customHeight="1" x14ac:dyDescent="0.4">
      <c r="D72" s="1148"/>
      <c r="E72" s="202" t="s">
        <v>192</v>
      </c>
      <c r="F72" s="202"/>
      <c r="G72" s="202" t="s">
        <v>183</v>
      </c>
      <c r="H72" s="202"/>
      <c r="I72" s="633">
        <f t="shared" si="4"/>
        <v>3.6</v>
      </c>
      <c r="J72" s="253">
        <f>'A.1. Conso_bâtiment_EF H2'!J72*'0. Zones climatiques'!$H$7</f>
        <v>3.6</v>
      </c>
      <c r="K72" s="642"/>
      <c r="L72" s="642"/>
      <c r="M72" s="642"/>
      <c r="N72" s="642"/>
      <c r="O72" s="633">
        <f t="shared" si="5"/>
        <v>0</v>
      </c>
      <c r="P72" s="254"/>
      <c r="Q72" s="254"/>
      <c r="R72" s="254"/>
      <c r="S72" s="254"/>
      <c r="T72" s="633">
        <f t="shared" si="6"/>
        <v>19.079999999999998</v>
      </c>
      <c r="U72" s="253">
        <f>'A.1. Conso_bâtiment_EF H2'!U72*'0. Zones climatiques'!$H$7</f>
        <v>19.079999999999998</v>
      </c>
      <c r="V72" s="642"/>
      <c r="W72" s="642"/>
      <c r="X72" s="255"/>
      <c r="Y72" s="633">
        <f t="shared" ref="Y72:Y83" si="8">SUM(Z72:AC72)</f>
        <v>9.7200000000000006</v>
      </c>
      <c r="Z72" s="253">
        <f>'A.1. Conso_bâtiment_EF H2'!Z72*'0. Zones climatiques'!$H$7</f>
        <v>9.7200000000000006</v>
      </c>
      <c r="AA72" s="642"/>
      <c r="AB72" s="642"/>
      <c r="AC72" s="255"/>
    </row>
    <row r="73" spans="4:29" ht="33.6" customHeight="1" x14ac:dyDescent="0.4">
      <c r="D73" s="1148"/>
      <c r="E73" s="202" t="s">
        <v>193</v>
      </c>
      <c r="F73" s="202"/>
      <c r="G73" s="202"/>
      <c r="H73" s="202"/>
      <c r="I73" s="633">
        <f t="shared" si="4"/>
        <v>0</v>
      </c>
      <c r="J73" s="255"/>
      <c r="K73" s="255"/>
      <c r="L73" s="255"/>
      <c r="M73" s="255"/>
      <c r="N73" s="255"/>
      <c r="O73" s="633">
        <f t="shared" si="5"/>
        <v>0</v>
      </c>
      <c r="P73" s="254"/>
      <c r="Q73" s="254"/>
      <c r="R73" s="254"/>
      <c r="S73" s="254"/>
      <c r="T73" s="633">
        <f t="shared" si="6"/>
        <v>27.18</v>
      </c>
      <c r="U73" s="253">
        <f>'A.1. Conso_bâtiment_EF H2'!U73*'0. Zones climatiques'!$H$7</f>
        <v>7.38</v>
      </c>
      <c r="V73" s="255"/>
      <c r="W73" s="255"/>
      <c r="X73" s="253">
        <f>'A.1. Conso_bâtiment_EF H2'!X73*'0. Zones climatiques'!$H$7</f>
        <v>19.8</v>
      </c>
      <c r="Y73" s="633">
        <f t="shared" si="8"/>
        <v>13.77</v>
      </c>
      <c r="Z73" s="253">
        <f>'A.1. Conso_bâtiment_EF H2'!Z73*'0. Zones climatiques'!$H$7</f>
        <v>3.7800000000000002</v>
      </c>
      <c r="AA73" s="255"/>
      <c r="AB73" s="255"/>
      <c r="AC73" s="253">
        <f>'A.1. Conso_bâtiment_EF H2'!AC73*'0. Zones climatiques'!$H$7</f>
        <v>9.99</v>
      </c>
    </row>
    <row r="74" spans="4:29" ht="33.6" customHeight="1" x14ac:dyDescent="0.4">
      <c r="D74" s="1148"/>
      <c r="E74" s="202" t="s">
        <v>194</v>
      </c>
      <c r="F74" s="202"/>
      <c r="G74" s="202"/>
      <c r="H74" s="202"/>
      <c r="I74" s="633">
        <f t="shared" si="4"/>
        <v>12.420000000000002</v>
      </c>
      <c r="J74" s="253">
        <f>'A.1. Conso_bâtiment_EF H2'!J74*'0. Zones climatiques'!$H$7</f>
        <v>12.420000000000002</v>
      </c>
      <c r="K74" s="255"/>
      <c r="L74" s="255"/>
      <c r="M74" s="255"/>
      <c r="N74" s="255"/>
      <c r="O74" s="633">
        <f t="shared" si="5"/>
        <v>0</v>
      </c>
      <c r="P74" s="255"/>
      <c r="Q74" s="255"/>
      <c r="R74" s="255"/>
      <c r="S74" s="255"/>
      <c r="T74" s="633">
        <f t="shared" si="6"/>
        <v>33.840000000000003</v>
      </c>
      <c r="U74" s="253">
        <f>'A.1. Conso_bâtiment_EF H2'!U74*'0. Zones climatiques'!$H$7</f>
        <v>33.840000000000003</v>
      </c>
      <c r="V74" s="255"/>
      <c r="W74" s="255"/>
      <c r="X74" s="255"/>
      <c r="Y74" s="633">
        <f t="shared" si="8"/>
        <v>17.100000000000001</v>
      </c>
      <c r="Z74" s="253">
        <f>'A.1. Conso_bâtiment_EF H2'!Z74*'0. Zones climatiques'!$H$7</f>
        <v>17.100000000000001</v>
      </c>
      <c r="AA74" s="255"/>
      <c r="AB74" s="255"/>
      <c r="AC74" s="255"/>
    </row>
    <row r="75" spans="4:29" ht="33.6" customHeight="1" x14ac:dyDescent="0.4">
      <c r="D75" s="1148"/>
      <c r="E75" s="202" t="s">
        <v>195</v>
      </c>
      <c r="F75" s="202"/>
      <c r="G75" s="202"/>
      <c r="H75" s="202"/>
      <c r="I75" s="633">
        <f t="shared" si="4"/>
        <v>0</v>
      </c>
      <c r="J75" s="254"/>
      <c r="K75" s="254"/>
      <c r="L75" s="254"/>
      <c r="M75" s="254"/>
      <c r="N75" s="254"/>
      <c r="O75" s="633">
        <f t="shared" si="5"/>
        <v>0</v>
      </c>
      <c r="P75" s="639"/>
      <c r="Q75" s="639"/>
      <c r="R75" s="639"/>
      <c r="S75" s="639"/>
      <c r="T75" s="633">
        <f t="shared" si="6"/>
        <v>0</v>
      </c>
      <c r="U75" s="639"/>
      <c r="V75" s="639"/>
      <c r="W75" s="639"/>
      <c r="X75" s="639"/>
      <c r="Y75" s="639"/>
      <c r="Z75" s="639"/>
      <c r="AA75" s="639"/>
      <c r="AB75" s="639"/>
      <c r="AC75" s="255"/>
    </row>
    <row r="76" spans="4:29" ht="48" customHeight="1" x14ac:dyDescent="0.4">
      <c r="D76" s="1146" t="s">
        <v>166</v>
      </c>
      <c r="E76" s="202" t="s">
        <v>196</v>
      </c>
      <c r="F76" s="202" t="s">
        <v>183</v>
      </c>
      <c r="G76" s="202"/>
      <c r="H76" s="202"/>
      <c r="I76" s="633">
        <f t="shared" si="4"/>
        <v>17.46</v>
      </c>
      <c r="J76" s="254"/>
      <c r="K76" s="254"/>
      <c r="L76" s="253">
        <f>'A.1. Conso_bâtiment_EF H2'!L76*'0. Zones climatiques'!$H$7</f>
        <v>17.46</v>
      </c>
      <c r="M76" s="254"/>
      <c r="N76" s="254"/>
      <c r="O76" s="633">
        <f t="shared" si="5"/>
        <v>0</v>
      </c>
      <c r="P76" s="639"/>
      <c r="Q76" s="639"/>
      <c r="R76" s="639"/>
      <c r="S76" s="639"/>
      <c r="T76" s="633">
        <f t="shared" si="6"/>
        <v>40.14</v>
      </c>
      <c r="U76" s="639"/>
      <c r="V76" s="639"/>
      <c r="W76" s="253">
        <f>'A.1. Conso_bâtiment_EF H2'!W76*'0. Zones climatiques'!$H$7</f>
        <v>40.14</v>
      </c>
      <c r="X76" s="639"/>
      <c r="Y76" s="633">
        <f t="shared" si="8"/>
        <v>12.06</v>
      </c>
      <c r="Z76" s="639"/>
      <c r="AA76" s="639"/>
      <c r="AB76" s="253">
        <f>'A.1. Conso_bâtiment_EF H2'!AB76*'0. Zones climatiques'!$H$7</f>
        <v>12.06</v>
      </c>
      <c r="AC76" s="255"/>
    </row>
    <row r="77" spans="4:29" ht="48" customHeight="1" x14ac:dyDescent="0.4">
      <c r="D77" s="1147"/>
      <c r="E77" s="202" t="s">
        <v>197</v>
      </c>
      <c r="F77" s="202" t="s">
        <v>183</v>
      </c>
      <c r="G77" s="202"/>
      <c r="H77" s="202"/>
      <c r="I77" s="633">
        <f t="shared" si="4"/>
        <v>12.69</v>
      </c>
      <c r="J77" s="254"/>
      <c r="K77" s="254"/>
      <c r="L77" s="253">
        <f>'A.1. Conso_bâtiment_EF H2'!L77*'0. Zones climatiques'!$H$7</f>
        <v>12.69</v>
      </c>
      <c r="M77" s="254"/>
      <c r="N77" s="254"/>
      <c r="O77" s="633">
        <f t="shared" si="5"/>
        <v>0</v>
      </c>
      <c r="P77" s="639"/>
      <c r="Q77" s="639"/>
      <c r="R77" s="639"/>
      <c r="S77" s="639"/>
      <c r="T77" s="633">
        <f t="shared" si="6"/>
        <v>34.56</v>
      </c>
      <c r="U77" s="639"/>
      <c r="V77" s="639"/>
      <c r="W77" s="253">
        <f>'A.1. Conso_bâtiment_EF H2'!W77*'0. Zones climatiques'!$H$7</f>
        <v>34.56</v>
      </c>
      <c r="X77" s="639"/>
      <c r="Y77" s="633">
        <f t="shared" si="8"/>
        <v>10.35</v>
      </c>
      <c r="Z77" s="639"/>
      <c r="AA77" s="639"/>
      <c r="AB77" s="253">
        <f>'A.1. Conso_bâtiment_EF H2'!AB77*'0. Zones climatiques'!$H$7</f>
        <v>10.35</v>
      </c>
      <c r="AC77" s="255"/>
    </row>
    <row r="78" spans="4:29" ht="48" customHeight="1" x14ac:dyDescent="0.4">
      <c r="D78" s="1041" t="s">
        <v>767</v>
      </c>
      <c r="E78" s="202" t="s">
        <v>3795</v>
      </c>
      <c r="F78" s="202"/>
      <c r="G78" s="202"/>
      <c r="H78" s="202"/>
      <c r="I78" s="633">
        <f t="shared" si="4"/>
        <v>31.86</v>
      </c>
      <c r="J78" s="254"/>
      <c r="K78" s="254"/>
      <c r="L78" s="254"/>
      <c r="M78" s="253">
        <f>'A.1. Conso_bâtiment_EF H2'!M78*'0. Zones climatiques'!$H$7</f>
        <v>31.86</v>
      </c>
      <c r="N78" s="254"/>
      <c r="O78" s="633">
        <f t="shared" si="5"/>
        <v>0</v>
      </c>
      <c r="P78" s="639"/>
      <c r="Q78" s="639"/>
      <c r="R78" s="253">
        <f>'A.1. Conso_bâtiment_EF H2'!R78*'0. Zones climatiques'!$H$7</f>
        <v>0</v>
      </c>
      <c r="S78" s="639"/>
      <c r="T78" s="633">
        <f t="shared" si="6"/>
        <v>0</v>
      </c>
      <c r="U78" s="639"/>
      <c r="V78" s="639"/>
      <c r="W78" s="639"/>
      <c r="X78" s="639"/>
      <c r="Y78" s="633"/>
      <c r="Z78" s="639"/>
      <c r="AA78" s="639"/>
      <c r="AB78" s="253"/>
      <c r="AC78" s="255"/>
    </row>
    <row r="79" spans="4:29" ht="48" customHeight="1" x14ac:dyDescent="0.4">
      <c r="D79" s="1103" t="s">
        <v>768</v>
      </c>
      <c r="E79" s="202" t="s">
        <v>3796</v>
      </c>
      <c r="F79" s="202"/>
      <c r="G79" s="202"/>
      <c r="H79" s="202"/>
      <c r="I79" s="633">
        <f t="shared" si="4"/>
        <v>17.100000000000001</v>
      </c>
      <c r="J79" s="254"/>
      <c r="K79" s="254"/>
      <c r="L79" s="254"/>
      <c r="M79" s="254"/>
      <c r="N79" s="253">
        <f>'A.1. Conso_bâtiment_EF H2'!N79*'0. Zones climatiques'!$H$7</f>
        <v>17.100000000000001</v>
      </c>
      <c r="O79" s="633">
        <f t="shared" si="5"/>
        <v>27.090000000000003</v>
      </c>
      <c r="P79" s="639"/>
      <c r="Q79" s="639"/>
      <c r="R79" s="639"/>
      <c r="S79" s="253">
        <f>'A.1. Conso_bâtiment_EF H2'!S79*'0. Zones climatiques'!$H$7</f>
        <v>27.090000000000003</v>
      </c>
      <c r="T79" s="633">
        <f t="shared" si="6"/>
        <v>0</v>
      </c>
      <c r="U79" s="639"/>
      <c r="V79" s="639"/>
      <c r="W79" s="639"/>
      <c r="X79" s="639"/>
      <c r="Y79" s="633"/>
      <c r="Z79" s="639"/>
      <c r="AA79" s="639"/>
      <c r="AB79" s="253"/>
      <c r="AC79" s="255"/>
    </row>
    <row r="80" spans="4:29" ht="48" customHeight="1" x14ac:dyDescent="0.4">
      <c r="D80" s="1146" t="s">
        <v>198</v>
      </c>
      <c r="E80" s="202" t="s">
        <v>199</v>
      </c>
      <c r="F80" s="202"/>
      <c r="G80" s="202"/>
      <c r="H80" s="202"/>
      <c r="I80" s="633">
        <f t="shared" si="4"/>
        <v>7.4700000000000006</v>
      </c>
      <c r="J80" s="253">
        <f>'A.1. Conso_bâtiment_EF H2'!J80*'0. Zones climatiques'!$H$7</f>
        <v>2.16</v>
      </c>
      <c r="K80" s="253">
        <f>'A.1. Conso_bâtiment_EF H2'!K80*'0. Zones climatiques'!$H$7</f>
        <v>5.3100000000000005</v>
      </c>
      <c r="L80" s="255"/>
      <c r="M80" s="254"/>
      <c r="N80" s="254"/>
      <c r="O80" s="633">
        <f t="shared" si="5"/>
        <v>0</v>
      </c>
      <c r="P80" s="639"/>
      <c r="Q80" s="639"/>
      <c r="R80" s="639"/>
      <c r="S80" s="639"/>
      <c r="T80" s="633">
        <f t="shared" si="6"/>
        <v>6.3000000000000007</v>
      </c>
      <c r="U80" s="253">
        <f>'A.1. Conso_bâtiment_EF H2'!U80*'0. Zones climatiques'!$H$7</f>
        <v>1.8900000000000001</v>
      </c>
      <c r="V80" s="253">
        <f>'A.1. Conso_bâtiment_EF H2'!V80*'0. Zones climatiques'!$H$7</f>
        <v>4.41</v>
      </c>
      <c r="W80" s="255"/>
      <c r="X80" s="255"/>
      <c r="Y80" s="633">
        <f t="shared" si="8"/>
        <v>1.8</v>
      </c>
      <c r="Z80" s="639"/>
      <c r="AA80" s="253">
        <f>'A.1. Conso_bâtiment_EF H2'!AA80*'0. Zones climatiques'!$H$7</f>
        <v>1.8</v>
      </c>
      <c r="AB80" s="255"/>
      <c r="AC80" s="255"/>
    </row>
    <row r="81" spans="4:29" ht="48" customHeight="1" x14ac:dyDescent="0.4">
      <c r="D81" s="1147"/>
      <c r="E81" s="202" t="s">
        <v>200</v>
      </c>
      <c r="F81" s="202"/>
      <c r="G81" s="202"/>
      <c r="H81" s="202"/>
      <c r="I81" s="633">
        <f t="shared" si="4"/>
        <v>12.717000000000001</v>
      </c>
      <c r="J81" s="253">
        <f>'A.1. Conso_bâtiment_EF H2'!J81*'0. Zones climatiques'!$H$7</f>
        <v>9.9000000000000005E-2</v>
      </c>
      <c r="K81" s="253">
        <f>'A.1. Conso_bâtiment_EF H2'!K81*'0. Zones climatiques'!$H$7</f>
        <v>12.618</v>
      </c>
      <c r="L81" s="255"/>
      <c r="M81" s="254"/>
      <c r="N81" s="254"/>
      <c r="O81" s="633">
        <f t="shared" si="5"/>
        <v>7.9200000000000008</v>
      </c>
      <c r="P81" s="639"/>
      <c r="Q81" s="253">
        <f>'A.1. Conso_bâtiment_EF H2'!Q81*'0. Zones climatiques'!$H$7</f>
        <v>7.9200000000000008</v>
      </c>
      <c r="R81" s="639"/>
      <c r="S81" s="639"/>
      <c r="T81" s="633">
        <f t="shared" si="6"/>
        <v>7.830000000000001</v>
      </c>
      <c r="U81" s="253">
        <f>'A.1. Conso_bâtiment_EF H2'!U81*'0. Zones climatiques'!$H$7</f>
        <v>1.62</v>
      </c>
      <c r="V81" s="253">
        <f>'A.1. Conso_bâtiment_EF H2'!V81*'0. Zones climatiques'!$H$7</f>
        <v>6.2100000000000009</v>
      </c>
      <c r="W81" s="255"/>
      <c r="X81" s="255"/>
      <c r="Y81" s="633">
        <f t="shared" si="8"/>
        <v>0</v>
      </c>
      <c r="Z81" s="639"/>
      <c r="AA81" s="255"/>
      <c r="AB81" s="255"/>
      <c r="AC81" s="255"/>
    </row>
    <row r="82" spans="4:29" ht="33.6" customHeight="1" outlineLevel="1" x14ac:dyDescent="0.4">
      <c r="D82" s="1145" t="s">
        <v>201</v>
      </c>
      <c r="E82" s="776" t="s">
        <v>202</v>
      </c>
      <c r="F82" s="202"/>
      <c r="G82" s="202"/>
      <c r="H82" s="202"/>
      <c r="I82" s="633">
        <f t="shared" si="4"/>
        <v>0</v>
      </c>
      <c r="J82" s="254"/>
      <c r="K82" s="256"/>
      <c r="L82" s="256"/>
      <c r="M82" s="254"/>
      <c r="N82" s="254"/>
      <c r="O82" s="633">
        <f t="shared" si="5"/>
        <v>0</v>
      </c>
      <c r="P82" s="254"/>
      <c r="Q82" s="253"/>
      <c r="R82" s="254"/>
      <c r="S82" s="254"/>
      <c r="T82" s="633">
        <f t="shared" si="6"/>
        <v>0</v>
      </c>
      <c r="U82" s="254"/>
      <c r="V82" s="253"/>
      <c r="W82" s="253"/>
      <c r="X82" s="254"/>
      <c r="Y82" s="633">
        <f t="shared" si="8"/>
        <v>0</v>
      </c>
      <c r="Z82" s="254"/>
      <c r="AA82" s="253"/>
      <c r="AB82" s="253"/>
      <c r="AC82" s="254"/>
    </row>
    <row r="83" spans="4:29" ht="33.6" customHeight="1" outlineLevel="1" x14ac:dyDescent="0.4">
      <c r="D83" s="1145"/>
      <c r="E83" s="776" t="s">
        <v>203</v>
      </c>
      <c r="F83" s="202"/>
      <c r="G83" s="202"/>
      <c r="H83" s="202"/>
      <c r="I83" s="633">
        <f t="shared" si="4"/>
        <v>0</v>
      </c>
      <c r="J83" s="254"/>
      <c r="K83" s="256"/>
      <c r="L83" s="256"/>
      <c r="M83" s="254"/>
      <c r="N83" s="254"/>
      <c r="O83" s="633">
        <f t="shared" si="5"/>
        <v>0</v>
      </c>
      <c r="P83" s="254"/>
      <c r="Q83" s="253"/>
      <c r="R83" s="254"/>
      <c r="S83" s="254"/>
      <c r="T83" s="633">
        <f t="shared" si="6"/>
        <v>0</v>
      </c>
      <c r="U83" s="254"/>
      <c r="V83" s="253"/>
      <c r="W83" s="253"/>
      <c r="X83" s="254"/>
      <c r="Y83" s="633">
        <f t="shared" si="8"/>
        <v>0</v>
      </c>
      <c r="Z83" s="254"/>
      <c r="AA83" s="253"/>
      <c r="AB83" s="253"/>
      <c r="AC83" s="254"/>
    </row>
    <row r="88" spans="4:29" ht="23.25" x14ac:dyDescent="0.35">
      <c r="E88" s="206" t="s">
        <v>208</v>
      </c>
    </row>
    <row r="90" spans="4:29" ht="75" x14ac:dyDescent="0.2">
      <c r="E90" s="103" t="s">
        <v>172</v>
      </c>
      <c r="F90" s="103" t="s">
        <v>173</v>
      </c>
      <c r="G90" s="103" t="s">
        <v>174</v>
      </c>
      <c r="H90" s="103" t="s">
        <v>175</v>
      </c>
      <c r="I90" s="203" t="s">
        <v>176</v>
      </c>
      <c r="J90" s="203" t="s">
        <v>177</v>
      </c>
      <c r="K90" s="203" t="s">
        <v>205</v>
      </c>
      <c r="L90" s="203"/>
      <c r="M90" s="203" t="s">
        <v>209</v>
      </c>
      <c r="N90" s="203" t="s">
        <v>3797</v>
      </c>
      <c r="O90" s="203" t="s">
        <v>176</v>
      </c>
      <c r="P90" s="203" t="s">
        <v>177</v>
      </c>
      <c r="Q90" s="203" t="s">
        <v>178</v>
      </c>
      <c r="R90" s="203" t="s">
        <v>209</v>
      </c>
      <c r="S90" s="203" t="s">
        <v>3797</v>
      </c>
      <c r="T90" s="203" t="s">
        <v>176</v>
      </c>
      <c r="U90" s="203" t="s">
        <v>177</v>
      </c>
      <c r="V90" s="203" t="s">
        <v>178</v>
      </c>
      <c r="W90" s="203"/>
      <c r="X90" s="203" t="s">
        <v>209</v>
      </c>
      <c r="Y90" s="203" t="s">
        <v>206</v>
      </c>
      <c r="Z90" s="203" t="s">
        <v>177</v>
      </c>
      <c r="AA90" s="203" t="s">
        <v>178</v>
      </c>
      <c r="AB90" s="203"/>
      <c r="AC90" s="203" t="s">
        <v>209</v>
      </c>
    </row>
    <row r="91" spans="4:29" ht="24" x14ac:dyDescent="0.4">
      <c r="E91" s="202" t="s">
        <v>210</v>
      </c>
      <c r="F91" s="202"/>
      <c r="G91" s="202"/>
      <c r="H91" s="202"/>
      <c r="I91" s="260">
        <f>SUM(J91:M91)</f>
        <v>1.4</v>
      </c>
      <c r="J91" s="259"/>
      <c r="K91" s="258">
        <v>1.4</v>
      </c>
      <c r="L91" s="259"/>
      <c r="M91" s="259"/>
      <c r="N91" s="259"/>
      <c r="O91" s="260">
        <f>SUM(P91:R91)</f>
        <v>1.3</v>
      </c>
      <c r="P91" s="259"/>
      <c r="Q91" s="258">
        <v>1.3</v>
      </c>
      <c r="R91" s="255"/>
      <c r="S91" s="1104"/>
      <c r="T91" s="632">
        <f>SUM(U91:X91)</f>
        <v>0</v>
      </c>
      <c r="U91" s="259"/>
      <c r="V91" s="259"/>
      <c r="W91" s="255"/>
      <c r="X91" s="255"/>
      <c r="Y91" s="508">
        <f>SUM(Z91:AC91)</f>
        <v>6.9</v>
      </c>
      <c r="Z91" s="259"/>
      <c r="AA91" s="258">
        <v>6.9</v>
      </c>
      <c r="AB91" s="255"/>
      <c r="AC91" s="255"/>
    </row>
    <row r="92" spans="4:29" ht="24" x14ac:dyDescent="0.4">
      <c r="E92" s="202" t="s">
        <v>195</v>
      </c>
      <c r="F92" s="202"/>
      <c r="G92" s="202"/>
      <c r="H92" s="202"/>
      <c r="I92" s="259"/>
      <c r="J92" s="259"/>
      <c r="K92" s="259"/>
      <c r="L92" s="259"/>
      <c r="M92" s="259"/>
      <c r="N92" s="259"/>
      <c r="O92" s="259"/>
      <c r="P92" s="259"/>
      <c r="Q92" s="259"/>
      <c r="R92" s="259"/>
      <c r="S92" s="1104"/>
      <c r="T92" s="508">
        <f>SUM(U92:X92)</f>
        <v>0</v>
      </c>
      <c r="U92" s="259"/>
      <c r="V92" s="258">
        <v>0</v>
      </c>
      <c r="W92" s="255"/>
      <c r="X92" s="255"/>
      <c r="Y92" s="508">
        <f>SUM(Z92:AC92)</f>
        <v>0</v>
      </c>
      <c r="Z92" s="259"/>
      <c r="AA92" s="258">
        <v>0</v>
      </c>
      <c r="AB92" s="255"/>
      <c r="AC92" s="255"/>
    </row>
    <row r="97" spans="4:38" ht="20.25" x14ac:dyDescent="0.3">
      <c r="E97" s="205" t="s">
        <v>211</v>
      </c>
      <c r="F97" s="205"/>
      <c r="G97" s="205"/>
      <c r="H97" s="205"/>
      <c r="M97" s="197"/>
      <c r="N97" s="197"/>
      <c r="U97" s="61"/>
    </row>
    <row r="99" spans="4:38" ht="20.25" x14ac:dyDescent="0.3">
      <c r="I99" s="1143" t="s">
        <v>162</v>
      </c>
      <c r="J99" s="1143"/>
      <c r="K99" s="1143"/>
      <c r="L99" s="1143"/>
      <c r="M99" s="1143"/>
      <c r="N99" s="1044"/>
      <c r="O99" s="1143" t="s">
        <v>163</v>
      </c>
      <c r="P99" s="1143"/>
      <c r="Q99" s="1143"/>
      <c r="R99" s="1143"/>
      <c r="S99" s="1044"/>
      <c r="T99" s="1143" t="s">
        <v>170</v>
      </c>
      <c r="U99" s="1143"/>
      <c r="V99" s="1143"/>
      <c r="W99" s="1143"/>
      <c r="X99" s="1143"/>
      <c r="Y99" s="1143" t="s">
        <v>165</v>
      </c>
      <c r="Z99" s="1143"/>
      <c r="AA99" s="1143"/>
      <c r="AB99" s="1143"/>
      <c r="AC99" s="1143"/>
    </row>
    <row r="100" spans="4:38" ht="15.75" x14ac:dyDescent="0.25">
      <c r="E100" s="96"/>
      <c r="F100" s="96"/>
      <c r="G100" s="96"/>
      <c r="H100" s="96"/>
      <c r="I100" s="96"/>
      <c r="J100" s="1142" t="s">
        <v>171</v>
      </c>
      <c r="K100" s="1142"/>
      <c r="L100" s="1142"/>
      <c r="M100" s="1142"/>
      <c r="N100" s="1043"/>
      <c r="O100" s="18"/>
      <c r="P100" s="1142" t="s">
        <v>171</v>
      </c>
      <c r="Q100" s="1142"/>
      <c r="R100" s="1142"/>
      <c r="S100" s="1043"/>
      <c r="T100" s="18"/>
      <c r="U100" s="1142" t="s">
        <v>171</v>
      </c>
      <c r="V100" s="1142"/>
      <c r="W100" s="1142"/>
      <c r="X100" s="1142"/>
      <c r="Y100" s="18"/>
      <c r="Z100" s="1142" t="s">
        <v>171</v>
      </c>
      <c r="AA100" s="1142"/>
      <c r="AB100" s="1142"/>
      <c r="AC100" s="1142"/>
      <c r="AE100" s="1139" t="s">
        <v>212</v>
      </c>
      <c r="AF100" s="1140"/>
      <c r="AG100" s="1139" t="s">
        <v>213</v>
      </c>
      <c r="AH100" s="1140"/>
      <c r="AI100" s="1139" t="s">
        <v>214</v>
      </c>
      <c r="AJ100" s="1140"/>
      <c r="AK100" s="1139" t="s">
        <v>215</v>
      </c>
      <c r="AL100" s="1140"/>
    </row>
    <row r="101" spans="4:38" ht="15.75" x14ac:dyDescent="0.25">
      <c r="E101" s="96"/>
      <c r="F101" s="96"/>
      <c r="G101" s="96"/>
      <c r="H101" s="96"/>
      <c r="I101" s="96"/>
      <c r="J101" s="96"/>
      <c r="K101" s="96"/>
      <c r="L101" s="96"/>
      <c r="M101" s="96"/>
      <c r="N101" s="96"/>
      <c r="AE101" s="31"/>
      <c r="AF101" s="33"/>
      <c r="AG101" s="31"/>
      <c r="AH101" s="33"/>
      <c r="AI101" s="31"/>
      <c r="AJ101" s="33"/>
      <c r="AK101" s="31"/>
      <c r="AL101" s="33"/>
    </row>
    <row r="102" spans="4:38" ht="75" x14ac:dyDescent="0.2">
      <c r="E102" s="103" t="s">
        <v>172</v>
      </c>
      <c r="F102" s="103" t="s">
        <v>173</v>
      </c>
      <c r="G102" s="103" t="s">
        <v>216</v>
      </c>
      <c r="H102" s="103" t="s">
        <v>175</v>
      </c>
      <c r="I102" s="203" t="s">
        <v>176</v>
      </c>
      <c r="J102" s="203" t="s">
        <v>177</v>
      </c>
      <c r="K102" s="203" t="s">
        <v>205</v>
      </c>
      <c r="L102" s="203" t="s">
        <v>179</v>
      </c>
      <c r="M102" s="203" t="s">
        <v>180</v>
      </c>
      <c r="N102" s="203" t="s">
        <v>3797</v>
      </c>
      <c r="O102" s="203" t="s">
        <v>206</v>
      </c>
      <c r="P102" s="203" t="s">
        <v>177</v>
      </c>
      <c r="Q102" s="203" t="s">
        <v>178</v>
      </c>
      <c r="R102" s="203" t="s">
        <v>180</v>
      </c>
      <c r="S102" s="203" t="s">
        <v>3797</v>
      </c>
      <c r="T102" s="203" t="s">
        <v>206</v>
      </c>
      <c r="U102" s="203" t="s">
        <v>177</v>
      </c>
      <c r="V102" s="203" t="s">
        <v>178</v>
      </c>
      <c r="W102" s="203" t="s">
        <v>179</v>
      </c>
      <c r="X102" s="203" t="s">
        <v>180</v>
      </c>
      <c r="Y102" s="203" t="s">
        <v>206</v>
      </c>
      <c r="Z102" s="203" t="s">
        <v>177</v>
      </c>
      <c r="AA102" s="203" t="s">
        <v>178</v>
      </c>
      <c r="AB102" s="203" t="s">
        <v>179</v>
      </c>
      <c r="AC102" s="203" t="s">
        <v>180</v>
      </c>
      <c r="AE102" s="563" t="s">
        <v>217</v>
      </c>
      <c r="AF102" s="564" t="s">
        <v>218</v>
      </c>
      <c r="AG102" s="563" t="s">
        <v>217</v>
      </c>
      <c r="AH102" s="564" t="s">
        <v>218</v>
      </c>
      <c r="AI102" s="563" t="s">
        <v>217</v>
      </c>
      <c r="AJ102" s="564" t="s">
        <v>218</v>
      </c>
      <c r="AK102" s="563" t="s">
        <v>217</v>
      </c>
      <c r="AL102" s="564" t="s">
        <v>218</v>
      </c>
    </row>
    <row r="103" spans="4:38" ht="45.95" customHeight="1" x14ac:dyDescent="0.4">
      <c r="D103" s="1145" t="s">
        <v>181</v>
      </c>
      <c r="E103" s="202" t="s">
        <v>182</v>
      </c>
      <c r="F103" s="202"/>
      <c r="G103" s="202" t="s">
        <v>183</v>
      </c>
      <c r="H103" s="202"/>
      <c r="I103" s="260">
        <f>SUM(J103:N103)</f>
        <v>88.730000000000018</v>
      </c>
      <c r="J103" s="258">
        <f t="shared" ref="J103:J108" si="9">J34+J63</f>
        <v>88.730000000000018</v>
      </c>
      <c r="K103" s="259"/>
      <c r="L103" s="259"/>
      <c r="M103" s="259"/>
      <c r="N103" s="259"/>
      <c r="O103" s="980">
        <f>SUM(P103:S103)</f>
        <v>98.59</v>
      </c>
      <c r="P103" s="510">
        <f>P34+P63</f>
        <v>98.59</v>
      </c>
      <c r="Q103" s="643"/>
      <c r="R103" s="643"/>
      <c r="S103" s="643"/>
      <c r="T103" s="260">
        <f>SUM(U103:X103)</f>
        <v>140.73000000000002</v>
      </c>
      <c r="U103" s="258">
        <f>U34+U63</f>
        <v>140.73000000000002</v>
      </c>
      <c r="V103" s="259"/>
      <c r="W103" s="259"/>
      <c r="X103" s="259"/>
      <c r="Y103" s="633">
        <f>SUM(Z103:AC103)</f>
        <v>122.87500000000001</v>
      </c>
      <c r="Z103" s="258">
        <f t="shared" ref="Z103:Z115" si="10">Z34+Z63</f>
        <v>122.87500000000001</v>
      </c>
      <c r="AA103" s="259"/>
      <c r="AB103" s="255"/>
      <c r="AC103" s="255"/>
      <c r="AD103" s="593"/>
      <c r="AE103" s="31"/>
      <c r="AF103" s="33"/>
      <c r="AG103" s="31"/>
      <c r="AH103" s="33"/>
      <c r="AI103" s="31"/>
      <c r="AJ103" s="33"/>
      <c r="AK103" s="31"/>
      <c r="AL103" s="33"/>
    </row>
    <row r="104" spans="4:38" ht="45.95" customHeight="1" x14ac:dyDescent="0.4">
      <c r="D104" s="1145"/>
      <c r="E104" s="202" t="s">
        <v>207</v>
      </c>
      <c r="F104" s="202"/>
      <c r="G104" s="202" t="s">
        <v>183</v>
      </c>
      <c r="H104" s="202"/>
      <c r="I104" s="260">
        <f t="shared" ref="I104:I123" si="11">SUM(J104:N104)</f>
        <v>84.345000000000013</v>
      </c>
      <c r="J104" s="258">
        <f t="shared" si="9"/>
        <v>84.345000000000013</v>
      </c>
      <c r="K104" s="259"/>
      <c r="L104" s="259"/>
      <c r="M104" s="259"/>
      <c r="N104" s="259"/>
      <c r="O104" s="980">
        <f t="shared" ref="O104:O123" si="12">SUM(P104:S104)</f>
        <v>93.664999999999992</v>
      </c>
      <c r="P104" s="510">
        <f>P35+P64</f>
        <v>93.664999999999992</v>
      </c>
      <c r="Q104" s="643"/>
      <c r="R104" s="643"/>
      <c r="S104" s="643"/>
      <c r="T104" s="260">
        <f t="shared" ref="T104:T123" si="13">SUM(U104:X104)</f>
        <v>133.68</v>
      </c>
      <c r="U104" s="258">
        <f>U35+U64</f>
        <v>133.68</v>
      </c>
      <c r="V104" s="259"/>
      <c r="W104" s="259"/>
      <c r="X104" s="259"/>
      <c r="Y104" s="633">
        <f t="shared" ref="Y104:Y123" si="14">SUM(Z104:AC104)</f>
        <v>116.59500000000001</v>
      </c>
      <c r="Z104" s="258">
        <f t="shared" si="10"/>
        <v>116.59500000000001</v>
      </c>
      <c r="AA104" s="259"/>
      <c r="AB104" s="255"/>
      <c r="AC104" s="255"/>
      <c r="AD104" s="593"/>
      <c r="AE104" s="31"/>
      <c r="AF104" s="33"/>
      <c r="AG104" s="31"/>
      <c r="AH104" s="33"/>
      <c r="AI104" s="31"/>
      <c r="AJ104" s="33"/>
      <c r="AK104" s="31"/>
      <c r="AL104" s="33"/>
    </row>
    <row r="105" spans="4:38" ht="45.95" customHeight="1" x14ac:dyDescent="0.4">
      <c r="D105" s="1145"/>
      <c r="E105" s="202" t="s">
        <v>185</v>
      </c>
      <c r="F105" s="202"/>
      <c r="G105" s="202" t="s">
        <v>183</v>
      </c>
      <c r="H105" s="202"/>
      <c r="I105" s="260">
        <f t="shared" si="11"/>
        <v>80.127750000000006</v>
      </c>
      <c r="J105" s="258">
        <f t="shared" si="9"/>
        <v>80.127750000000006</v>
      </c>
      <c r="K105" s="259"/>
      <c r="L105" s="259"/>
      <c r="M105" s="259"/>
      <c r="N105" s="259"/>
      <c r="O105" s="980">
        <f t="shared" si="12"/>
        <v>88.981750000000005</v>
      </c>
      <c r="P105" s="510">
        <f>P36+P65</f>
        <v>88.981750000000005</v>
      </c>
      <c r="Q105" s="643"/>
      <c r="R105" s="643"/>
      <c r="S105" s="643"/>
      <c r="T105" s="260">
        <f t="shared" si="13"/>
        <v>126.996</v>
      </c>
      <c r="U105" s="510">
        <f>U36+U65</f>
        <v>126.996</v>
      </c>
      <c r="V105" s="259"/>
      <c r="W105" s="259"/>
      <c r="X105" s="259"/>
      <c r="Y105" s="633">
        <f t="shared" si="14"/>
        <v>110.76524999999999</v>
      </c>
      <c r="Z105" s="510">
        <f t="shared" si="10"/>
        <v>110.76524999999999</v>
      </c>
      <c r="AA105" s="259"/>
      <c r="AB105" s="255"/>
      <c r="AC105" s="255"/>
      <c r="AD105" s="593"/>
      <c r="AE105" s="31"/>
      <c r="AF105" s="33"/>
      <c r="AG105" s="31"/>
      <c r="AH105" s="33"/>
      <c r="AI105" s="31"/>
      <c r="AJ105" s="33"/>
      <c r="AK105" s="31"/>
      <c r="AL105" s="33"/>
    </row>
    <row r="106" spans="4:38" ht="45.95" customHeight="1" x14ac:dyDescent="0.4">
      <c r="D106" s="1145"/>
      <c r="E106" s="202" t="s">
        <v>186</v>
      </c>
      <c r="F106" s="202"/>
      <c r="G106" s="202" t="s">
        <v>183</v>
      </c>
      <c r="H106" s="202"/>
      <c r="I106" s="260">
        <f t="shared" si="11"/>
        <v>66.37</v>
      </c>
      <c r="J106" s="258">
        <f t="shared" si="9"/>
        <v>66.37</v>
      </c>
      <c r="K106" s="259"/>
      <c r="L106" s="259"/>
      <c r="M106" s="259"/>
      <c r="N106" s="259"/>
      <c r="O106" s="980">
        <f t="shared" si="12"/>
        <v>70.725000000000009</v>
      </c>
      <c r="P106" s="511">
        <f>P37+P66</f>
        <v>70.725000000000009</v>
      </c>
      <c r="Q106" s="638"/>
      <c r="R106" s="638"/>
      <c r="S106" s="638"/>
      <c r="T106" s="260">
        <f t="shared" si="13"/>
        <v>109.11</v>
      </c>
      <c r="U106" s="258">
        <f>U37+U66</f>
        <v>109.11</v>
      </c>
      <c r="V106" s="259"/>
      <c r="W106" s="259"/>
      <c r="X106" s="259"/>
      <c r="Y106" s="633">
        <f t="shared" si="14"/>
        <v>93.474999999999994</v>
      </c>
      <c r="Z106" s="258">
        <f t="shared" si="10"/>
        <v>93.474999999999994</v>
      </c>
      <c r="AA106" s="259"/>
      <c r="AB106" s="255"/>
      <c r="AC106" s="255"/>
      <c r="AD106" s="593"/>
      <c r="AE106" s="31"/>
      <c r="AF106" s="33"/>
      <c r="AG106" s="31"/>
      <c r="AH106" s="33"/>
      <c r="AI106" s="31"/>
      <c r="AJ106" s="33"/>
      <c r="AK106" s="31"/>
      <c r="AL106" s="33"/>
    </row>
    <row r="107" spans="4:38" ht="45.95" customHeight="1" x14ac:dyDescent="0.4">
      <c r="D107" s="1145"/>
      <c r="E107" s="202" t="s">
        <v>187</v>
      </c>
      <c r="F107" s="202"/>
      <c r="G107" s="202"/>
      <c r="H107" s="202" t="s">
        <v>183</v>
      </c>
      <c r="I107" s="260">
        <f t="shared" si="11"/>
        <v>38.94</v>
      </c>
      <c r="J107" s="258">
        <f t="shared" si="9"/>
        <v>21.585000000000001</v>
      </c>
      <c r="K107" s="258">
        <f>K38+K67</f>
        <v>17.355</v>
      </c>
      <c r="L107" s="259"/>
      <c r="M107" s="259"/>
      <c r="N107" s="259"/>
      <c r="O107" s="980">
        <f t="shared" si="12"/>
        <v>0</v>
      </c>
      <c r="P107" s="638"/>
      <c r="Q107" s="638"/>
      <c r="R107" s="638"/>
      <c r="S107" s="638"/>
      <c r="T107" s="260">
        <f t="shared" si="13"/>
        <v>52.61</v>
      </c>
      <c r="U107" s="258">
        <f>U38+U67</f>
        <v>17.2</v>
      </c>
      <c r="V107" s="258">
        <f>V38+V67</f>
        <v>35.409999999999997</v>
      </c>
      <c r="W107" s="259"/>
      <c r="X107" s="259"/>
      <c r="Y107" s="633">
        <f t="shared" si="14"/>
        <v>45.635000000000005</v>
      </c>
      <c r="Z107" s="258">
        <f t="shared" si="10"/>
        <v>15.75</v>
      </c>
      <c r="AA107" s="258">
        <f>AA38+AA67</f>
        <v>29.885000000000005</v>
      </c>
      <c r="AB107" s="255"/>
      <c r="AC107" s="255"/>
      <c r="AD107" s="594"/>
      <c r="AE107" s="565">
        <f>J107/I107</f>
        <v>0.55431432973805861</v>
      </c>
      <c r="AF107" s="566">
        <f>K107/I107</f>
        <v>0.4456856702619415</v>
      </c>
      <c r="AG107" s="567"/>
      <c r="AH107" s="568"/>
      <c r="AI107" s="565">
        <f>U107/T107</f>
        <v>0.32693404295761264</v>
      </c>
      <c r="AJ107" s="566">
        <f>V107/T107</f>
        <v>0.67306595704238736</v>
      </c>
      <c r="AK107" s="565">
        <f>Z107/Y107</f>
        <v>0.3451298345568094</v>
      </c>
      <c r="AL107" s="566">
        <f>AA107/Y107</f>
        <v>0.65487016544319054</v>
      </c>
    </row>
    <row r="108" spans="4:38" ht="45.95" customHeight="1" x14ac:dyDescent="0.4">
      <c r="D108" s="1145"/>
      <c r="E108" s="202" t="s">
        <v>188</v>
      </c>
      <c r="F108" s="202"/>
      <c r="G108" s="202"/>
      <c r="H108" s="202" t="s">
        <v>183</v>
      </c>
      <c r="I108" s="260">
        <f t="shared" si="11"/>
        <v>55.32</v>
      </c>
      <c r="J108" s="258">
        <f t="shared" si="9"/>
        <v>50.185000000000002</v>
      </c>
      <c r="K108" s="258">
        <f>K39+K68</f>
        <v>5.1350000000000007</v>
      </c>
      <c r="L108" s="259"/>
      <c r="M108" s="259"/>
      <c r="N108" s="259"/>
      <c r="O108" s="980">
        <f t="shared" si="12"/>
        <v>60.195000000000007</v>
      </c>
      <c r="P108" s="511">
        <f>P39+P68</f>
        <v>55.320000000000007</v>
      </c>
      <c r="Q108" s="511">
        <f>Q39+Q68</f>
        <v>4.875</v>
      </c>
      <c r="R108" s="638"/>
      <c r="S108" s="638"/>
      <c r="T108" s="260">
        <f t="shared" si="13"/>
        <v>0</v>
      </c>
      <c r="U108" s="259"/>
      <c r="V108" s="259"/>
      <c r="W108" s="259"/>
      <c r="X108" s="259"/>
      <c r="Y108" s="633">
        <f t="shared" si="14"/>
        <v>56.88000000000001</v>
      </c>
      <c r="Z108" s="258">
        <f t="shared" si="10"/>
        <v>39.980000000000004</v>
      </c>
      <c r="AA108" s="258">
        <f>AA39+AA68</f>
        <v>16.900000000000002</v>
      </c>
      <c r="AB108" s="255"/>
      <c r="AC108" s="255"/>
      <c r="AD108" s="594"/>
    </row>
    <row r="109" spans="4:38" ht="45.95" customHeight="1" x14ac:dyDescent="0.4">
      <c r="D109" s="1145"/>
      <c r="E109" s="202" t="s">
        <v>189</v>
      </c>
      <c r="F109" s="202"/>
      <c r="G109" s="202" t="s">
        <v>183</v>
      </c>
      <c r="H109" s="202"/>
      <c r="I109" s="260">
        <f t="shared" si="11"/>
        <v>0</v>
      </c>
      <c r="J109" s="259"/>
      <c r="K109" s="259"/>
      <c r="L109" s="259"/>
      <c r="M109" s="259"/>
      <c r="N109" s="259"/>
      <c r="O109" s="980">
        <f t="shared" si="12"/>
        <v>0</v>
      </c>
      <c r="P109" s="638"/>
      <c r="Q109" s="638"/>
      <c r="R109" s="638"/>
      <c r="S109" s="638"/>
      <c r="T109" s="260">
        <f t="shared" si="13"/>
        <v>78.429999999999993</v>
      </c>
      <c r="U109" s="258">
        <f t="shared" ref="U109:U115" si="15">U40+U69</f>
        <v>78.429999999999993</v>
      </c>
      <c r="V109" s="259"/>
      <c r="W109" s="259"/>
      <c r="X109" s="259"/>
      <c r="Y109" s="633">
        <f t="shared" si="14"/>
        <v>67.754999999999995</v>
      </c>
      <c r="Z109" s="258">
        <f t="shared" si="10"/>
        <v>67.754999999999995</v>
      </c>
      <c r="AA109" s="259"/>
      <c r="AB109" s="255"/>
      <c r="AC109" s="255"/>
    </row>
    <row r="110" spans="4:38" ht="45.95" customHeight="1" x14ac:dyDescent="0.4">
      <c r="D110" s="1145"/>
      <c r="E110" s="202" t="s">
        <v>190</v>
      </c>
      <c r="F110" s="202"/>
      <c r="G110" s="202"/>
      <c r="H110" s="202"/>
      <c r="I110" s="260">
        <f t="shared" si="11"/>
        <v>33.025000000000006</v>
      </c>
      <c r="J110" s="258">
        <f>J41+J70</f>
        <v>21.585000000000001</v>
      </c>
      <c r="K110" s="258">
        <f>K41+K70</f>
        <v>11.440000000000001</v>
      </c>
      <c r="L110" s="259"/>
      <c r="M110" s="259"/>
      <c r="N110" s="259"/>
      <c r="O110" s="980">
        <f t="shared" si="12"/>
        <v>0</v>
      </c>
      <c r="P110" s="638"/>
      <c r="Q110" s="638"/>
      <c r="R110" s="638"/>
      <c r="S110" s="638"/>
      <c r="T110" s="260">
        <f t="shared" si="13"/>
        <v>40.564999999999998</v>
      </c>
      <c r="U110" s="258">
        <f t="shared" si="15"/>
        <v>17.2</v>
      </c>
      <c r="V110" s="258">
        <f>V41+V70</f>
        <v>23.364999999999998</v>
      </c>
      <c r="W110" s="259"/>
      <c r="X110" s="259"/>
      <c r="Y110" s="633">
        <f t="shared" si="14"/>
        <v>35.44</v>
      </c>
      <c r="Z110" s="258">
        <f t="shared" si="10"/>
        <v>15.75</v>
      </c>
      <c r="AA110" s="258">
        <f>AA41+AA70</f>
        <v>19.690000000000001</v>
      </c>
      <c r="AB110" s="255"/>
      <c r="AC110" s="255"/>
    </row>
    <row r="111" spans="4:38" ht="45.95" customHeight="1" x14ac:dyDescent="0.4">
      <c r="D111" s="1145"/>
      <c r="E111" s="202" t="s">
        <v>191</v>
      </c>
      <c r="F111" s="202"/>
      <c r="G111" s="202" t="s">
        <v>183</v>
      </c>
      <c r="H111" s="202"/>
      <c r="I111" s="260">
        <f t="shared" si="11"/>
        <v>61.064999999999998</v>
      </c>
      <c r="J111" s="258">
        <f>J42+J71</f>
        <v>61.064999999999998</v>
      </c>
      <c r="K111" s="259"/>
      <c r="L111" s="259"/>
      <c r="M111" s="259"/>
      <c r="N111" s="259"/>
      <c r="O111" s="980">
        <f t="shared" si="12"/>
        <v>0</v>
      </c>
      <c r="P111" s="638"/>
      <c r="Q111" s="638"/>
      <c r="R111" s="638"/>
      <c r="S111" s="638"/>
      <c r="T111" s="260">
        <f t="shared" si="13"/>
        <v>95.465000000000003</v>
      </c>
      <c r="U111" s="258">
        <f t="shared" si="15"/>
        <v>95.465000000000003</v>
      </c>
      <c r="V111" s="259"/>
      <c r="W111" s="259"/>
      <c r="X111" s="259"/>
      <c r="Y111" s="633">
        <f t="shared" si="14"/>
        <v>86.399999999999991</v>
      </c>
      <c r="Z111" s="258">
        <f t="shared" si="10"/>
        <v>86.399999999999991</v>
      </c>
      <c r="AA111" s="259"/>
      <c r="AB111" s="255"/>
      <c r="AC111" s="255"/>
    </row>
    <row r="112" spans="4:38" ht="45.95" customHeight="1" x14ac:dyDescent="0.4">
      <c r="D112" s="1145"/>
      <c r="E112" s="202" t="s">
        <v>192</v>
      </c>
      <c r="F112" s="202"/>
      <c r="G112" s="202" t="s">
        <v>183</v>
      </c>
      <c r="H112" s="202"/>
      <c r="I112" s="260">
        <f t="shared" si="11"/>
        <v>37.270000000000003</v>
      </c>
      <c r="J112" s="258">
        <f>J43+J72</f>
        <v>37.270000000000003</v>
      </c>
      <c r="K112" s="259"/>
      <c r="L112" s="259"/>
      <c r="M112" s="259"/>
      <c r="N112" s="259"/>
      <c r="O112" s="980">
        <f t="shared" si="12"/>
        <v>0</v>
      </c>
      <c r="P112" s="638"/>
      <c r="Q112" s="638"/>
      <c r="R112" s="638"/>
      <c r="S112" s="638"/>
      <c r="T112" s="260">
        <f t="shared" si="13"/>
        <v>69.260000000000005</v>
      </c>
      <c r="U112" s="258">
        <f t="shared" si="15"/>
        <v>69.260000000000005</v>
      </c>
      <c r="V112" s="259"/>
      <c r="W112" s="259"/>
      <c r="X112" s="259"/>
      <c r="Y112" s="633">
        <f t="shared" si="14"/>
        <v>60.680000000000007</v>
      </c>
      <c r="Z112" s="258">
        <f t="shared" si="10"/>
        <v>60.680000000000007</v>
      </c>
      <c r="AA112" s="259"/>
      <c r="AB112" s="255"/>
      <c r="AC112" s="255"/>
    </row>
    <row r="113" spans="4:30" ht="45.95" customHeight="1" x14ac:dyDescent="0.4">
      <c r="D113" s="1145"/>
      <c r="E113" s="202" t="s">
        <v>193</v>
      </c>
      <c r="F113" s="202"/>
      <c r="G113" s="202"/>
      <c r="H113" s="202"/>
      <c r="I113" s="260">
        <f t="shared" si="11"/>
        <v>0</v>
      </c>
      <c r="J113" s="259"/>
      <c r="K113" s="259"/>
      <c r="L113" s="259"/>
      <c r="M113" s="259"/>
      <c r="N113" s="259"/>
      <c r="O113" s="980">
        <f t="shared" si="12"/>
        <v>0</v>
      </c>
      <c r="P113" s="638"/>
      <c r="Q113" s="638"/>
      <c r="R113" s="638"/>
      <c r="S113" s="638"/>
      <c r="T113" s="260">
        <f t="shared" si="13"/>
        <v>127.215</v>
      </c>
      <c r="U113" s="258">
        <f t="shared" si="15"/>
        <v>14.92</v>
      </c>
      <c r="V113" s="259"/>
      <c r="W113" s="259"/>
      <c r="X113" s="258">
        <f>X44+X73</f>
        <v>112.295</v>
      </c>
      <c r="Y113" s="633">
        <f t="shared" si="14"/>
        <v>115.17000000000002</v>
      </c>
      <c r="Z113" s="258">
        <f t="shared" si="10"/>
        <v>11.385</v>
      </c>
      <c r="AA113" s="259"/>
      <c r="AB113" s="255"/>
      <c r="AC113" s="253">
        <f>AC44+AC73</f>
        <v>103.78500000000001</v>
      </c>
    </row>
    <row r="114" spans="4:30" ht="45.95" customHeight="1" x14ac:dyDescent="0.4">
      <c r="D114" s="1145"/>
      <c r="E114" s="202" t="s">
        <v>194</v>
      </c>
      <c r="F114" s="202"/>
      <c r="G114" s="202"/>
      <c r="H114" s="202"/>
      <c r="I114" s="260">
        <f t="shared" si="11"/>
        <v>73.91</v>
      </c>
      <c r="J114" s="258">
        <f>J45+J74</f>
        <v>73.91</v>
      </c>
      <c r="K114" s="259"/>
      <c r="L114" s="259"/>
      <c r="M114" s="259"/>
      <c r="N114" s="259"/>
      <c r="O114" s="980">
        <f t="shared" si="12"/>
        <v>0</v>
      </c>
      <c r="P114" s="638"/>
      <c r="Q114" s="638"/>
      <c r="R114" s="638"/>
      <c r="S114" s="638"/>
      <c r="T114" s="260">
        <f t="shared" si="13"/>
        <v>118.015</v>
      </c>
      <c r="U114" s="258">
        <f t="shared" si="15"/>
        <v>118.015</v>
      </c>
      <c r="V114" s="259"/>
      <c r="W114" s="259"/>
      <c r="X114" s="259"/>
      <c r="Y114" s="633">
        <f t="shared" si="14"/>
        <v>102.38</v>
      </c>
      <c r="Z114" s="258">
        <f t="shared" si="10"/>
        <v>102.38</v>
      </c>
      <c r="AA114" s="259"/>
      <c r="AB114" s="255"/>
      <c r="AC114" s="255"/>
    </row>
    <row r="115" spans="4:30" ht="45.95" customHeight="1" x14ac:dyDescent="0.4">
      <c r="D115" s="1145"/>
      <c r="E115" s="202" t="s">
        <v>219</v>
      </c>
      <c r="F115" s="202"/>
      <c r="G115" s="202"/>
      <c r="H115" s="202"/>
      <c r="I115" s="260">
        <f t="shared" si="11"/>
        <v>0</v>
      </c>
      <c r="J115" s="259"/>
      <c r="K115" s="259"/>
      <c r="L115" s="259"/>
      <c r="M115" s="259"/>
      <c r="N115" s="259"/>
      <c r="O115" s="980">
        <f t="shared" si="12"/>
        <v>0</v>
      </c>
      <c r="P115" s="638"/>
      <c r="Q115" s="638"/>
      <c r="R115" s="638"/>
      <c r="S115" s="638"/>
      <c r="T115" s="260">
        <f t="shared" si="13"/>
        <v>75.27</v>
      </c>
      <c r="U115" s="258">
        <f t="shared" si="15"/>
        <v>75.27</v>
      </c>
      <c r="V115" s="259"/>
      <c r="W115" s="259"/>
      <c r="X115" s="259"/>
      <c r="Y115" s="633">
        <f t="shared" si="14"/>
        <v>76.375</v>
      </c>
      <c r="Z115" s="258">
        <f t="shared" si="10"/>
        <v>76.375</v>
      </c>
      <c r="AA115" s="259"/>
      <c r="AB115" s="255"/>
      <c r="AC115" s="255"/>
    </row>
    <row r="116" spans="4:30" ht="45.95" customHeight="1" x14ac:dyDescent="0.4">
      <c r="D116" s="1146" t="s">
        <v>166</v>
      </c>
      <c r="E116" s="202" t="s">
        <v>196</v>
      </c>
      <c r="F116" s="202" t="s">
        <v>183</v>
      </c>
      <c r="G116" s="202"/>
      <c r="H116" s="202"/>
      <c r="I116" s="260">
        <f t="shared" si="11"/>
        <v>98.125</v>
      </c>
      <c r="J116" s="259"/>
      <c r="K116" s="259"/>
      <c r="L116" s="253">
        <f>L47+L76</f>
        <v>98.125</v>
      </c>
      <c r="M116" s="692"/>
      <c r="N116" s="1104"/>
      <c r="O116" s="980">
        <f t="shared" si="12"/>
        <v>0</v>
      </c>
      <c r="P116" s="638"/>
      <c r="Q116" s="638"/>
      <c r="R116" s="638"/>
      <c r="S116" s="638"/>
      <c r="T116" s="260">
        <f t="shared" si="13"/>
        <v>143.685</v>
      </c>
      <c r="U116" s="509"/>
      <c r="V116" s="691"/>
      <c r="W116" s="690">
        <f>W47+W76</f>
        <v>143.685</v>
      </c>
      <c r="X116" s="255"/>
      <c r="Y116" s="633">
        <f t="shared" si="14"/>
        <v>102.735</v>
      </c>
      <c r="Z116" s="509"/>
      <c r="AA116" s="691"/>
      <c r="AB116" s="690">
        <f>AB47+AB76</f>
        <v>102.735</v>
      </c>
      <c r="AC116" s="255"/>
    </row>
    <row r="117" spans="4:30" ht="45.95" customHeight="1" x14ac:dyDescent="0.4">
      <c r="D117" s="1147"/>
      <c r="E117" s="202" t="s">
        <v>197</v>
      </c>
      <c r="F117" s="202" t="s">
        <v>183</v>
      </c>
      <c r="G117" s="202"/>
      <c r="H117" s="202"/>
      <c r="I117" s="260">
        <f t="shared" si="11"/>
        <v>73.465000000000003</v>
      </c>
      <c r="J117" s="259"/>
      <c r="K117" s="259"/>
      <c r="L117" s="253">
        <f>L48+L77</f>
        <v>73.465000000000003</v>
      </c>
      <c r="M117" s="692"/>
      <c r="N117" s="1104"/>
      <c r="O117" s="980">
        <f t="shared" si="12"/>
        <v>0</v>
      </c>
      <c r="P117" s="638"/>
      <c r="Q117" s="638"/>
      <c r="R117" s="638"/>
      <c r="S117" s="638"/>
      <c r="T117" s="260">
        <f t="shared" si="13"/>
        <v>111.455</v>
      </c>
      <c r="U117" s="509"/>
      <c r="V117" s="691"/>
      <c r="W117" s="690">
        <f>W48+W77</f>
        <v>111.455</v>
      </c>
      <c r="X117" s="255"/>
      <c r="Y117" s="633">
        <f t="shared" si="14"/>
        <v>77.69</v>
      </c>
      <c r="Z117" s="509"/>
      <c r="AA117" s="691"/>
      <c r="AB117" s="690">
        <f>AB48+AB77</f>
        <v>77.69</v>
      </c>
      <c r="AC117" s="255"/>
      <c r="AD117" s="594"/>
    </row>
    <row r="118" spans="4:30" ht="45.95" customHeight="1" x14ac:dyDescent="0.4">
      <c r="D118" s="1041" t="s">
        <v>767</v>
      </c>
      <c r="E118" s="202" t="s">
        <v>3795</v>
      </c>
      <c r="F118" s="202"/>
      <c r="G118" s="202"/>
      <c r="H118" s="202"/>
      <c r="I118" s="260">
        <f t="shared" si="11"/>
        <v>119.80500000000001</v>
      </c>
      <c r="J118" s="259"/>
      <c r="K118" s="259"/>
      <c r="L118" s="259"/>
      <c r="M118" s="253">
        <f>M49+M78</f>
        <v>119.80500000000001</v>
      </c>
      <c r="N118" s="1104"/>
      <c r="O118" s="980">
        <f t="shared" si="12"/>
        <v>0</v>
      </c>
      <c r="P118" s="638"/>
      <c r="Q118" s="638"/>
      <c r="R118" s="638"/>
      <c r="S118" s="638"/>
      <c r="T118" s="260">
        <f t="shared" si="13"/>
        <v>0</v>
      </c>
      <c r="U118" s="509"/>
      <c r="V118" s="691"/>
      <c r="W118" s="691"/>
      <c r="X118" s="691"/>
      <c r="Y118" s="633">
        <f t="shared" si="14"/>
        <v>0</v>
      </c>
      <c r="Z118" s="509"/>
      <c r="AA118" s="691"/>
      <c r="AB118" s="690"/>
      <c r="AC118" s="255"/>
      <c r="AD118" s="594"/>
    </row>
    <row r="119" spans="4:30" ht="45.95" customHeight="1" x14ac:dyDescent="0.4">
      <c r="D119" s="1103" t="s">
        <v>768</v>
      </c>
      <c r="E119" s="202" t="s">
        <v>3796</v>
      </c>
      <c r="F119" s="202"/>
      <c r="G119" s="202"/>
      <c r="H119" s="202"/>
      <c r="I119" s="260">
        <f t="shared" si="11"/>
        <v>88.730000000000018</v>
      </c>
      <c r="J119" s="259"/>
      <c r="K119" s="259"/>
      <c r="L119" s="259"/>
      <c r="M119" s="692"/>
      <c r="N119" s="253">
        <f>N50+N79</f>
        <v>88.730000000000018</v>
      </c>
      <c r="O119" s="980">
        <f t="shared" si="12"/>
        <v>98.59</v>
      </c>
      <c r="P119" s="638"/>
      <c r="Q119" s="638"/>
      <c r="R119" s="638"/>
      <c r="S119" s="253">
        <f>S50+S79</f>
        <v>98.59</v>
      </c>
      <c r="T119" s="260">
        <f t="shared" si="13"/>
        <v>0</v>
      </c>
      <c r="U119" s="509"/>
      <c r="V119" s="691"/>
      <c r="W119" s="691"/>
      <c r="X119" s="691"/>
      <c r="Y119" s="633">
        <f t="shared" si="14"/>
        <v>0</v>
      </c>
      <c r="Z119" s="509"/>
      <c r="AA119" s="691"/>
      <c r="AB119" s="690"/>
      <c r="AC119" s="255"/>
      <c r="AD119" s="594"/>
    </row>
    <row r="120" spans="4:30" ht="45.95" customHeight="1" x14ac:dyDescent="0.4">
      <c r="D120" s="1146" t="s">
        <v>198</v>
      </c>
      <c r="E120" s="202" t="s">
        <v>199</v>
      </c>
      <c r="F120" s="202"/>
      <c r="G120" s="202"/>
      <c r="H120" s="202" t="s">
        <v>183</v>
      </c>
      <c r="I120" s="260">
        <f t="shared" si="11"/>
        <v>17.545000000000002</v>
      </c>
      <c r="J120" s="258">
        <f>J51+J80</f>
        <v>7.75</v>
      </c>
      <c r="K120" s="253">
        <f>K51+K80</f>
        <v>9.7950000000000017</v>
      </c>
      <c r="L120" s="255"/>
      <c r="M120" s="255"/>
      <c r="N120" s="259"/>
      <c r="O120" s="980">
        <f t="shared" si="12"/>
        <v>0</v>
      </c>
      <c r="P120" s="638"/>
      <c r="Q120" s="638"/>
      <c r="R120" s="638"/>
      <c r="S120" s="638"/>
      <c r="T120" s="260">
        <f t="shared" si="13"/>
        <v>17.87</v>
      </c>
      <c r="U120" s="253">
        <f>U51+U80</f>
        <v>11.185</v>
      </c>
      <c r="V120" s="253">
        <f>V51+V80</f>
        <v>6.6850000000000005</v>
      </c>
      <c r="W120" s="255"/>
      <c r="X120" s="255"/>
      <c r="Y120" s="633">
        <f t="shared" si="14"/>
        <v>17.27</v>
      </c>
      <c r="Z120" s="253">
        <f>Z51+Z80</f>
        <v>13.26</v>
      </c>
      <c r="AA120" s="253">
        <f>AA51+AA80</f>
        <v>4.01</v>
      </c>
      <c r="AB120" s="255"/>
      <c r="AC120" s="255"/>
    </row>
    <row r="121" spans="4:30" ht="45.95" customHeight="1" x14ac:dyDescent="0.4">
      <c r="D121" s="1147"/>
      <c r="E121" s="202" t="s">
        <v>200</v>
      </c>
      <c r="F121" s="202"/>
      <c r="G121" s="202"/>
      <c r="H121" s="202" t="s">
        <v>183</v>
      </c>
      <c r="I121" s="260">
        <f t="shared" si="11"/>
        <v>27.082000000000001</v>
      </c>
      <c r="J121" s="258">
        <f>J52+J81</f>
        <v>14.464000000000002</v>
      </c>
      <c r="K121" s="253">
        <f>K52+K81</f>
        <v>12.618</v>
      </c>
      <c r="L121" s="255"/>
      <c r="M121" s="255"/>
      <c r="N121" s="259"/>
      <c r="O121" s="980">
        <f t="shared" si="12"/>
        <v>22.545000000000002</v>
      </c>
      <c r="P121" s="253">
        <f>P52+P81</f>
        <v>14.625</v>
      </c>
      <c r="Q121" s="253">
        <f>Q52+Q81</f>
        <v>7.9200000000000008</v>
      </c>
      <c r="R121" s="255"/>
      <c r="S121" s="259"/>
      <c r="T121" s="260">
        <f t="shared" si="13"/>
        <v>21.545000000000002</v>
      </c>
      <c r="U121" s="253">
        <f>U52+U81</f>
        <v>15.335000000000001</v>
      </c>
      <c r="V121" s="253">
        <f>V52+V81</f>
        <v>6.2100000000000009</v>
      </c>
      <c r="W121" s="255"/>
      <c r="X121" s="255"/>
      <c r="Y121" s="633">
        <f t="shared" si="14"/>
        <v>0</v>
      </c>
      <c r="Z121" s="255"/>
      <c r="AA121" s="255"/>
      <c r="AB121" s="255"/>
      <c r="AC121" s="255"/>
    </row>
    <row r="122" spans="4:30" ht="47.1" customHeight="1" outlineLevel="1" x14ac:dyDescent="0.4">
      <c r="D122" s="1145" t="s">
        <v>201</v>
      </c>
      <c r="E122" s="776" t="s">
        <v>220</v>
      </c>
      <c r="F122" s="202"/>
      <c r="G122" s="202"/>
      <c r="H122" s="202"/>
      <c r="I122" s="260">
        <f t="shared" si="11"/>
        <v>20.930000000000003</v>
      </c>
      <c r="J122" s="259"/>
      <c r="K122" s="253">
        <f>K53+K82</f>
        <v>20.930000000000003</v>
      </c>
      <c r="L122" s="255"/>
      <c r="M122" s="255"/>
      <c r="N122" s="259"/>
      <c r="O122" s="980">
        <f t="shared" si="12"/>
        <v>0</v>
      </c>
      <c r="P122" s="638"/>
      <c r="Q122" s="638"/>
      <c r="R122" s="255"/>
      <c r="S122" s="259"/>
      <c r="T122" s="260">
        <f t="shared" si="13"/>
        <v>28.340000000000003</v>
      </c>
      <c r="U122" s="255"/>
      <c r="V122" s="253">
        <f t="shared" ref="V122" si="16">V53+V82</f>
        <v>28.340000000000003</v>
      </c>
      <c r="W122" s="255"/>
      <c r="X122" s="255"/>
      <c r="Y122" s="633">
        <f t="shared" si="14"/>
        <v>28.794999999999998</v>
      </c>
      <c r="Z122" s="255"/>
      <c r="AA122" s="253">
        <f>AA53+AA82</f>
        <v>28.794999999999998</v>
      </c>
      <c r="AB122" s="255"/>
      <c r="AC122" s="255"/>
    </row>
    <row r="123" spans="4:30" ht="47.1" customHeight="1" outlineLevel="1" x14ac:dyDescent="0.4">
      <c r="D123" s="1145"/>
      <c r="E123" s="776" t="s">
        <v>203</v>
      </c>
      <c r="F123" s="202"/>
      <c r="G123" s="202"/>
      <c r="H123" s="202"/>
      <c r="I123" s="260">
        <f t="shared" si="11"/>
        <v>43.550000000000004</v>
      </c>
      <c r="J123" s="259"/>
      <c r="K123" s="253">
        <f>K54+K83</f>
        <v>43.550000000000004</v>
      </c>
      <c r="L123" s="255"/>
      <c r="M123" s="255"/>
      <c r="N123" s="259"/>
      <c r="O123" s="980">
        <f t="shared" si="12"/>
        <v>38.285000000000004</v>
      </c>
      <c r="P123" s="643"/>
      <c r="Q123" s="253">
        <f>Q54+Q83</f>
        <v>38.285000000000004</v>
      </c>
      <c r="R123" s="255"/>
      <c r="S123" s="259"/>
      <c r="T123" s="260">
        <f t="shared" si="13"/>
        <v>0</v>
      </c>
      <c r="U123" s="255"/>
      <c r="V123" s="255"/>
      <c r="W123" s="255"/>
      <c r="X123" s="255"/>
      <c r="Y123" s="633">
        <f t="shared" si="14"/>
        <v>54.989999999999995</v>
      </c>
      <c r="Z123" s="255"/>
      <c r="AA123" s="253">
        <f>AA54+AA83</f>
        <v>54.989999999999995</v>
      </c>
      <c r="AB123" s="255"/>
      <c r="AC123" s="255"/>
    </row>
    <row r="127" spans="4:30" x14ac:dyDescent="0.2">
      <c r="J127" s="593">
        <f>J121*'D.1. Facteur d''émissions'!C8*'A.1. Conso_bâtiment_EF H2'!J13</f>
        <v>383.71545600000002</v>
      </c>
      <c r="K127">
        <f>K121*J13*'D.1. Facteur d''émissions'!C15</f>
        <v>81.234684000000001</v>
      </c>
      <c r="L127" s="593">
        <f>J127+K127</f>
        <v>464.95014000000003</v>
      </c>
      <c r="M127">
        <f>L127/1000</f>
        <v>0.46495014000000001</v>
      </c>
      <c r="P127" s="593">
        <f>P121*'D.1. Facteur d''émissions'!$C$8*'A.1. Conso_bâtiment_EF H2'!$J$13</f>
        <v>387.98662499999995</v>
      </c>
      <c r="Q127">
        <f>Q121*$J$13*'D.1. Facteur d''émissions'!$C$15</f>
        <v>50.988960000000013</v>
      </c>
      <c r="R127" s="593">
        <f>P127+Q127</f>
        <v>438.97558499999997</v>
      </c>
      <c r="S127">
        <f>R127/1000</f>
        <v>0.43897558499999995</v>
      </c>
    </row>
    <row r="129" spans="16:18" x14ac:dyDescent="0.2">
      <c r="P129" s="593">
        <f>O123*71</f>
        <v>2718.2350000000001</v>
      </c>
      <c r="R129" s="593"/>
    </row>
    <row r="131" spans="16:18" ht="18" x14ac:dyDescent="0.25">
      <c r="P131" s="1098">
        <f>(P121*K13*'D.1. Facteur d''émissions'!$C$8)/1000</f>
        <v>0.24817162499999998</v>
      </c>
      <c r="Q131" s="1099">
        <f>(Q121*K13*'D.1. Facteur d''émissions'!$C$11)/1000</f>
        <v>2.3448744000000001E-2</v>
      </c>
    </row>
    <row r="132" spans="16:18" x14ac:dyDescent="0.2">
      <c r="P132" s="61">
        <f>-(Q123*'D.1. Facteur d''émissions'!$C$15-'A.1. Conso_bâtiment_EF H3'!P106*'D.1. Facteur d''émissions'!$C$8)/(Q123*'D.1. Facteur d''émissions'!$C$15)</f>
        <v>6.6122704939811667</v>
      </c>
    </row>
  </sheetData>
  <mergeCells count="41">
    <mergeCell ref="I30:M30"/>
    <mergeCell ref="O30:R30"/>
    <mergeCell ref="T30:X30"/>
    <mergeCell ref="Y30:AC30"/>
    <mergeCell ref="J31:M31"/>
    <mergeCell ref="P31:R31"/>
    <mergeCell ref="U31:X31"/>
    <mergeCell ref="Z31:AC31"/>
    <mergeCell ref="D63:D75"/>
    <mergeCell ref="D76:D77"/>
    <mergeCell ref="AM33:AO33"/>
    <mergeCell ref="D34:D46"/>
    <mergeCell ref="D47:D48"/>
    <mergeCell ref="D51:D52"/>
    <mergeCell ref="D53:D54"/>
    <mergeCell ref="I59:M59"/>
    <mergeCell ref="O59:R59"/>
    <mergeCell ref="T59:X59"/>
    <mergeCell ref="Y59:AC59"/>
    <mergeCell ref="Y99:AC99"/>
    <mergeCell ref="J60:M60"/>
    <mergeCell ref="P60:R60"/>
    <mergeCell ref="U60:X60"/>
    <mergeCell ref="Z60:AC60"/>
    <mergeCell ref="D80:D81"/>
    <mergeCell ref="D82:D83"/>
    <mergeCell ref="I99:M99"/>
    <mergeCell ref="O99:R99"/>
    <mergeCell ref="T99:X99"/>
    <mergeCell ref="D122:D123"/>
    <mergeCell ref="J100:M100"/>
    <mergeCell ref="P100:R100"/>
    <mergeCell ref="U100:X100"/>
    <mergeCell ref="Z100:AC100"/>
    <mergeCell ref="AI100:AJ100"/>
    <mergeCell ref="AK100:AL100"/>
    <mergeCell ref="D103:D115"/>
    <mergeCell ref="D116:D117"/>
    <mergeCell ref="D120:D121"/>
    <mergeCell ref="AE100:AF100"/>
    <mergeCell ref="AG100:AH10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F30BA-2EBD-4B63-8AAC-3DDD41F703E3}">
  <sheetPr>
    <tabColor theme="5" tint="0.79998168889431442"/>
  </sheetPr>
  <dimension ref="A3:AE119"/>
  <sheetViews>
    <sheetView showGridLines="0" topLeftCell="P20" zoomScale="55" zoomScaleNormal="55" workbookViewId="0">
      <selection activeCell="AE72" sqref="AE72"/>
    </sheetView>
  </sheetViews>
  <sheetFormatPr baseColWidth="10" defaultColWidth="11" defaultRowHeight="15" x14ac:dyDescent="0.25"/>
  <cols>
    <col min="1" max="1" width="13.875" style="104" customWidth="1"/>
    <col min="2" max="2" width="3.625" style="104" customWidth="1"/>
    <col min="3" max="3" width="1.875" style="104" customWidth="1"/>
    <col min="4" max="4" width="53.375" style="104" customWidth="1"/>
    <col min="5" max="6" width="17.875" style="104" customWidth="1"/>
    <col min="7" max="7" width="20.375" style="104" customWidth="1"/>
    <col min="8" max="16" width="16.25" style="104" customWidth="1"/>
    <col min="17" max="17" width="4" style="104" customWidth="1"/>
    <col min="18" max="18" width="3.25" style="104" customWidth="1"/>
    <col min="19" max="19" width="52.5" style="104" customWidth="1"/>
    <col min="20" max="21" width="19.375" style="104" customWidth="1"/>
    <col min="22" max="22" width="18.375" style="104" customWidth="1"/>
    <col min="23" max="24" width="23.375" style="104" customWidth="1"/>
    <col min="25" max="25" width="18.625" style="104" bestFit="1" customWidth="1"/>
    <col min="26" max="27" width="18.625" style="104" customWidth="1"/>
    <col min="28" max="29" width="22.75" style="104" customWidth="1"/>
    <col min="30" max="16384" width="11" style="104"/>
  </cols>
  <sheetData>
    <row r="3" spans="4:30" ht="26.25" x14ac:dyDescent="0.4">
      <c r="D3" s="668" t="s">
        <v>275</v>
      </c>
    </row>
    <row r="4" spans="4:30" x14ac:dyDescent="0.25">
      <c r="S4" s="151"/>
      <c r="T4" s="152"/>
      <c r="U4" s="152"/>
    </row>
    <row r="5" spans="4:30" x14ac:dyDescent="0.25">
      <c r="T5" s="152"/>
      <c r="U5" s="152"/>
    </row>
    <row r="6" spans="4:30" x14ac:dyDescent="0.25">
      <c r="T6" s="152"/>
      <c r="U6" s="152"/>
    </row>
    <row r="7" spans="4:30" x14ac:dyDescent="0.25">
      <c r="S7" s="151"/>
      <c r="T7" s="152"/>
      <c r="U7" s="152"/>
    </row>
    <row r="8" spans="4:30" ht="24" x14ac:dyDescent="0.4">
      <c r="D8" s="669" t="s">
        <v>276</v>
      </c>
      <c r="S8" s="669" t="s">
        <v>277</v>
      </c>
      <c r="T8" s="152"/>
      <c r="U8" s="152"/>
    </row>
    <row r="11" spans="4:30" x14ac:dyDescent="0.25">
      <c r="P11" s="117"/>
    </row>
    <row r="12" spans="4:30" ht="24" x14ac:dyDescent="0.4">
      <c r="D12" s="670" t="s">
        <v>278</v>
      </c>
      <c r="P12" s="117"/>
      <c r="S12" s="670" t="s">
        <v>279</v>
      </c>
      <c r="AD12" s="121"/>
    </row>
    <row r="13" spans="4:30" x14ac:dyDescent="0.25">
      <c r="P13" s="117"/>
    </row>
    <row r="14" spans="4:30" ht="26.25" x14ac:dyDescent="0.4">
      <c r="D14" s="653" t="s">
        <v>162</v>
      </c>
      <c r="P14" s="117"/>
      <c r="S14" s="653" t="s">
        <v>162</v>
      </c>
    </row>
    <row r="15" spans="4:30" x14ac:dyDescent="0.25">
      <c r="P15" s="117"/>
    </row>
    <row r="16" spans="4:30" ht="18.75" x14ac:dyDescent="0.3">
      <c r="D16" s="96"/>
      <c r="E16" s="1154" t="s">
        <v>280</v>
      </c>
      <c r="F16" s="1154"/>
      <c r="G16" s="1154"/>
      <c r="H16" s="1154"/>
      <c r="I16" s="1154"/>
      <c r="J16" s="1154"/>
      <c r="K16" s="1154"/>
      <c r="L16" s="1154"/>
      <c r="M16" s="1154"/>
      <c r="N16" s="193"/>
      <c r="O16" s="193"/>
      <c r="P16" s="113"/>
      <c r="S16" s="96"/>
      <c r="T16" s="1154" t="s">
        <v>280</v>
      </c>
      <c r="U16" s="1154"/>
      <c r="V16" s="1154"/>
      <c r="W16" s="1154"/>
      <c r="X16" s="1154"/>
      <c r="Y16" s="1154"/>
      <c r="Z16" s="1154"/>
      <c r="AA16" s="1154"/>
      <c r="AB16" s="1154"/>
      <c r="AC16" s="1086"/>
    </row>
    <row r="17" spans="2:29" ht="15.75" x14ac:dyDescent="0.25">
      <c r="D17" s="96"/>
      <c r="E17" s="96"/>
      <c r="F17" s="96"/>
      <c r="G17" s="96"/>
      <c r="H17" s="96"/>
      <c r="I17" s="96"/>
      <c r="J17" s="96"/>
      <c r="K17" s="96"/>
      <c r="L17" s="96"/>
      <c r="M17" s="96"/>
      <c r="N17" s="96"/>
      <c r="O17" s="96"/>
      <c r="P17" s="114"/>
      <c r="S17" s="96"/>
      <c r="T17" s="96"/>
      <c r="U17" s="96"/>
      <c r="V17" s="96"/>
      <c r="W17" s="96"/>
      <c r="X17" s="96"/>
      <c r="Y17" s="96"/>
      <c r="Z17" s="96"/>
      <c r="AA17" s="96"/>
      <c r="AB17" s="96"/>
      <c r="AC17" s="96"/>
    </row>
    <row r="18" spans="2:29" ht="75" x14ac:dyDescent="0.25">
      <c r="B18" s="105"/>
      <c r="C18" s="105"/>
      <c r="D18" s="106"/>
      <c r="E18" s="111" t="s">
        <v>182</v>
      </c>
      <c r="F18" s="111" t="s">
        <v>185</v>
      </c>
      <c r="G18" s="111" t="s">
        <v>186</v>
      </c>
      <c r="H18" s="111" t="s">
        <v>281</v>
      </c>
      <c r="I18" s="111" t="s">
        <v>282</v>
      </c>
      <c r="J18" s="657" t="s">
        <v>189</v>
      </c>
      <c r="K18" s="111" t="s">
        <v>190</v>
      </c>
      <c r="L18" s="112" t="s">
        <v>283</v>
      </c>
      <c r="M18" s="111" t="s">
        <v>191</v>
      </c>
      <c r="N18" s="194"/>
      <c r="O18" s="194"/>
      <c r="P18" s="115"/>
      <c r="Q18" s="105"/>
      <c r="R18" s="105"/>
      <c r="S18" s="106"/>
      <c r="T18" s="111" t="s">
        <v>182</v>
      </c>
      <c r="U18" s="111" t="s">
        <v>185</v>
      </c>
      <c r="V18" s="111" t="s">
        <v>186</v>
      </c>
      <c r="W18" s="111" t="s">
        <v>281</v>
      </c>
      <c r="X18" s="111" t="s">
        <v>282</v>
      </c>
      <c r="Y18" s="657" t="s">
        <v>189</v>
      </c>
      <c r="Z18" s="111" t="s">
        <v>190</v>
      </c>
      <c r="AA18" s="112" t="s">
        <v>283</v>
      </c>
      <c r="AB18" s="111" t="s">
        <v>191</v>
      </c>
      <c r="AC18" s="111" t="s">
        <v>734</v>
      </c>
    </row>
    <row r="19" spans="2:29" ht="30.95" customHeight="1" x14ac:dyDescent="0.35">
      <c r="B19" s="1157" t="s">
        <v>284</v>
      </c>
      <c r="D19" s="258" t="s">
        <v>182</v>
      </c>
      <c r="E19" s="658" t="s">
        <v>285</v>
      </c>
      <c r="F19" s="107">
        <f>('A.1. Conso_bâtiment_EF H2'!I104/'A.1. Conso_bâtiment_EF H2'!I103)-1</f>
        <v>-4.9535603715170073E-2</v>
      </c>
      <c r="G19" s="107">
        <f>('A.1. Conso_bâtiment_EF H2'!I106/('A.1. Conso_bâtiment_EF H2'!I103)-1)</f>
        <v>-0.25077399380804954</v>
      </c>
      <c r="H19" s="107">
        <f>('A.1. Conso_bâtiment_EF H2'!J107+('A.1. Conso_bâtiment_EF H2'!K107*'D.1. Facteur d''émissions'!C47))/('A.1. Conso_bâtiment_EF H2'!I103)-1</f>
        <v>-0.30874613003095963</v>
      </c>
      <c r="I19" s="107">
        <f>(('A.1. Conso_bâtiment_EF H2'!J108)+('A.1. Conso_bâtiment_EF H2'!K108*'D.1. Facteur d''émissions'!C47))/('A.1. Conso_bâtiment_EF H2'!I103)-1</f>
        <v>-0.30286377708978318</v>
      </c>
      <c r="J19" s="656"/>
      <c r="K19" s="107">
        <f>(('A.1. Conso_bâtiment_EF H2'!J110)+('A.1. Conso_bâtiment_EF H2'!K110*'D.1. Facteur d''émissions'!C47))/('A.1. Conso_bâtiment_EF H2'!I103)-1</f>
        <v>-0.47074303405572759</v>
      </c>
      <c r="L19" s="656"/>
      <c r="M19" s="107">
        <f>('A.1. Conso_bâtiment_EF H2'!I111)/('A.1. Conso_bâtiment_EF H2'!I103)-1</f>
        <v>-0.30263157894736836</v>
      </c>
      <c r="N19" s="706"/>
      <c r="O19" s="191"/>
      <c r="P19" s="114"/>
      <c r="Q19" s="1157" t="s">
        <v>284</v>
      </c>
      <c r="S19" s="258" t="s">
        <v>182</v>
      </c>
      <c r="T19" s="658" t="s">
        <v>285</v>
      </c>
      <c r="U19" s="107">
        <f>F19</f>
        <v>-4.9535603715170073E-2</v>
      </c>
      <c r="V19" s="107">
        <f>G19</f>
        <v>-0.25077399380804954</v>
      </c>
      <c r="W19" s="107">
        <f>-(('A.1. Conso_bâtiment_EF H2'!J103*'D.1. Facteur d''émissions'!C8)-(('A.1. Conso_bâtiment_EF H2'!K107*'D.1. Facteur d''émissions'!C15)+('A.1. Conso_bâtiment_EF H2'!J107*'D.1. Facteur d''émissions'!C8)))/('A.1. Conso_bâtiment_EF H2'!J103*'D.1. Facteur d''émissions'!C8)</f>
        <v>-0.73390481495394899</v>
      </c>
      <c r="X19" s="107">
        <f>-(('A.1. Conso_bâtiment_EF H2'!J103*'D.1. Facteur d''émissions'!C8)-(('A.1. Conso_bâtiment_EF H2'!K108*'D.1. Facteur d''émissions'!C15)+('A.1. Conso_bâtiment_EF H2'!J108*'D.1. Facteur d''émissions'!C8)))/('A.1. Conso_bâtiment_EF H2'!J103*'D.1. Facteur d''émissions'!C8)</f>
        <v>-0.42865979247898217</v>
      </c>
      <c r="Y19" s="656"/>
      <c r="Z19" s="107">
        <f>-(('A.1. Conso_bâtiment_EF H2'!J103*'D.1. Facteur d''émissions'!C8)-(('A.1. Conso_bâtiment_EF H2'!K110*'D.1. Facteur d''émissions'!C15)+('A.1. Conso_bâtiment_EF H2'!J110*'D.1. Facteur d''émissions'!C8)))/('A.1. Conso_bâtiment_EF H2'!J103*'D.1. Facteur d''émissions'!C8)</f>
        <v>-0.75099744808736091</v>
      </c>
      <c r="AA19" s="656"/>
      <c r="AB19" s="107">
        <f>M19</f>
        <v>-0.30263157894736836</v>
      </c>
      <c r="AC19" s="107">
        <f>-(('A.1. Conso_bâtiment_EF H2'!J103*'D.1. Facteur d''émissions'!C8)-(('A.1. Conso_bâtiment_EF H2'!K122*'D.1. Facteur d''émissions'!C15)))/('A.1. Conso_bâtiment_EF H2'!J103*'D.1. Facteur d''émissions'!C8)</f>
        <v>-0.93951837506638858</v>
      </c>
    </row>
    <row r="20" spans="2:29" ht="30.95" customHeight="1" x14ac:dyDescent="0.35">
      <c r="B20" s="1157"/>
      <c r="D20" s="258" t="s">
        <v>185</v>
      </c>
      <c r="E20" s="659" t="s">
        <v>286</v>
      </c>
      <c r="F20" s="658" t="s">
        <v>287</v>
      </c>
      <c r="G20" s="107">
        <f>('A.1. Conso_bâtiment_EF H2'!I106*'D.1. Facteur d''émissions'!C37)/('A.1. Conso_bâtiment_EF H2'!I104*'D.1. Facteur d''émissions'!C37)-1</f>
        <v>-0.21172638436482094</v>
      </c>
      <c r="H20" s="107">
        <f>(('A.1. Conso_bâtiment_EF H2'!J107)+('A.1. Conso_bâtiment_EF H2'!K107*'D.1. Facteur d''émissions'!C47))/('A.1. Conso_bâtiment_EF H2'!I104)-1</f>
        <v>-0.27271986970684048</v>
      </c>
      <c r="I20" s="107">
        <f>(('A.1. Conso_bâtiment_EF H2'!J108)+('A.1. Conso_bâtiment_EF H2'!K108*'D.1. Facteur d''émissions'!C47))/('A.1. Conso_bâtiment_EF H2'!I104)-1</f>
        <v>-0.26653094462540716</v>
      </c>
      <c r="J20" s="656"/>
      <c r="K20" s="107">
        <f>(('A.1. Conso_bâtiment_EF H2'!J110)+('A.1. Conso_bâtiment_EF H2'!K110*'D.1. Facteur d''émissions'!C47))/('A.1. Conso_bâtiment_EF H2'!I104)-1</f>
        <v>-0.44315960912052121</v>
      </c>
      <c r="L20" s="656"/>
      <c r="M20" s="107">
        <f>('A.1. Conso_bâtiment_EF H2'!I111)/('A.1. Conso_bâtiment_EF H2'!I104)-1</f>
        <v>-0.26628664495114018</v>
      </c>
      <c r="N20" s="706"/>
      <c r="O20" s="706"/>
      <c r="P20" s="114"/>
      <c r="Q20" s="1157"/>
      <c r="S20" s="258" t="s">
        <v>185</v>
      </c>
      <c r="T20" s="659" t="s">
        <v>286</v>
      </c>
      <c r="U20" s="658" t="s">
        <v>287</v>
      </c>
      <c r="V20" s="107">
        <f>G20</f>
        <v>-0.21172638436482094</v>
      </c>
      <c r="W20" s="107">
        <f>-(('A.1. Conso_bâtiment_EF H2'!J104*'D.1. Facteur d''émissions'!C8)-(('A.1. Conso_bâtiment_EF H2'!K107*'D.1. Facteur d''émissions'!C15)+('A.1. Conso_bâtiment_EF H2'!J107*'D.1. Facteur d''émissions'!C8)))/('A.1. Conso_bâtiment_EF H2'!J104*'D.1. Facteur d''émissions'!C8)</f>
        <v>-0.72003666198737959</v>
      </c>
      <c r="X20" s="107">
        <f>-(('A.1. Conso_bâtiment_EF H2'!J104*'D.1. Facteur d''émissions'!C8)-(('A.1. Conso_bâtiment_EF H2'!K108*'D.1. Facteur d''émissions'!C15)+('A.1. Conso_bâtiment_EF H2'!J108*'D.1. Facteur d''émissions'!C8)))/('A.1. Conso_bâtiment_EF H2'!J104*'D.1. Facteur d''émissions'!C8)</f>
        <v>-0.39888310413912476</v>
      </c>
      <c r="Y20" s="656"/>
      <c r="Z20" s="107">
        <f>-(('A.1. Conso_bâtiment_EF H2'!J104*'D.1. Facteur d''émissions'!C8)-(('A.1. Conso_bâtiment_EF H2'!K110*'D.1. Facteur d''émissions'!C15)+('A.1. Conso_bâtiment_EF H2'!J110*'D.1. Facteur d''émissions'!C8)))/('A.1. Conso_bâtiment_EF H2'!J104*'D.1. Facteur d''émissions'!C8)</f>
        <v>-0.73802011639158815</v>
      </c>
      <c r="AA20" s="656"/>
      <c r="AB20" s="107">
        <f>M20</f>
        <v>-0.26628664495114018</v>
      </c>
      <c r="AC20" s="107">
        <f>-(('A.1. Conso_bâtiment_EF H2'!J103*'D.1. Facteur d''émissions'!C8)-(('A.1. Conso_bâtiment_EF H2'!K122*'D.1. Facteur d''émissions'!C15)))/('A.1. Conso_bâtiment_EF H2'!J103*'D.1. Facteur d''émissions'!C8)</f>
        <v>-0.93951837506638858</v>
      </c>
    </row>
    <row r="21" spans="2:29" ht="30.95" customHeight="1" x14ac:dyDescent="0.35">
      <c r="B21" s="1157"/>
      <c r="D21" s="258" t="s">
        <v>186</v>
      </c>
      <c r="E21" s="659" t="s">
        <v>286</v>
      </c>
      <c r="F21" s="659" t="s">
        <v>286</v>
      </c>
      <c r="G21" s="658" t="s">
        <v>285</v>
      </c>
      <c r="H21" s="108">
        <f>('A.1. Conso_bâtiment_EF H2'!J107+'A.1. Conso_bâtiment_EF H2'!K107*'D.1. Facteur d''émissions'!C47)/('A.1. Conso_bâtiment_EF H2'!I106)-1</f>
        <v>-7.7376033057851235E-2</v>
      </c>
      <c r="I21" s="108">
        <f>(('A.1. Conso_bâtiment_EF H2'!J108)+('A.1. Conso_bâtiment_EF H2'!K108*'D.1. Facteur d''émissions'!C47))/('A.1. Conso_bâtiment_EF H2'!I106)-1</f>
        <v>-6.9524793388429651E-2</v>
      </c>
      <c r="J21" s="656"/>
      <c r="K21" s="107">
        <f>(('A.1. Conso_bâtiment_EF H2'!J110)+('A.1. Conso_bâtiment_EF H2'!K110*'D.1. Facteur d''émissions'!C47))/('A.1. Conso_bâtiment_EF H2'!I106)-1</f>
        <v>-0.29359504132231407</v>
      </c>
      <c r="L21" s="656"/>
      <c r="M21" s="107">
        <f>('A.1. Conso_bâtiment_EF H2'!I111)/('A.1. Conso_bâtiment_EF H2'!I106)-1</f>
        <v>-6.9214876033057871E-2</v>
      </c>
      <c r="N21" s="191"/>
      <c r="O21" s="191"/>
      <c r="P21" s="114"/>
      <c r="Q21" s="1157"/>
      <c r="S21" s="258" t="s">
        <v>186</v>
      </c>
      <c r="T21" s="659" t="s">
        <v>286</v>
      </c>
      <c r="U21" s="659" t="s">
        <v>286</v>
      </c>
      <c r="V21" s="658" t="s">
        <v>285</v>
      </c>
      <c r="W21" s="108">
        <f>-(('A.1. Conso_bâtiment_EF H2'!J106*'D.1. Facteur d''émissions'!C8)-(('A.1. Conso_bâtiment_EF H2'!K107*'D.1. Facteur d''émissions'!C15)+('A.1. Conso_bâtiment_EF H2'!J107*'D.1. Facteur d''émissions'!C8)))/('A.1. Conso_bâtiment_EF H2'!J106*'D.1. Facteur d''émissions'!C8)</f>
        <v>-0.64483989764514682</v>
      </c>
      <c r="X21" s="108">
        <f>-(('A.1. Conso_bâtiment_EF H2'!J106*'D.1. Facteur d''émissions'!C8)-(('A.1. Conso_bâtiment_EF H2'!K108*'D.1. Facteur d''émissions'!C15)+('A.1. Conso_bâtiment_EF H2'!J108*'D.1. Facteur d''émissions'!C8)))/('A.1. Conso_bâtiment_EF H2'!J106*'D.1. Facteur d''émissions'!C8)</f>
        <v>-0.23742608665583162</v>
      </c>
      <c r="Y21" s="656"/>
      <c r="Z21" s="107">
        <f>-(('A.1. Conso_bâtiment_EF H2'!J106*'D.1. Facteur d''émissions'!C8)-(('A.1. Conso_bâtiment_EF H2'!K110*'D.1. Facteur d''émissions'!C15)+('A.1. Conso_bâtiment_EF H2'!J110*'D.1. Facteur d''émissions'!C8)))/('A.1. Conso_bâtiment_EF H2'!J106*'D.1. Facteur d''émissions'!C8)</f>
        <v>-0.66765361872817175</v>
      </c>
      <c r="AA21" s="656"/>
      <c r="AB21" s="107">
        <f>M21</f>
        <v>-6.9214876033057871E-2</v>
      </c>
      <c r="AC21" s="652"/>
    </row>
    <row r="22" spans="2:29" ht="30.95" customHeight="1" x14ac:dyDescent="0.35">
      <c r="B22" s="1157"/>
      <c r="D22" s="258" t="s">
        <v>288</v>
      </c>
      <c r="E22" s="659" t="s">
        <v>286</v>
      </c>
      <c r="F22" s="659" t="s">
        <v>286</v>
      </c>
      <c r="G22" s="659" t="s">
        <v>286</v>
      </c>
      <c r="H22" s="658" t="s">
        <v>285</v>
      </c>
      <c r="I22" s="658" t="s">
        <v>285</v>
      </c>
      <c r="J22" s="656"/>
      <c r="K22" s="107">
        <f>(('A.1. Conso_bâtiment_EF H2'!J110)+('A.1. Conso_bâtiment_EF H2'!K110*'D.1. Facteur d''émissions'!C47))/('A.1. Conso_bâtiment_EF H2'!J107+'A.1. Conso_bâtiment_EF H2'!K107*'D.1. Facteur d''émissions'!C47)-1</f>
        <v>-0.23435225618631739</v>
      </c>
      <c r="L22" s="656"/>
      <c r="M22" s="659" t="s">
        <v>286</v>
      </c>
      <c r="N22" s="192"/>
      <c r="O22" s="192"/>
      <c r="P22" s="114"/>
      <c r="Q22" s="1157"/>
      <c r="S22" s="258" t="s">
        <v>288</v>
      </c>
      <c r="T22" s="659" t="s">
        <v>286</v>
      </c>
      <c r="U22" s="659" t="s">
        <v>286</v>
      </c>
      <c r="V22" s="659" t="s">
        <v>286</v>
      </c>
      <c r="W22" s="658" t="s">
        <v>285</v>
      </c>
      <c r="X22" s="658" t="s">
        <v>285</v>
      </c>
      <c r="Y22" s="656"/>
      <c r="Z22" s="659"/>
      <c r="AA22" s="656"/>
      <c r="AB22" s="659" t="s">
        <v>286</v>
      </c>
      <c r="AC22" s="671"/>
    </row>
    <row r="23" spans="2:29" ht="30.95" customHeight="1" x14ac:dyDescent="0.35">
      <c r="B23" s="1157"/>
      <c r="D23" s="258" t="s">
        <v>289</v>
      </c>
      <c r="E23" s="659" t="s">
        <v>286</v>
      </c>
      <c r="F23" s="659" t="s">
        <v>286</v>
      </c>
      <c r="G23" s="659" t="s">
        <v>286</v>
      </c>
      <c r="H23" s="659" t="s">
        <v>286</v>
      </c>
      <c r="I23" s="658" t="s">
        <v>287</v>
      </c>
      <c r="J23" s="656"/>
      <c r="K23" s="659" t="s">
        <v>286</v>
      </c>
      <c r="L23" s="656"/>
      <c r="M23" s="659" t="s">
        <v>286</v>
      </c>
      <c r="N23" s="192"/>
      <c r="O23" s="192"/>
      <c r="P23" s="114"/>
      <c r="Q23" s="1157"/>
      <c r="S23" s="258" t="s">
        <v>289</v>
      </c>
      <c r="T23" s="659"/>
      <c r="U23" s="659"/>
      <c r="V23" s="659"/>
      <c r="W23" s="658" t="s">
        <v>285</v>
      </c>
      <c r="X23" s="658" t="s">
        <v>285</v>
      </c>
      <c r="Y23" s="656"/>
      <c r="Z23" s="659" t="s">
        <v>286</v>
      </c>
      <c r="AA23" s="656"/>
      <c r="AB23" s="659" t="s">
        <v>286</v>
      </c>
      <c r="AC23" s="671"/>
    </row>
    <row r="24" spans="2:29" ht="30.95" customHeight="1" x14ac:dyDescent="0.35">
      <c r="B24" s="1157"/>
      <c r="D24" s="656" t="s">
        <v>189</v>
      </c>
      <c r="E24" s="656"/>
      <c r="F24" s="656"/>
      <c r="G24" s="656"/>
      <c r="H24" s="656"/>
      <c r="I24" s="656"/>
      <c r="J24" s="656"/>
      <c r="K24" s="656"/>
      <c r="L24" s="656"/>
      <c r="M24" s="656"/>
      <c r="N24" s="96"/>
      <c r="O24" s="96"/>
      <c r="P24" s="114"/>
      <c r="Q24" s="1157"/>
      <c r="S24" s="656" t="s">
        <v>189</v>
      </c>
      <c r="T24" s="656"/>
      <c r="U24" s="656"/>
      <c r="V24" s="656"/>
      <c r="W24" s="656"/>
      <c r="X24" s="656"/>
      <c r="Y24" s="656"/>
      <c r="Z24" s="656"/>
      <c r="AA24" s="656"/>
      <c r="AB24" s="656"/>
      <c r="AC24" s="253"/>
    </row>
    <row r="25" spans="2:29" ht="30.95" customHeight="1" x14ac:dyDescent="0.35">
      <c r="B25" s="1157"/>
      <c r="D25" s="258" t="s">
        <v>190</v>
      </c>
      <c r="E25" s="659" t="s">
        <v>286</v>
      </c>
      <c r="F25" s="659" t="s">
        <v>286</v>
      </c>
      <c r="G25" s="659" t="s">
        <v>286</v>
      </c>
      <c r="H25" s="660">
        <f>('A.1. Conso_bâtiment_EF H2'!J107+'A.1. Conso_bâtiment_EF H2'!K107*'D.1. Facteur d''émissions'!C47)/('A.1. Conso_bâtiment_EF H2'!J110+'A.1. Conso_bâtiment_EF H2'!K110*'D.1. Facteur d''émissions'!C47)-1</f>
        <v>0.3060836501901143</v>
      </c>
      <c r="I25" s="660">
        <f>(('A.1. Conso_bâtiment_EF H2'!J108)+('A.1. Conso_bâtiment_EF H2'!K108*'D.1. Facteur d''émissions'!C47))/(('A.1. Conso_bâtiment_EF H2'!J110)+('A.1. Conso_bâtiment_EF H2'!K110*'D.1. Facteur d''émissions'!C47))-1</f>
        <v>0.31719801111436108</v>
      </c>
      <c r="J25" s="656"/>
      <c r="K25" s="658" t="s">
        <v>287</v>
      </c>
      <c r="L25" s="656"/>
      <c r="M25" s="659" t="s">
        <v>286</v>
      </c>
      <c r="N25" s="96"/>
      <c r="O25" s="96"/>
      <c r="P25" s="114"/>
      <c r="Q25" s="1157"/>
      <c r="S25" s="258" t="s">
        <v>190</v>
      </c>
      <c r="T25" s="659" t="s">
        <v>286</v>
      </c>
      <c r="U25" s="659" t="s">
        <v>286</v>
      </c>
      <c r="V25" s="659" t="s">
        <v>286</v>
      </c>
      <c r="W25" s="659" t="s">
        <v>286</v>
      </c>
      <c r="X25" s="659" t="s">
        <v>286</v>
      </c>
      <c r="Y25" s="656"/>
      <c r="Z25" s="658" t="s">
        <v>285</v>
      </c>
      <c r="AA25" s="656"/>
      <c r="AB25" s="253"/>
      <c r="AC25" s="253"/>
    </row>
    <row r="26" spans="2:29" ht="30.95" customHeight="1" x14ac:dyDescent="0.35">
      <c r="B26" s="1157"/>
      <c r="D26" s="656" t="s">
        <v>283</v>
      </c>
      <c r="E26" s="656"/>
      <c r="F26" s="656"/>
      <c r="G26" s="656"/>
      <c r="H26" s="656"/>
      <c r="I26" s="656"/>
      <c r="J26" s="656"/>
      <c r="K26" s="656"/>
      <c r="L26" s="656"/>
      <c r="M26" s="656"/>
      <c r="N26" s="96"/>
      <c r="O26" s="96"/>
      <c r="P26" s="114"/>
      <c r="Q26" s="1157"/>
      <c r="S26" s="656" t="s">
        <v>283</v>
      </c>
      <c r="T26" s="656"/>
      <c r="U26" s="656"/>
      <c r="V26" s="656"/>
      <c r="W26" s="656"/>
      <c r="X26" s="656"/>
      <c r="Y26" s="656"/>
      <c r="Z26" s="656"/>
      <c r="AA26" s="656"/>
      <c r="AB26" s="656"/>
      <c r="AC26" s="253"/>
    </row>
    <row r="27" spans="2:29" ht="30.95" customHeight="1" x14ac:dyDescent="0.35">
      <c r="B27" s="1157"/>
      <c r="D27" s="258" t="s">
        <v>191</v>
      </c>
      <c r="E27" s="659" t="s">
        <v>286</v>
      </c>
      <c r="F27" s="659" t="s">
        <v>286</v>
      </c>
      <c r="G27" s="659" t="s">
        <v>286</v>
      </c>
      <c r="H27" s="107">
        <f>('A.1. Conso_bâtiment_EF H2'!J107+'A.1. Conso_bâtiment_EF H2'!K107*'D.1. Facteur d''émissions'!C47)/('A.1. Conso_bâtiment_EF H2'!I111)-1</f>
        <v>-8.7680355160931756E-3</v>
      </c>
      <c r="I27" s="107">
        <f>('A.1. Conso_bâtiment_EF H2'!J108+'A.1. Conso_bâtiment_EF H2'!K108*'D.1. Facteur d''émissions'!C47)/('A.1. Conso_bâtiment_EF H2'!I111)-1</f>
        <v>-3.3296337402866083E-4</v>
      </c>
      <c r="J27" s="656"/>
      <c r="K27" s="107">
        <f>(('A.1. Conso_bâtiment_EF H2'!J110)+('A.1. Conso_bâtiment_EF H2'!K110*'D.1. Facteur d''émissions'!C47))/('A.1. Conso_bâtiment_EF H2'!I111)-1</f>
        <v>-0.24106548279689233</v>
      </c>
      <c r="L27" s="656"/>
      <c r="M27" s="658" t="s">
        <v>285</v>
      </c>
      <c r="N27" s="190"/>
      <c r="O27" s="190"/>
      <c r="P27" s="114"/>
      <c r="Q27" s="1157"/>
      <c r="S27" s="258" t="s">
        <v>191</v>
      </c>
      <c r="T27" s="659" t="s">
        <v>286</v>
      </c>
      <c r="U27" s="659" t="s">
        <v>286</v>
      </c>
      <c r="V27" s="659" t="s">
        <v>286</v>
      </c>
      <c r="W27" s="107">
        <f>-(('A.1. Conso_bâtiment_EF H2'!J111*'D.1. Facteur d''émissions'!C8)-(('A.1. Conso_bâtiment_EF H2'!K107*'D.1. Facteur d''émissions'!C15)+('A.1. Conso_bâtiment_EF H2'!J107*'D.1. Facteur d''émissions'!C8)))/('A.1. Conso_bâtiment_EF H2'!J111*'D.1. Facteur d''émissions'!C8)</f>
        <v>-0.61842954597170041</v>
      </c>
      <c r="X27" s="652"/>
      <c r="Y27" s="656"/>
      <c r="Z27" s="253"/>
      <c r="AA27" s="656"/>
      <c r="AB27" s="658" t="s">
        <v>285</v>
      </c>
      <c r="AC27" s="658"/>
    </row>
    <row r="28" spans="2:29" ht="41.45" customHeight="1" x14ac:dyDescent="0.35">
      <c r="B28" s="1157"/>
      <c r="D28" s="253" t="s">
        <v>196</v>
      </c>
      <c r="E28" s="659" t="s">
        <v>286</v>
      </c>
      <c r="F28" s="107">
        <f>('A.1. Conso_bâtiment_EF H2'!I104/'A.1. Conso_bâtiment_EF H2'!L116)-1</f>
        <v>-0.14425087108013934</v>
      </c>
      <c r="G28" s="107">
        <f>('A.1. Conso_bâtiment_EF H2'!I106/'A.1. Conso_bâtiment_EF H2'!L116)-1</f>
        <v>-0.32543554006968645</v>
      </c>
      <c r="H28" s="107">
        <f>('A.1. Conso_bâtiment_EF H2'!J107+('A.1. Conso_bâtiment_EF H2'!K107*'D.1. Facteur d''émissions'!C47))/('A.1. Conso_bâtiment_EF H2'!L116)-1</f>
        <v>-0.37763066202090589</v>
      </c>
      <c r="I28" s="107">
        <f>(('A.1. Conso_bâtiment_EF H2'!J108)+('A.1. Conso_bâtiment_EF H2'!K108*'D.1. Facteur d''émissions'!C47))/('A.1. Conso_bâtiment_EF H2'!L116)-1</f>
        <v>-0.3723344947735191</v>
      </c>
      <c r="J28" s="656"/>
      <c r="K28" s="107">
        <f>(('A.1. Conso_bâtiment_EF H2'!J110)+('A.1. Conso_bâtiment_EF H2'!K110*'D.1. Facteur d''émissions'!C47))/('A.1. Conso_bâtiment_EF H2'!L116)-1</f>
        <v>-0.52348432055749128</v>
      </c>
      <c r="L28" s="656"/>
      <c r="M28" s="107">
        <f>('A.1. Conso_bâtiment_EF H2'!I111)/('A.1. Conso_bâtiment_EF H2'!L116)-1</f>
        <v>-0.37212543554006972</v>
      </c>
      <c r="P28" s="117"/>
      <c r="Q28" s="1157"/>
      <c r="S28" s="253" t="s">
        <v>196</v>
      </c>
      <c r="T28" s="659" t="s">
        <v>286</v>
      </c>
      <c r="U28" s="659" t="s">
        <v>286</v>
      </c>
      <c r="V28" s="107">
        <f>-('A.1. Conso_bâtiment_EF H2'!L116*'D.1. Facteur d''émissions'!C7-'A.1. Conso_bâtiment_EF H2'!I106*'D.1. Facteur d''émissions'!C8)/('A.1. Conso_bâtiment_EF H2'!L116*'D.1. Facteur d''émissions'!C7)</f>
        <v>-0.50240461134770087</v>
      </c>
      <c r="W28" s="107">
        <f>-(('A.1. Conso_bâtiment_EF H2'!L116*'D.1. Facteur d''émissions'!C7)-(('A.1. Conso_bâtiment_EF H2'!K107*'D.1. Facteur d''émissions'!C15)+('A.1. Conso_bâtiment_EF H2'!J107*'D.1. Facteur d''émissions'!C8)))/('A.1. Conso_bâtiment_EF H2'!L116*'D.1. Facteur d''émissions'!C7)</f>
        <v>-0.82327397083494636</v>
      </c>
      <c r="X28" s="107">
        <f>-(('A.1. Conso_bâtiment_EF H2'!L116*'D.1. Facteur d''émissions'!C7)-(('A.1. Conso_bâtiment_EF H2'!K108*'D.1. Facteur d''émissions'!C15)+('A.1. Conso_bâtiment_EF H2'!J108*'D.1. Facteur d''émissions'!C8)))/('A.1. Conso_bâtiment_EF H2'!L116*'D.1. Facteur d''émissions'!C7)</f>
        <v>-0.62054673721340381</v>
      </c>
      <c r="Y28" s="656"/>
      <c r="Z28" s="107">
        <f>-(('A.1. Conso_bâtiment_EF H2'!L116*'D.1. Facteur d''émissions'!C7)-(('A.1. Conso_bâtiment_EF H2'!K110*'D.1. Facteur d''émissions'!C15)+('A.1. Conso_bâtiment_EF H2'!J110*'D.1. Facteur d''émissions'!C8)))/('A.1. Conso_bâtiment_EF H2'!L116*'D.1. Facteur d''émissions'!C7)</f>
        <v>-0.83462597324385945</v>
      </c>
      <c r="AA28" s="656"/>
      <c r="AB28" s="107">
        <f>-('A.1. Conso_bâtiment_EF H2'!L116*'D.1. Facteur d''émissions'!C7-'A.1. Conso_bâtiment_EF H2'!I111*'D.1. Facteur d''émissions'!C8)/('A.1. Conso_bâtiment_EF H2'!L116*'D.1. Facteur d''émissions'!C7)</f>
        <v>-0.53684561448789092</v>
      </c>
      <c r="AC28" s="652">
        <f>-(('A.1. Conso_bâtiment_EF H2'!L116*'D.1. Facteur d''émissions'!C7)-(('A.1. Conso_bâtiment_EF H2'!K122*'D.1. Facteur d''émissions'!C15)))/('A.1. Conso_bâtiment_EF H2'!L116*'D.1. Facteur d''émissions'!C7)</f>
        <v>-0.95983137609153868</v>
      </c>
    </row>
    <row r="29" spans="2:29" ht="36" customHeight="1" x14ac:dyDescent="0.35">
      <c r="B29" s="1157"/>
      <c r="D29" s="253" t="s">
        <v>197</v>
      </c>
      <c r="E29" s="659" t="s">
        <v>286</v>
      </c>
      <c r="F29" s="660">
        <f>('A.1. Conso_bâtiment_EF H2'!I104/'A.1. Conso_bâtiment_EF H2'!L117)-1</f>
        <v>0.14126394052044633</v>
      </c>
      <c r="G29" s="107">
        <f>('A.1. Conso_bâtiment_EF H2'!I106/'A.1. Conso_bâtiment_EF H2'!L117)-1</f>
        <v>-0.1003717472118959</v>
      </c>
      <c r="H29" s="107">
        <f>('A.1. Conso_bâtiment_EF H2'!J107+('A.1. Conso_bâtiment_EF H2'!K107*'D.1. Facteur d''émissions'!C47))/('A.1. Conso_bâtiment_EF H2'!L117)-1</f>
        <v>-0.16998141263940514</v>
      </c>
      <c r="I29" s="107">
        <f>(('A.1. Conso_bâtiment_EF H2'!J108)+('A.1. Conso_bâtiment_EF H2'!K108*'D.1. Facteur d''émissions'!C47))/('A.1. Conso_bâtiment_EF H2'!L117)-1</f>
        <v>-0.16291821561338282</v>
      </c>
      <c r="J29" s="656"/>
      <c r="K29" s="107">
        <f>(('A.1. Conso_bâtiment_EF H2'!J110)+('A.1. Conso_bâtiment_EF H2'!K110*'D.1. Facteur d''émissions'!C47))/('A.1. Conso_bâtiment_EF H2'!L117)-1</f>
        <v>-0.36449814126394053</v>
      </c>
      <c r="L29" s="656"/>
      <c r="M29" s="107">
        <f>('A.1. Conso_bâtiment_EF H2'!I111)/('A.1. Conso_bâtiment_EF H2'!L117)-1</f>
        <v>-0.16263940520446096</v>
      </c>
      <c r="P29" s="117"/>
      <c r="Q29" s="1157"/>
      <c r="S29" s="253" t="s">
        <v>197</v>
      </c>
      <c r="T29" s="659" t="s">
        <v>286</v>
      </c>
      <c r="U29" s="659" t="s">
        <v>286</v>
      </c>
      <c r="V29" s="107">
        <f>-('A.1. Conso_bâtiment_EF H2'!L117*'D.1. Facteur d''émissions'!C7-'A.1. Conso_bâtiment_EF H2'!I106*'D.1. Facteur d''émissions'!C8)/('A.1. Conso_bâtiment_EF H2'!L117*'D.1. Facteur d''émissions'!C7)</f>
        <v>-0.3363853320482813</v>
      </c>
      <c r="W29" s="107">
        <f>-(('A.1. Conso_bâtiment_EF H2'!L117*'D.1. Facteur d''émissions'!C7)-(('A.1. Conso_bâtiment_EF H2'!K107*'D.1. Facteur d''émissions'!C15)+('A.1. Conso_bâtiment_EF H2'!J107*'D.1. Facteur d''émissions'!C8)))/('A.1. Conso_bâtiment_EF H2'!L117*'D.1. Facteur d''émissions'!C7)</f>
        <v>-0.76431054660608566</v>
      </c>
      <c r="X29" s="107">
        <f>-(('A.1. Conso_bâtiment_EF H2'!L117*'D.1. Facteur d''émissions'!C7)-(('A.1. Conso_bâtiment_EF H2'!K108*'D.1. Facteur d''émissions'!C15)+('A.1. Conso_bâtiment_EF H2'!J108*'D.1. Facteur d''émissions'!C8)))/('A.1. Conso_bâtiment_EF H2'!L117*'D.1. Facteur d''émissions'!C7)</f>
        <v>-0.49394476570746704</v>
      </c>
      <c r="Y29" s="656"/>
      <c r="Z29" s="107">
        <f>-(('A.1. Conso_bâtiment_EF H2'!L117*'D.1. Facteur d''émissions'!C7)-(('A.1. Conso_bâtiment_EF H2'!K110*'D.1. Facteur d''émissions'!C15)+('A.1. Conso_bâtiment_EF H2'!J110*'D.1. Facteur d''émissions'!C8)))/('A.1. Conso_bâtiment_EF H2'!L117*'D.1. Facteur d''émissions'!C7)</f>
        <v>-0.77945006654734039</v>
      </c>
      <c r="AA29" s="656"/>
      <c r="AB29" s="107">
        <f>-('A.1. Conso_bâtiment_EF H2'!L117*'D.1. Facteur d''émissions'!C7-'A.1. Conso_bâtiment_EF H2'!I111*'D.1. Facteur d''émissions'!C8)/('A.1. Conso_bâtiment_EF H2'!L117*'D.1. Facteur d''émissions'!C7)</f>
        <v>-0.38231733902427834</v>
      </c>
      <c r="AC29" s="652"/>
    </row>
    <row r="30" spans="2:29" ht="36" customHeight="1" x14ac:dyDescent="0.35">
      <c r="B30" s="1157"/>
      <c r="D30" s="253" t="s">
        <v>734</v>
      </c>
      <c r="E30" s="659" t="s">
        <v>286</v>
      </c>
      <c r="F30" s="660">
        <f>('A.1. Conso_bâtiment_EF H2'!I104/'A.1. Conso_bâtiment_EF H2'!K122)-1</f>
        <v>2.8136645962732918</v>
      </c>
      <c r="G30" s="660">
        <f>('A.1. Conso_bâtiment_EF H2'!I106/'A.1. Conso_bâtiment_EF H2'!K122)-1</f>
        <v>2.0062111801242231</v>
      </c>
      <c r="H30" s="660">
        <f>('A.1. Conso_bâtiment_EF H2'!J107+('A.1. Conso_bâtiment_EF H2'!K107*'D.1. Facteur d''émissions'!C47))/('A.1. Conso_bâtiment_EF H2'!K122)-1</f>
        <v>1.7736024844720495</v>
      </c>
      <c r="I30" s="660">
        <f>(('A.1. Conso_bâtiment_EF H2'!J108)+('A.1. Conso_bâtiment_EF H2'!K108*'D.1. Facteur d''émissions'!C47))/('A.1. Conso_bâtiment_EF H2'!K122)-1</f>
        <v>1.7972049689440994</v>
      </c>
      <c r="J30" s="656"/>
      <c r="K30" s="107"/>
      <c r="L30" s="656"/>
      <c r="M30" s="107"/>
      <c r="P30" s="117"/>
      <c r="Q30" s="1157"/>
      <c r="S30" s="253" t="s">
        <v>734</v>
      </c>
      <c r="T30" s="659" t="s">
        <v>286</v>
      </c>
      <c r="U30" s="659" t="s">
        <v>286</v>
      </c>
      <c r="V30" s="660">
        <f>-('A.1. Conso_bâtiment_EF H2'!K123*'D.1. Facteur d''émissions'!C15-'A.1. Conso_bâtiment_EF H2'!I106*'D.1. Facteur d''émissions'!C8)/('A.1. Conso_bâtiment_EF H2'!K122*'D.1. Facteur d''émissions'!C15)</f>
        <v>10.306917969586634</v>
      </c>
      <c r="W30" s="660">
        <f>-(('A.1. Conso_bâtiment_EF H2'!K123*'D.1. Facteur d''émissions'!C15)-(('A.1. Conso_bâtiment_EF H2'!K107*'D.1. Facteur d''émissions'!C15)+('A.1. Conso_bâtiment_EF H2'!J107*'D.1. Facteur d''émissions'!C8)))/('A.1. Conso_bâtiment_EF H2'!K122*'D.1. Facteur d''émissions'!C15)</f>
        <v>2.318858427928892</v>
      </c>
      <c r="X30" s="107"/>
      <c r="Y30" s="656"/>
      <c r="Z30" s="107"/>
      <c r="AA30" s="656"/>
      <c r="AB30" s="107"/>
      <c r="AC30" s="652"/>
    </row>
    <row r="31" spans="2:29" ht="36" customHeight="1" x14ac:dyDescent="0.35">
      <c r="B31" s="1157"/>
      <c r="D31" s="253" t="s">
        <v>735</v>
      </c>
      <c r="E31" s="659" t="s">
        <v>286</v>
      </c>
      <c r="F31" s="660">
        <f>('A.1. Conso_bâtiment_EF H2'!I104/'A.1. Conso_bâtiment_EF H2'!K123)-1</f>
        <v>0.83283582089552266</v>
      </c>
      <c r="G31" s="660">
        <f>('A.1. Conso_bâtiment_EF H2'!I106/'A.1. Conso_bâtiment_EF H2'!K123)-1</f>
        <v>0.44477611940298512</v>
      </c>
      <c r="H31" s="660">
        <f>('A.1. Conso_bâtiment_EF H2'!J107+('A.1. Conso_bâtiment_EF H2'!K107*'D.1. Facteur d''émissions'!C47))/('A.1. Conso_bâtiment_EF H2'!K123)-1</f>
        <v>0.33298507462686566</v>
      </c>
      <c r="I31" s="660">
        <f>(('A.1. Conso_bâtiment_EF H2'!J108)+('A.1. Conso_bâtiment_EF H2'!K108*'D.1. Facteur d''émissions'!C47))/('A.1. Conso_bâtiment_EF H2'!K123)-1</f>
        <v>0.34432835820895535</v>
      </c>
      <c r="J31" s="253"/>
      <c r="K31" s="652"/>
      <c r="L31" s="253"/>
      <c r="M31" s="652"/>
      <c r="P31" s="117"/>
      <c r="Q31" s="1157"/>
      <c r="S31" s="253" t="s">
        <v>735</v>
      </c>
      <c r="T31" s="659" t="s">
        <v>286</v>
      </c>
      <c r="U31" s="659" t="s">
        <v>286</v>
      </c>
      <c r="V31" s="660">
        <f>-('A.1. Conso_bâtiment_EF H2'!K123*'D.1. Facteur d''émissions'!C15-'A.1. Conso_bâtiment_EF H2'!I106*'D.1. Facteur d''émissions'!C8)/('A.1. Conso_bâtiment_EF H2'!K123*'D.1. Facteur d''émissions'!C15)</f>
        <v>4.9534740092640241</v>
      </c>
      <c r="W31" s="660">
        <f>-(('A.1. Conso_bâtiment_EF H2'!K123*'D.1. Facteur d''émissions'!C15)-(('A.1. Conso_bâtiment_EF H2'!K107*'D.1. Facteur d''émissions'!C15)+('A.1. Conso_bâtiment_EF H2'!J107*'D.1. Facteur d''émissions'!C8)))/('A.1. Conso_bâtiment_EF H2'!K123*'D.1. Facteur d''émissions'!C15)</f>
        <v>1.1144364384971692</v>
      </c>
      <c r="X31" s="107"/>
      <c r="Y31" s="656"/>
      <c r="Z31" s="107"/>
      <c r="AA31" s="656"/>
      <c r="AB31" s="107"/>
      <c r="AC31" s="652"/>
    </row>
    <row r="32" spans="2:29" ht="30" customHeight="1" x14ac:dyDescent="0.25">
      <c r="P32" s="117"/>
    </row>
    <row r="33" spans="2:31" x14ac:dyDescent="0.25">
      <c r="H33" s="135"/>
      <c r="P33" s="117"/>
    </row>
    <row r="34" spans="2:31" x14ac:dyDescent="0.25">
      <c r="P34" s="117"/>
    </row>
    <row r="35" spans="2:31" x14ac:dyDescent="0.25">
      <c r="P35" s="117"/>
    </row>
    <row r="36" spans="2:31" x14ac:dyDescent="0.25">
      <c r="P36" s="117"/>
    </row>
    <row r="37" spans="2:31" x14ac:dyDescent="0.25">
      <c r="P37" s="117"/>
    </row>
    <row r="38" spans="2:31" x14ac:dyDescent="0.25">
      <c r="P38" s="117"/>
    </row>
    <row r="39" spans="2:31" x14ac:dyDescent="0.25">
      <c r="P39" s="117"/>
    </row>
    <row r="40" spans="2:31" x14ac:dyDescent="0.25">
      <c r="P40" s="117"/>
      <c r="AE40" s="135"/>
    </row>
    <row r="41" spans="2:31" x14ac:dyDescent="0.25">
      <c r="P41" s="117"/>
    </row>
    <row r="42" spans="2:31" ht="26.25" x14ac:dyDescent="0.4">
      <c r="D42" s="653" t="s">
        <v>163</v>
      </c>
      <c r="P42" s="117"/>
      <c r="S42" s="653" t="s">
        <v>163</v>
      </c>
    </row>
    <row r="43" spans="2:31" x14ac:dyDescent="0.25">
      <c r="D43" s="118"/>
      <c r="P43" s="117"/>
      <c r="S43" s="118"/>
    </row>
    <row r="44" spans="2:31" ht="18.75" x14ac:dyDescent="0.3">
      <c r="E44" s="1154" t="s">
        <v>280</v>
      </c>
      <c r="F44" s="1154"/>
      <c r="G44" s="1154"/>
      <c r="H44" s="1154"/>
      <c r="I44" s="1154"/>
      <c r="J44" s="1154"/>
      <c r="K44" s="1154"/>
      <c r="L44" s="1154"/>
      <c r="M44" s="1154"/>
      <c r="N44" s="195"/>
      <c r="O44" s="195"/>
      <c r="P44" s="119"/>
      <c r="T44" s="1154" t="s">
        <v>280</v>
      </c>
      <c r="U44" s="1154"/>
      <c r="V44" s="1154"/>
      <c r="W44" s="1154"/>
      <c r="X44" s="1154"/>
      <c r="Y44" s="1154"/>
      <c r="Z44" s="1154"/>
      <c r="AA44" s="1154"/>
      <c r="AB44" s="1154"/>
      <c r="AC44" s="1086"/>
    </row>
    <row r="45" spans="2:31" x14ac:dyDescent="0.25">
      <c r="P45" s="117"/>
    </row>
    <row r="46" spans="2:31" s="105" customFormat="1" ht="55.5" customHeight="1" x14ac:dyDescent="0.25">
      <c r="E46" s="111" t="s">
        <v>182</v>
      </c>
      <c r="F46" s="111" t="s">
        <v>185</v>
      </c>
      <c r="G46" s="111" t="s">
        <v>186</v>
      </c>
      <c r="H46" s="112" t="s">
        <v>187</v>
      </c>
      <c r="I46" s="111" t="s">
        <v>282</v>
      </c>
      <c r="J46" s="112" t="s">
        <v>189</v>
      </c>
      <c r="K46" s="112" t="s">
        <v>190</v>
      </c>
      <c r="L46" s="112" t="s">
        <v>283</v>
      </c>
      <c r="M46" s="112" t="s">
        <v>191</v>
      </c>
      <c r="N46" s="196"/>
      <c r="O46" s="196"/>
      <c r="P46" s="116"/>
      <c r="T46" s="111" t="s">
        <v>182</v>
      </c>
      <c r="U46" s="111" t="s">
        <v>185</v>
      </c>
      <c r="V46" s="111" t="s">
        <v>186</v>
      </c>
      <c r="W46" s="112" t="s">
        <v>187</v>
      </c>
      <c r="X46" s="111" t="s">
        <v>282</v>
      </c>
      <c r="Y46" s="112" t="s">
        <v>189</v>
      </c>
      <c r="Z46" s="111" t="s">
        <v>190</v>
      </c>
      <c r="AA46" s="111" t="s">
        <v>283</v>
      </c>
      <c r="AB46" s="112" t="s">
        <v>191</v>
      </c>
      <c r="AC46" s="1128"/>
    </row>
    <row r="47" spans="2:31" ht="37.5" customHeight="1" x14ac:dyDescent="0.35">
      <c r="B47" s="1157" t="s">
        <v>284</v>
      </c>
      <c r="D47" s="258" t="s">
        <v>182</v>
      </c>
      <c r="E47" s="658" t="s">
        <v>285</v>
      </c>
      <c r="F47" s="107">
        <f>('A.1. Conso_bâtiment_EF H2'!O104)/('A.1. Conso_bâtiment_EF H2'!O103)-1</f>
        <v>-4.9964311206281198E-2</v>
      </c>
      <c r="G47" s="107">
        <f>('A.1. Conso_bâtiment_EF H2'!O106)/('A.1. Conso_bâtiment_EF H2'!O103)-1</f>
        <v>-0.28265524625267668</v>
      </c>
      <c r="H47" s="656"/>
      <c r="I47" s="107">
        <f>(('A.1. Conso_bâtiment_EF H2'!P108)+('A.1. Conso_bâtiment_EF H2'!Q108*'D.1. Facteur d''émissions'!C47))/('A.1. Conso_bâtiment_EF H2'!O103)-1</f>
        <v>-0.32869379014989286</v>
      </c>
      <c r="J47" s="656"/>
      <c r="K47" s="656"/>
      <c r="L47" s="656"/>
      <c r="M47" s="656"/>
      <c r="P47" s="117"/>
      <c r="Q47" s="1157" t="s">
        <v>284</v>
      </c>
      <c r="S47" s="258" t="s">
        <v>182</v>
      </c>
      <c r="T47" s="109" t="s">
        <v>285</v>
      </c>
      <c r="U47" s="107">
        <f>F47</f>
        <v>-4.9964311206281198E-2</v>
      </c>
      <c r="V47" s="107">
        <f>G47</f>
        <v>-0.28265524625267668</v>
      </c>
      <c r="W47" s="120"/>
      <c r="X47" s="107">
        <f>-(('A.1. Conso_bâtiment_EF H2'!P103*'D.1. Facteur d''émissions'!C8)-(('A.1. Conso_bâtiment_EF H2'!Q108*'D.1. Facteur d''émissions'!C15)+('A.1. Conso_bâtiment_EF H2'!P108*'D.1. Facteur d''émissions'!C8)))/('A.1. Conso_bâtiment_EF H2'!P103*'D.1. Facteur d''émissions'!C8)</f>
        <v>-0.43882881026403725</v>
      </c>
      <c r="Y47" s="120"/>
      <c r="Z47" s="120"/>
      <c r="AA47" s="120"/>
      <c r="AB47" s="120"/>
      <c r="AC47" s="1129"/>
    </row>
    <row r="48" spans="2:31" ht="37.5" customHeight="1" x14ac:dyDescent="0.35">
      <c r="B48" s="1157"/>
      <c r="D48" s="258" t="s">
        <v>185</v>
      </c>
      <c r="E48" s="659" t="s">
        <v>286</v>
      </c>
      <c r="F48" s="658" t="s">
        <v>285</v>
      </c>
      <c r="G48" s="107">
        <f>('A.1. Conso_bâtiment_EF H2'!O106)/('A.1. Conso_bâtiment_EF H2'!O104)-1</f>
        <v>-0.24492862509391433</v>
      </c>
      <c r="H48" s="656"/>
      <c r="I48" s="107">
        <f>(('A.1. Conso_bâtiment_EF H2'!P108)+('A.1. Conso_bâtiment_EF H2'!Q108*'D.1. Facteur d''émissions'!C47))/('A.1. Conso_bâtiment_EF H2'!O104)-1</f>
        <v>-0.29338842975206603</v>
      </c>
      <c r="J48" s="656"/>
      <c r="K48" s="656"/>
      <c r="L48" s="656"/>
      <c r="M48" s="656"/>
      <c r="P48" s="117"/>
      <c r="Q48" s="1157"/>
      <c r="S48" s="258" t="s">
        <v>185</v>
      </c>
      <c r="T48" s="109"/>
      <c r="U48" s="658" t="s">
        <v>285</v>
      </c>
      <c r="V48" s="107">
        <f>G48</f>
        <v>-0.24492862509391433</v>
      </c>
      <c r="W48" s="120"/>
      <c r="X48" s="107">
        <f>-(('A.1. Conso_bâtiment_EF H2'!P104*'D.1. Facteur d''émissions'!C8)-(('A.1. Conso_bâtiment_EF H2'!Q108*'D.1. Facteur d''émissions'!C15)+('A.1. Conso_bâtiment_EF H2'!P108*'D.1. Facteur d''émissions'!C8)))/('A.1. Conso_bâtiment_EF H2'!P104*'D.1. Facteur d''émissions'!C8)</f>
        <v>-0.40931567481586489</v>
      </c>
      <c r="Y48" s="120"/>
      <c r="Z48" s="120"/>
      <c r="AA48" s="120"/>
      <c r="AB48" s="120"/>
      <c r="AC48" s="1129"/>
    </row>
    <row r="49" spans="2:29" ht="37.5" customHeight="1" x14ac:dyDescent="0.35">
      <c r="B49" s="1157"/>
      <c r="D49" s="258" t="s">
        <v>186</v>
      </c>
      <c r="E49" s="659" t="s">
        <v>286</v>
      </c>
      <c r="F49" s="659" t="s">
        <v>286</v>
      </c>
      <c r="G49" s="658" t="s">
        <v>285</v>
      </c>
      <c r="H49" s="656"/>
      <c r="I49" s="107">
        <f>(('A.1. Conso_bâtiment_EF H2'!P108)+('A.1. Conso_bâtiment_EF H2'!Q108*'D.1. Facteur d''émissions'!C47))/('A.1. Conso_bâtiment_EF H2'!O106)-1</f>
        <v>-6.4179104477611881E-2</v>
      </c>
      <c r="J49" s="656"/>
      <c r="K49" s="656"/>
      <c r="L49" s="656"/>
      <c r="M49" s="656"/>
      <c r="P49" s="117"/>
      <c r="Q49" s="1157"/>
      <c r="S49" s="258" t="s">
        <v>186</v>
      </c>
      <c r="T49" s="110" t="s">
        <v>286</v>
      </c>
      <c r="U49" s="110"/>
      <c r="V49" s="109" t="s">
        <v>285</v>
      </c>
      <c r="W49" s="120"/>
      <c r="X49" s="107">
        <f>-(('A.1. Conso_bâtiment_EF H2'!P106*'D.1. Facteur d''émissions'!C8)-(('A.1. Conso_bâtiment_EF H2'!Q108*'D.1. Facteur d''émissions'!C15)+('A.1. Conso_bâtiment_EF H2'!P108*'D.1. Facteur d''émissions'!C8)))/('A.1. Conso_bâtiment_EF H2'!P106*'D.1. Facteur d''émissions'!C8)</f>
        <v>-0.2177106101292699</v>
      </c>
      <c r="Y49" s="120"/>
      <c r="Z49" s="120"/>
      <c r="AA49" s="120"/>
      <c r="AB49" s="120"/>
      <c r="AC49" s="1129"/>
    </row>
    <row r="50" spans="2:29" ht="37.5" customHeight="1" x14ac:dyDescent="0.35">
      <c r="B50" s="1157"/>
      <c r="D50" s="654" t="s">
        <v>187</v>
      </c>
      <c r="E50" s="656"/>
      <c r="F50" s="656"/>
      <c r="G50" s="656"/>
      <c r="H50" s="656"/>
      <c r="I50" s="656"/>
      <c r="J50" s="656"/>
      <c r="K50" s="656"/>
      <c r="L50" s="656"/>
      <c r="M50" s="656"/>
      <c r="P50" s="117"/>
      <c r="Q50" s="1157"/>
      <c r="S50" s="654" t="s">
        <v>187</v>
      </c>
      <c r="T50" s="120"/>
      <c r="U50" s="120"/>
      <c r="V50" s="120"/>
      <c r="W50" s="120"/>
      <c r="X50" s="120"/>
      <c r="Y50" s="120"/>
      <c r="Z50" s="120"/>
      <c r="AA50" s="120"/>
      <c r="AB50" s="120"/>
      <c r="AC50" s="1129"/>
    </row>
    <row r="51" spans="2:29" ht="37.5" customHeight="1" x14ac:dyDescent="0.35">
      <c r="B51" s="1157"/>
      <c r="D51" s="258" t="s">
        <v>289</v>
      </c>
      <c r="E51" s="659" t="s">
        <v>286</v>
      </c>
      <c r="F51" s="659" t="s">
        <v>286</v>
      </c>
      <c r="G51" s="659" t="s">
        <v>286</v>
      </c>
      <c r="H51" s="656"/>
      <c r="I51" s="658" t="s">
        <v>285</v>
      </c>
      <c r="J51" s="656"/>
      <c r="K51" s="656"/>
      <c r="L51" s="656"/>
      <c r="M51" s="656"/>
      <c r="P51" s="117"/>
      <c r="Q51" s="1157"/>
      <c r="S51" s="258" t="s">
        <v>289</v>
      </c>
      <c r="T51" s="659" t="s">
        <v>286</v>
      </c>
      <c r="U51" s="659" t="s">
        <v>286</v>
      </c>
      <c r="V51" s="659" t="s">
        <v>286</v>
      </c>
      <c r="W51" s="120"/>
      <c r="X51" s="658" t="s">
        <v>285</v>
      </c>
      <c r="Y51" s="120"/>
      <c r="Z51" s="120"/>
      <c r="AA51" s="120"/>
      <c r="AB51" s="120"/>
      <c r="AC51" s="1129"/>
    </row>
    <row r="52" spans="2:29" ht="37.5" customHeight="1" x14ac:dyDescent="0.35">
      <c r="B52" s="1157"/>
      <c r="D52" s="654" t="s">
        <v>189</v>
      </c>
      <c r="E52" s="656"/>
      <c r="F52" s="656"/>
      <c r="G52" s="656"/>
      <c r="H52" s="656"/>
      <c r="I52" s="656"/>
      <c r="J52" s="656"/>
      <c r="K52" s="656"/>
      <c r="L52" s="656"/>
      <c r="M52" s="656"/>
      <c r="P52" s="117"/>
      <c r="Q52" s="1157"/>
      <c r="S52" s="654" t="s">
        <v>189</v>
      </c>
      <c r="T52" s="120"/>
      <c r="U52" s="120"/>
      <c r="V52" s="120"/>
      <c r="W52" s="120"/>
      <c r="X52" s="120"/>
      <c r="Y52" s="120"/>
      <c r="Z52" s="120"/>
      <c r="AA52" s="120"/>
      <c r="AB52" s="120"/>
      <c r="AC52" s="1129"/>
    </row>
    <row r="53" spans="2:29" ht="37.5" customHeight="1" x14ac:dyDescent="0.35">
      <c r="B53" s="1157"/>
      <c r="D53" s="654" t="s">
        <v>190</v>
      </c>
      <c r="E53" s="656"/>
      <c r="F53" s="656"/>
      <c r="G53" s="656"/>
      <c r="H53" s="656"/>
      <c r="I53" s="656"/>
      <c r="J53" s="656"/>
      <c r="K53" s="656"/>
      <c r="L53" s="656"/>
      <c r="M53" s="656"/>
      <c r="P53" s="117"/>
      <c r="Q53" s="1157"/>
      <c r="S53" s="654" t="s">
        <v>190</v>
      </c>
      <c r="T53" s="120"/>
      <c r="U53" s="120"/>
      <c r="V53" s="120"/>
      <c r="W53" s="120"/>
      <c r="X53" s="120"/>
      <c r="Y53" s="120"/>
      <c r="Z53" s="120"/>
      <c r="AA53" s="120"/>
      <c r="AB53" s="120"/>
      <c r="AC53" s="1129"/>
    </row>
    <row r="54" spans="2:29" ht="37.5" customHeight="1" x14ac:dyDescent="0.35">
      <c r="B54" s="1157"/>
      <c r="D54" s="656" t="s">
        <v>283</v>
      </c>
      <c r="E54" s="656"/>
      <c r="F54" s="656"/>
      <c r="G54" s="656"/>
      <c r="H54" s="656"/>
      <c r="I54" s="656"/>
      <c r="J54" s="656"/>
      <c r="K54" s="656"/>
      <c r="L54" s="656"/>
      <c r="M54" s="656"/>
      <c r="P54" s="117"/>
      <c r="Q54" s="1157"/>
      <c r="S54" s="656" t="s">
        <v>283</v>
      </c>
      <c r="T54" s="120"/>
      <c r="U54" s="120"/>
      <c r="V54" s="120"/>
      <c r="W54" s="120"/>
      <c r="X54" s="120"/>
      <c r="Y54" s="120"/>
      <c r="Z54" s="120"/>
      <c r="AA54" s="120"/>
      <c r="AB54" s="120"/>
      <c r="AC54" s="1129"/>
    </row>
    <row r="55" spans="2:29" ht="37.5" customHeight="1" x14ac:dyDescent="0.35">
      <c r="B55" s="1157"/>
      <c r="D55" s="654" t="s">
        <v>191</v>
      </c>
      <c r="E55" s="656"/>
      <c r="F55" s="656"/>
      <c r="G55" s="656"/>
      <c r="H55" s="656"/>
      <c r="I55" s="656"/>
      <c r="J55" s="656"/>
      <c r="K55" s="656"/>
      <c r="L55" s="656"/>
      <c r="M55" s="656"/>
      <c r="P55" s="117"/>
      <c r="Q55" s="1157"/>
      <c r="S55" s="654" t="s">
        <v>191</v>
      </c>
      <c r="T55" s="120"/>
      <c r="U55" s="120"/>
      <c r="V55" s="120"/>
      <c r="W55" s="120"/>
      <c r="X55" s="120"/>
      <c r="Y55" s="120"/>
      <c r="Z55" s="120"/>
      <c r="AA55" s="120"/>
      <c r="AB55" s="120"/>
      <c r="AC55" s="1129"/>
    </row>
    <row r="56" spans="2:29" ht="27.95" customHeight="1" x14ac:dyDescent="0.35">
      <c r="P56" s="117"/>
      <c r="Q56" s="1157"/>
      <c r="S56" s="253" t="s">
        <v>735</v>
      </c>
      <c r="T56" s="659" t="s">
        <v>286</v>
      </c>
      <c r="U56" s="659" t="s">
        <v>286</v>
      </c>
      <c r="V56" s="660">
        <f>-('A.1. Conso_bâtiment_EF H2'!Q123*'D.1. Facteur d''émissions'!C15-'A.1. Conso_bâtiment_EF H2'!O106*'D.1. Facteur d''émissions'!C8)/('A.1. Conso_bâtiment_EF H2'!Q123*'D.1. Facteur d''émissions'!C15)</f>
        <v>6.0310579005913008</v>
      </c>
      <c r="W56" s="120"/>
      <c r="X56" s="660">
        <f>-('A.1. Conso_bâtiment_EF H2'!Q123*'D.1. Facteur d''émissions'!C15-'A.1. Conso_bâtiment_EF H2'!O108*'D.1. Facteur d''émissions'!C8)/('A.1. Conso_bâtiment_EF H2'!Q123*'D.1. Facteur d''émissions'!C15)</f>
        <v>4.8976933434810608</v>
      </c>
      <c r="Y56" s="656"/>
      <c r="Z56" s="120"/>
      <c r="AA56" s="120"/>
      <c r="AB56" s="120"/>
      <c r="AC56" s="1129"/>
    </row>
    <row r="57" spans="2:29" ht="14.45" customHeight="1" x14ac:dyDescent="0.35">
      <c r="P57" s="117"/>
      <c r="S57" s="655"/>
    </row>
    <row r="58" spans="2:29" ht="14.45" customHeight="1" x14ac:dyDescent="0.35">
      <c r="P58" s="117"/>
      <c r="S58" s="655"/>
    </row>
    <row r="59" spans="2:29" ht="14.45" customHeight="1" x14ac:dyDescent="0.35">
      <c r="P59" s="117"/>
      <c r="S59" s="655"/>
    </row>
    <row r="60" spans="2:29" ht="14.45" customHeight="1" x14ac:dyDescent="0.25">
      <c r="P60" s="117"/>
    </row>
    <row r="61" spans="2:29" ht="26.25" x14ac:dyDescent="0.4">
      <c r="D61" s="653" t="s">
        <v>170</v>
      </c>
      <c r="P61" s="117"/>
      <c r="S61" s="653" t="s">
        <v>170</v>
      </c>
    </row>
    <row r="62" spans="2:29" ht="14.45" customHeight="1" x14ac:dyDescent="0.25">
      <c r="D62" s="118"/>
      <c r="P62" s="117"/>
      <c r="S62" s="118"/>
    </row>
    <row r="63" spans="2:29" ht="14.45" customHeight="1" x14ac:dyDescent="0.3">
      <c r="E63" s="1154" t="s">
        <v>280</v>
      </c>
      <c r="F63" s="1154"/>
      <c r="G63" s="1154"/>
      <c r="H63" s="1154"/>
      <c r="I63" s="1154"/>
      <c r="J63" s="1154"/>
      <c r="K63" s="1154"/>
      <c r="L63" s="1154"/>
      <c r="M63" s="1154"/>
      <c r="N63" s="195"/>
      <c r="O63" s="195"/>
      <c r="P63" s="119"/>
      <c r="T63" s="1154" t="s">
        <v>280</v>
      </c>
      <c r="U63" s="1154"/>
      <c r="V63" s="1154"/>
      <c r="W63" s="1154"/>
      <c r="X63" s="1154"/>
      <c r="Y63" s="1154"/>
      <c r="Z63" s="1154"/>
      <c r="AA63" s="1154"/>
      <c r="AB63" s="1154"/>
      <c r="AC63" s="1086"/>
    </row>
    <row r="64" spans="2:29" ht="14.45" customHeight="1" x14ac:dyDescent="0.25">
      <c r="P64" s="117"/>
    </row>
    <row r="65" spans="1:29" ht="75" x14ac:dyDescent="0.25">
      <c r="A65" s="105"/>
      <c r="B65" s="105"/>
      <c r="C65" s="105"/>
      <c r="D65" s="105"/>
      <c r="E65" s="111" t="s">
        <v>182</v>
      </c>
      <c r="F65" s="111" t="s">
        <v>185</v>
      </c>
      <c r="G65" s="111" t="s">
        <v>186</v>
      </c>
      <c r="H65" s="111" t="s">
        <v>187</v>
      </c>
      <c r="I65" s="112" t="s">
        <v>282</v>
      </c>
      <c r="J65" s="111" t="s">
        <v>189</v>
      </c>
      <c r="K65" s="111" t="s">
        <v>190</v>
      </c>
      <c r="L65" s="832" t="s">
        <v>283</v>
      </c>
      <c r="M65" s="111" t="s">
        <v>191</v>
      </c>
      <c r="N65" s="196"/>
      <c r="O65" s="196"/>
      <c r="P65" s="116"/>
      <c r="Q65" s="105"/>
      <c r="R65" s="105"/>
      <c r="S65" s="105"/>
      <c r="T65" s="111" t="s">
        <v>182</v>
      </c>
      <c r="U65" s="111" t="s">
        <v>185</v>
      </c>
      <c r="V65" s="111" t="s">
        <v>186</v>
      </c>
      <c r="W65" s="111" t="s">
        <v>187</v>
      </c>
      <c r="X65" s="112" t="s">
        <v>282</v>
      </c>
      <c r="Y65" s="111" t="s">
        <v>189</v>
      </c>
      <c r="Z65" s="111" t="s">
        <v>190</v>
      </c>
      <c r="AA65" s="832" t="s">
        <v>283</v>
      </c>
      <c r="AB65" s="111" t="s">
        <v>191</v>
      </c>
      <c r="AC65" s="196"/>
    </row>
    <row r="66" spans="1:29" ht="32.450000000000003" customHeight="1" x14ac:dyDescent="0.35">
      <c r="B66" s="1157" t="s">
        <v>284</v>
      </c>
      <c r="D66" s="258" t="s">
        <v>182</v>
      </c>
      <c r="E66" s="658" t="s">
        <v>285</v>
      </c>
      <c r="F66" s="107">
        <f>('A.1. Conso_bâtiment_EF H2'!T104)/('A.1. Conso_bâtiment_EF H2'!T103)-1</f>
        <v>-5.0075112669003552E-2</v>
      </c>
      <c r="G66" s="107">
        <f>('A.1. Conso_bâtiment_EF H2'!T106)/('A.1. Conso_bâtiment_EF H2'!T103)-1</f>
        <v>-0.23184777165748616</v>
      </c>
      <c r="H66" s="107">
        <f>('A.1. Conso_bâtiment_EF H2'!U107+('A.1. Conso_bâtiment_EF H2'!V107*'D.1. Facteur d''émissions'!C47))/('A.1. Conso_bâtiment_EF H2'!T103)-1</f>
        <v>-0.3058587881822733</v>
      </c>
      <c r="I66" s="656"/>
      <c r="J66" s="107">
        <f>('A.1. Conso_bâtiment_EF H2'!T109)/('A.1. Conso_bâtiment_EF H2'!T103)-1</f>
        <v>-0.44566850275413117</v>
      </c>
      <c r="K66" s="107">
        <f>('A.1. Conso_bâtiment_EF H2'!U110+'A.1. Conso_bâtiment_EF H2'!V110*'D.1. Facteur d''émissions'!C47)/('A.1. Conso_bâtiment_EF H2'!T103)-1</f>
        <v>-0.49934902353530308</v>
      </c>
      <c r="L66" s="652"/>
      <c r="M66" s="107">
        <f>('A.1. Conso_bâtiment_EF H2'!T111)/('A.1. Conso_bâtiment_EF H2'!T103)-1</f>
        <v>-0.30846269404106164</v>
      </c>
      <c r="N66" s="191"/>
      <c r="O66" s="191"/>
      <c r="P66" s="117"/>
      <c r="Q66" s="1157" t="s">
        <v>284</v>
      </c>
      <c r="S66" s="258" t="s">
        <v>182</v>
      </c>
      <c r="T66" s="658" t="s">
        <v>285</v>
      </c>
      <c r="U66" s="107">
        <f>F66</f>
        <v>-5.0075112669003552E-2</v>
      </c>
      <c r="V66" s="107">
        <f>G66</f>
        <v>-0.23184777165748616</v>
      </c>
      <c r="W66" s="107">
        <f>-(('A.1. Conso_bâtiment_EF H2'!U103*'D.1. Facteur d''émissions'!C8)-(('A.1. Conso_bâtiment_EF H2'!V107*'D.1. Facteur d''émissions'!C15)+('A.1. Conso_bâtiment_EF H2'!U107*'D.1. Facteur d''émissions'!C8)))/('A.1. Conso_bâtiment_EF H2'!U103*'D.1. Facteur d''émissions'!C8)</f>
        <v>-0.81478074852865068</v>
      </c>
      <c r="X66" s="656"/>
      <c r="Y66" s="107">
        <f>J66</f>
        <v>-0.44566850275413117</v>
      </c>
      <c r="Z66" s="107">
        <f>-(('A.1. Conso_bâtiment_EF H2'!U103*'D.1. Facteur d''émissions'!C8)-(('A.1. Conso_bâtiment_EF H2'!V110*'D.1. Facteur d''émissions'!C15)+('A.1. Conso_bâtiment_EF H2'!U110*'D.1. Facteur d''émissions'!C8)))/('A.1. Conso_bâtiment_EF H2'!U103*'D.1. Facteur d''émissions'!C8)</f>
        <v>-0.83519630910801346</v>
      </c>
      <c r="AA66" s="652"/>
      <c r="AB66" s="107">
        <f>M66</f>
        <v>-0.30846269404106164</v>
      </c>
      <c r="AC66" s="1124"/>
    </row>
    <row r="67" spans="1:29" ht="32.450000000000003" customHeight="1" x14ac:dyDescent="0.35">
      <c r="B67" s="1157"/>
      <c r="D67" s="258" t="s">
        <v>185</v>
      </c>
      <c r="E67" s="659" t="s">
        <v>286</v>
      </c>
      <c r="F67" s="658" t="s">
        <v>285</v>
      </c>
      <c r="G67" s="107">
        <f>('A.1. Conso_bâtiment_EF H2'!T106)/('A.1. Conso_bâtiment_EF H2'!T104)-1</f>
        <v>-0.19135477069056395</v>
      </c>
      <c r="H67" s="107">
        <f>('A.1. Conso_bâtiment_EF H2'!U107+'A.1. Conso_bâtiment_EF H2'!V107*'D.1. Facteur d''émissions'!C47)/('A.1. Conso_bâtiment_EF H2'!T104)-1</f>
        <v>-0.26926726410121238</v>
      </c>
      <c r="I67" s="656"/>
      <c r="J67" s="107">
        <f>('A.1. Conso_bâtiment_EF H2'!T109)/('A.1. Conso_bâtiment_EF H2'!T104)-1</f>
        <v>-0.41644702161307334</v>
      </c>
      <c r="K67" s="107">
        <f>('A.1. Conso_bâtiment_EF H2'!U110+'A.1. Conso_bâtiment_EF H2'!V110*'D.1. Facteur d''émissions'!C47)/('A.1. Conso_bâtiment_EF H2'!T104)-1</f>
        <v>-0.47295730100158151</v>
      </c>
      <c r="L67" s="652"/>
      <c r="M67" s="107">
        <f>('A.1. Conso_bâtiment_EF H2'!T111)/('A.1. Conso_bâtiment_EF H2'!T104)-1</f>
        <v>-0.27200843437005795</v>
      </c>
      <c r="N67" s="191"/>
      <c r="O67" s="191"/>
      <c r="P67" s="117"/>
      <c r="Q67" s="1157"/>
      <c r="S67" s="258" t="s">
        <v>185</v>
      </c>
      <c r="T67" s="659" t="s">
        <v>286</v>
      </c>
      <c r="U67" s="658" t="s">
        <v>285</v>
      </c>
      <c r="V67" s="107">
        <f>G67</f>
        <v>-0.19135477069056395</v>
      </c>
      <c r="W67" s="107">
        <f>-(('A.1. Conso_bâtiment_EF H2'!U104*'D.1. Facteur d''émissions'!C8)-(('A.1. Conso_bâtiment_EF H2'!V107*'D.1. Facteur d''émissions'!C15)+('A.1. Conso_bâtiment_EF H2'!U107*'D.1. Facteur d''émissions'!C8)))/('A.1. Conso_bâtiment_EF H2'!U104*'D.1. Facteur d''émissions'!C8)</f>
        <v>-0.80501695034882204</v>
      </c>
      <c r="X67" s="656"/>
      <c r="Y67" s="107">
        <f>J67</f>
        <v>-0.41644702161307334</v>
      </c>
      <c r="Z67" s="107">
        <f>-(('A.1. Conso_bâtiment_EF H2'!U104*'D.1. Facteur d''émissions'!C8)-(('A.1. Conso_bâtiment_EF H2'!V110*'D.1. Facteur d''émissions'!C15)+('A.1. Conso_bâtiment_EF H2'!U110*'D.1. Facteur d''émissions'!C8)))/('A.1. Conso_bâtiment_EF H2'!U104*'D.1. Facteur d''émissions'!C8)</f>
        <v>-0.82650871338360721</v>
      </c>
      <c r="AA67" s="652"/>
      <c r="AB67" s="107"/>
      <c r="AC67" s="1124"/>
    </row>
    <row r="68" spans="1:29" ht="32.450000000000003" customHeight="1" x14ac:dyDescent="0.35">
      <c r="B68" s="1157"/>
      <c r="D68" s="258" t="s">
        <v>186</v>
      </c>
      <c r="E68" s="659" t="s">
        <v>286</v>
      </c>
      <c r="F68" s="659" t="s">
        <v>286</v>
      </c>
      <c r="G68" s="658" t="s">
        <v>285</v>
      </c>
      <c r="H68" s="107">
        <f>('A.1. Conso_bâtiment_EF H2'!U107+'A.1. Conso_bâtiment_EF H2'!V107*'D.1. Facteur d''émissions'!C47)/('A.1. Conso_bâtiment_EF H2'!T106)-1</f>
        <v>-9.6349413298565834E-2</v>
      </c>
      <c r="I68" s="656"/>
      <c r="J68" s="107">
        <f>('A.1. Conso_bâtiment_EF H2'!T109)/('A.1. Conso_bâtiment_EF H2'!T106)-1</f>
        <v>-0.27835723598435469</v>
      </c>
      <c r="K68" s="107">
        <f>('A.1. Conso_bâtiment_EF H2'!U110+'A.1. Conso_bâtiment_EF H2'!V110*'D.1. Facteur d''émissions'!C47)/('A.1. Conso_bâtiment_EF H2'!T106)-1</f>
        <v>-0.34823989569752301</v>
      </c>
      <c r="L68" s="652"/>
      <c r="M68" s="107">
        <f>('A.1. Conso_bâtiment_EF H2'!T111)/('A.1. Conso_bâtiment_EF H2'!T106)-1</f>
        <v>-9.9739243807040467E-2</v>
      </c>
      <c r="N68" s="191"/>
      <c r="O68" s="191"/>
      <c r="P68" s="117"/>
      <c r="Q68" s="1157"/>
      <c r="S68" s="258" t="s">
        <v>186</v>
      </c>
      <c r="T68" s="659" t="s">
        <v>286</v>
      </c>
      <c r="U68" s="659" t="s">
        <v>286</v>
      </c>
      <c r="V68" s="658" t="s">
        <v>285</v>
      </c>
      <c r="W68" s="107">
        <f>-(('A.1. Conso_bâtiment_EF H2'!U106*'D.1. Facteur d''émissions'!C8)-(('A.1. Conso_bâtiment_EF H2'!V107*'D.1. Facteur d''émissions'!C15)+('A.1. Conso_bâtiment_EF H2'!U107*'D.1. Facteur d''émissions'!C8)))/('A.1. Conso_bâtiment_EF H2'!U106*'D.1. Facteur d''émissions'!C8)</f>
        <v>-0.75887689361911048</v>
      </c>
      <c r="X68" s="656"/>
      <c r="Y68" s="107">
        <f>J68</f>
        <v>-0.27835723598435469</v>
      </c>
      <c r="Z68" s="107">
        <f>-(('A.1. Conso_bâtiment_EF H2'!U106*'D.1. Facteur d''émissions'!C8)-(('A.1. Conso_bâtiment_EF H2'!V110*'D.1. Facteur d''émissions'!C15)+('A.1. Conso_bâtiment_EF H2'!U110*'D.1. Facteur d''émissions'!C8)))/('A.1. Conso_bâtiment_EF H2'!U106*'D.1. Facteur d''émissions'!C8)</f>
        <v>-0.78545438675925872</v>
      </c>
      <c r="AA68" s="652"/>
      <c r="AB68" s="107">
        <f>M68</f>
        <v>-9.9739243807040467E-2</v>
      </c>
      <c r="AC68" s="1124"/>
    </row>
    <row r="69" spans="1:29" ht="32.450000000000003" customHeight="1" x14ac:dyDescent="0.35">
      <c r="B69" s="1157"/>
      <c r="D69" s="258" t="s">
        <v>288</v>
      </c>
      <c r="E69" s="659" t="s">
        <v>286</v>
      </c>
      <c r="F69" s="659" t="s">
        <v>286</v>
      </c>
      <c r="G69" s="659" t="s">
        <v>286</v>
      </c>
      <c r="H69" s="658" t="s">
        <v>285</v>
      </c>
      <c r="I69" s="656"/>
      <c r="J69" s="659" t="s">
        <v>286</v>
      </c>
      <c r="K69" s="107">
        <f>('A.1. Conso_bâtiment_EF H2'!U110+'A.1. Conso_bâtiment_EF H2'!V110*'D.1. Facteur d''émissions'!C47)/('A.1. Conso_bâtiment_EF H2'!U107+'A.1. Conso_bâtiment_EF H2'!V107*'D.1. Facteur d''émissions'!C47)-1</f>
        <v>-0.27874765546097269</v>
      </c>
      <c r="L69" s="671"/>
      <c r="M69" s="659" t="s">
        <v>286</v>
      </c>
      <c r="N69" s="192"/>
      <c r="O69" s="192"/>
      <c r="P69" s="117"/>
      <c r="Q69" s="1157"/>
      <c r="S69" s="258" t="s">
        <v>187</v>
      </c>
      <c r="T69" s="659" t="s">
        <v>286</v>
      </c>
      <c r="U69" s="659" t="s">
        <v>286</v>
      </c>
      <c r="V69" s="659" t="s">
        <v>286</v>
      </c>
      <c r="W69" s="658" t="s">
        <v>285</v>
      </c>
      <c r="X69" s="656"/>
      <c r="Y69" s="659" t="s">
        <v>286</v>
      </c>
      <c r="Z69" s="107">
        <f>-((('A.1. Conso_bâtiment_EF H2'!V107*'D.1. Facteur d''émissions'!C15)+('A.1. Conso_bâtiment_EF H2'!U107*'D.1. Facteur d''émissions'!C8))-(('A.1. Conso_bâtiment_EF H2'!V110*'D.1. Facteur d''émissions'!C15)+('A.1. Conso_bâtiment_EF H2'!U110*'D.1. Facteur d''émissions'!C8)))/(('A.1. Conso_bâtiment_EF H2'!V107*'D.1. Facteur d''émissions'!C15)+('A.1. Conso_bâtiment_EF H2'!U107*'D.1. Facteur d''émissions'!C8))</f>
        <v>-0.110223750593878</v>
      </c>
      <c r="AA69" s="671"/>
      <c r="AB69" s="659" t="s">
        <v>286</v>
      </c>
      <c r="AC69" s="1125"/>
    </row>
    <row r="70" spans="1:29" ht="32.450000000000003" customHeight="1" x14ac:dyDescent="0.35">
      <c r="B70" s="1157"/>
      <c r="D70" s="654" t="s">
        <v>289</v>
      </c>
      <c r="E70" s="656"/>
      <c r="F70" s="656"/>
      <c r="G70" s="656"/>
      <c r="H70" s="656"/>
      <c r="I70" s="656"/>
      <c r="J70" s="656"/>
      <c r="K70" s="656"/>
      <c r="L70" s="253"/>
      <c r="M70" s="656"/>
      <c r="N70" s="192"/>
      <c r="O70" s="192"/>
      <c r="P70" s="117"/>
      <c r="Q70" s="1157"/>
      <c r="S70" s="654" t="s">
        <v>289</v>
      </c>
      <c r="T70" s="656"/>
      <c r="U70" s="656"/>
      <c r="V70" s="656"/>
      <c r="W70" s="656"/>
      <c r="X70" s="656"/>
      <c r="Y70" s="656"/>
      <c r="Z70" s="656"/>
      <c r="AA70" s="656"/>
      <c r="AB70" s="656"/>
      <c r="AC70" s="1126"/>
    </row>
    <row r="71" spans="1:29" ht="32.450000000000003" customHeight="1" x14ac:dyDescent="0.35">
      <c r="B71" s="1157"/>
      <c r="D71" s="258" t="s">
        <v>189</v>
      </c>
      <c r="E71" s="659" t="s">
        <v>286</v>
      </c>
      <c r="F71" s="659" t="s">
        <v>286</v>
      </c>
      <c r="G71" s="659" t="s">
        <v>286</v>
      </c>
      <c r="H71" s="553">
        <f>('A.1. Conso_bâtiment_EF H2'!U107+'A.1. Conso_bâtiment_EF H2'!V107*'D.1. Facteur d''émissions'!C47)/('A.1. Conso_bâtiment_EF H2'!T109)-1</f>
        <v>0.25221318879855481</v>
      </c>
      <c r="I71" s="656"/>
      <c r="J71" s="658" t="s">
        <v>285</v>
      </c>
      <c r="K71" s="107">
        <f>('A.1. Conso_bâtiment_EF H2'!U110+'A.1. Conso_bâtiment_EF H2'!V110*'D.1. Facteur d''émissions'!C47)/('A.1. Conso_bâtiment_EF H2'!T109)-1</f>
        <v>-9.6838301716350661E-2</v>
      </c>
      <c r="L71" s="658"/>
      <c r="M71" s="659" t="s">
        <v>286</v>
      </c>
      <c r="N71" s="1155" t="s">
        <v>290</v>
      </c>
      <c r="O71" s="1156"/>
      <c r="P71" s="117"/>
      <c r="Q71" s="1157"/>
      <c r="S71" s="258" t="s">
        <v>189</v>
      </c>
      <c r="T71" s="659" t="s">
        <v>286</v>
      </c>
      <c r="U71" s="659" t="s">
        <v>286</v>
      </c>
      <c r="V71" s="659" t="s">
        <v>286</v>
      </c>
      <c r="W71" s="107">
        <f>-(('A.1. Conso_bâtiment_EF H2'!U109*'D.1. Facteur d''émissions'!C8)-(('A.1. Conso_bâtiment_EF H2'!V107*'D.1. Facteur d''émissions'!C15)+('A.1. Conso_bâtiment_EF H2'!U107*'D.1. Facteur d''émissions'!C8)))/('A.1. Conso_bâtiment_EF H2'!U109*'D.1. Facteur d''émissions'!C8)</f>
        <v>-0.66586915520480172</v>
      </c>
      <c r="X71" s="656"/>
      <c r="Y71" s="658" t="s">
        <v>285</v>
      </c>
      <c r="Z71" s="107">
        <f>-(('A.1. Conso_bâtiment_EF H2'!U109*'D.1. Facteur d''émissions'!C8)-(('A.1. Conso_bâtiment_EF H2'!V110*'D.1. Facteur d''émissions'!C15)+('A.1. Conso_bâtiment_EF H2'!U110*'D.1. Facteur d''émissions'!C8)))/('A.1. Conso_bâtiment_EF H2'!U109*'D.1. Facteur d''émissions'!C8)</f>
        <v>-0.70269831010722938</v>
      </c>
      <c r="AA71" s="658"/>
      <c r="AB71" s="659" t="s">
        <v>286</v>
      </c>
      <c r="AC71" s="1125"/>
    </row>
    <row r="72" spans="1:29" ht="32.450000000000003" customHeight="1" x14ac:dyDescent="0.35">
      <c r="B72" s="1157"/>
      <c r="D72" s="258" t="s">
        <v>190</v>
      </c>
      <c r="E72" s="659" t="s">
        <v>286</v>
      </c>
      <c r="F72" s="659" t="s">
        <v>286</v>
      </c>
      <c r="G72" s="659" t="s">
        <v>286</v>
      </c>
      <c r="H72" s="659" t="s">
        <v>286</v>
      </c>
      <c r="I72" s="656"/>
      <c r="J72" s="553">
        <f>('A.1. Conso_bâtiment_EF H2'!T109*'D.1. Facteur d''émissions'!C37)/('A.1. Conso_bâtiment_EF H2'!U110*'D.1. Facteur d''émissions'!C37+'A.1. Conso_bâtiment_EF H2'!V110*2.3)-1</f>
        <v>0.19690234051870981</v>
      </c>
      <c r="K72" s="658" t="s">
        <v>285</v>
      </c>
      <c r="L72" s="658"/>
      <c r="M72" s="671"/>
      <c r="N72" s="1155"/>
      <c r="O72" s="1156"/>
      <c r="P72" s="117"/>
      <c r="Q72" s="1157"/>
      <c r="S72" s="258" t="s">
        <v>190</v>
      </c>
      <c r="T72" s="659" t="s">
        <v>286</v>
      </c>
      <c r="U72" s="659" t="s">
        <v>286</v>
      </c>
      <c r="V72" s="659" t="s">
        <v>286</v>
      </c>
      <c r="W72" s="659" t="s">
        <v>286</v>
      </c>
      <c r="X72" s="656"/>
      <c r="Y72" s="659" t="s">
        <v>286</v>
      </c>
      <c r="Z72" s="658" t="s">
        <v>285</v>
      </c>
      <c r="AA72" s="658"/>
      <c r="AB72" s="671"/>
      <c r="AC72" s="1130"/>
    </row>
    <row r="73" spans="1:29" ht="32.450000000000003" customHeight="1" x14ac:dyDescent="0.35">
      <c r="B73" s="1157"/>
      <c r="D73" s="258" t="s">
        <v>283</v>
      </c>
      <c r="E73" s="659" t="s">
        <v>286</v>
      </c>
      <c r="F73" s="659" t="s">
        <v>286</v>
      </c>
      <c r="G73" s="659" t="s">
        <v>286</v>
      </c>
      <c r="H73" s="652"/>
      <c r="I73" s="656"/>
      <c r="J73" s="658"/>
      <c r="K73" s="658"/>
      <c r="L73" s="658" t="s">
        <v>285</v>
      </c>
      <c r="M73" s="671"/>
      <c r="N73" s="1155"/>
      <c r="O73" s="1156"/>
      <c r="P73" s="117"/>
      <c r="Q73" s="1157"/>
      <c r="S73" s="672" t="s">
        <v>283</v>
      </c>
      <c r="T73" s="659" t="s">
        <v>286</v>
      </c>
      <c r="U73" s="659" t="s">
        <v>286</v>
      </c>
      <c r="V73" s="659" t="s">
        <v>286</v>
      </c>
      <c r="W73" s="652"/>
      <c r="X73" s="656"/>
      <c r="Y73" s="658"/>
      <c r="Z73" s="658"/>
      <c r="AA73" s="658" t="s">
        <v>285</v>
      </c>
      <c r="AB73" s="671"/>
      <c r="AC73" s="1130"/>
    </row>
    <row r="74" spans="1:29" ht="32.450000000000003" customHeight="1" x14ac:dyDescent="0.35">
      <c r="B74" s="1157"/>
      <c r="D74" s="258" t="s">
        <v>191</v>
      </c>
      <c r="E74" s="659" t="s">
        <v>286</v>
      </c>
      <c r="F74" s="659" t="s">
        <v>286</v>
      </c>
      <c r="G74" s="659" t="s">
        <v>286</v>
      </c>
      <c r="H74" s="107">
        <f>('A.1. Conso_bâtiment_EF H2'!U107+'A.1. Conso_bâtiment_EF H2'!V107*'D.1. Facteur d''émissions'!C47)/('A.1. Conso_bâtiment_EF H2'!T111)-1</f>
        <v>3.7653874004346388E-3</v>
      </c>
      <c r="I74" s="656"/>
      <c r="J74" s="107">
        <f>('A.1. Conso_bâtiment_EF H2'!T109)/('A.1. Conso_bâtiment_EF H2'!T111)-1</f>
        <v>-0.19840695148443166</v>
      </c>
      <c r="K74" s="107">
        <f>('A.1. Conso_bâtiment_EF H2'!U110+'A.1. Conso_bâtiment_EF H2'!V110*'D.1. Facteur d''émissions'!C47)/('A.1. Conso_bâtiment_EF H2'!T111)-1</f>
        <v>-0.27603186097031152</v>
      </c>
      <c r="L74" s="652"/>
      <c r="M74" s="658" t="s">
        <v>285</v>
      </c>
      <c r="N74" s="1155"/>
      <c r="O74" s="1156"/>
      <c r="P74" s="117"/>
      <c r="Q74" s="1157"/>
      <c r="S74" s="258" t="s">
        <v>191</v>
      </c>
      <c r="T74" s="659" t="s">
        <v>286</v>
      </c>
      <c r="U74" s="659" t="s">
        <v>286</v>
      </c>
      <c r="V74" s="659" t="s">
        <v>286</v>
      </c>
      <c r="W74" s="107">
        <f>-(('A.1. Conso_bâtiment_EF H2'!U111*'D.1. Facteur d''émissions'!C8)-(('A.1. Conso_bâtiment_EF H2'!V107*'D.1. Facteur d''émissions'!C15)+('A.1. Conso_bâtiment_EF H2'!U107*'D.1. Facteur d''émissions'!C8)))/('A.1. Conso_bâtiment_EF H2'!U111*'D.1. Facteur d''émissions'!C8)</f>
        <v>-0.73216303751753475</v>
      </c>
      <c r="X74" s="656"/>
      <c r="Y74" s="107">
        <f>J74</f>
        <v>-0.19840695148443166</v>
      </c>
      <c r="Z74" s="107">
        <f>-(('A.1. Conso_bâtiment_EF H2'!U111*'D.1. Facteur d''émissions'!C8)-(('A.1. Conso_bâtiment_EF H2'!V110*'D.1. Facteur d''émissions'!C15)+('A.1. Conso_bâtiment_EF H2'!U110*'D.1. Facteur d''émissions'!C8)))/('A.1. Conso_bâtiment_EF H2'!U111*'D.1. Facteur d''émissions'!C8)</f>
        <v>-0.7616850320700238</v>
      </c>
      <c r="AA74" s="652"/>
      <c r="AB74" s="658" t="s">
        <v>285</v>
      </c>
      <c r="AC74" s="1127"/>
    </row>
    <row r="75" spans="1:29" ht="36.6" customHeight="1" x14ac:dyDescent="0.35">
      <c r="B75" s="1157"/>
      <c r="D75" s="253" t="s">
        <v>196</v>
      </c>
      <c r="E75" s="659" t="s">
        <v>286</v>
      </c>
      <c r="F75" s="659" t="s">
        <v>286</v>
      </c>
      <c r="G75" s="107">
        <f>('A.1. Conso_bâtiment_EF H2'!T106)/('A.1. Conso_bâtiment_EF H2'!W116)-1</f>
        <v>-0.24767042667974493</v>
      </c>
      <c r="H75" s="107">
        <f>('A.1. Conso_bâtiment_EF H2'!U107+('A.1. Conso_bâtiment_EF H2'!V107*'D.1. Facteur d''émissions'!C47))/('A.1. Conso_bâtiment_EF H2'!W116)-1</f>
        <v>-0.32015693967631187</v>
      </c>
      <c r="I75" s="656"/>
      <c r="J75" s="107">
        <f>('A.1. Conso_bâtiment_EF H2'!T109)/('A.1. Conso_bâtiment_EF H2'!W116)-1</f>
        <v>-0.45708680725846007</v>
      </c>
      <c r="K75" s="107">
        <f>('A.1. Conso_bâtiment_EF H2'!U110+'A.1. Conso_bâtiment_EF H2'!V110*'D.1. Facteur d''émissions'!C47)/('A.1. Conso_bâtiment_EF H2'!W116)-1</f>
        <v>-0.50966159882295259</v>
      </c>
      <c r="L75" s="699"/>
      <c r="M75" s="107">
        <f>('A.1. Conso_bâtiment_EF H2'!T111)/('A.1. Conso_bâtiment_EF H2'!W116)-1</f>
        <v>-0.32270720941638065</v>
      </c>
      <c r="P75" s="117"/>
      <c r="Q75" s="1157"/>
      <c r="S75" s="253" t="s">
        <v>196</v>
      </c>
      <c r="T75" s="659" t="s">
        <v>286</v>
      </c>
      <c r="U75" s="659" t="s">
        <v>286</v>
      </c>
      <c r="V75" s="107">
        <f>-('A.1. Conso_bâtiment_EF H2'!W116*'D.1. Facteur d''émissions'!C7-'A.1. Conso_bâtiment_EF H2'!T106*'D.1. Facteur d''émissions'!C8)/('A.1. Conso_bâtiment_EF H2'!W116*'D.1. Facteur d''émissions'!C7)</f>
        <v>-0.44504083943351569</v>
      </c>
      <c r="W75" s="107">
        <f>-(('A.1. Conso_bâtiment_EF H2'!W116*'D.1. Facteur d''émissions'!C7)-(('A.1. Conso_bâtiment_EF H2'!V107*'D.1. Facteur d''émissions'!C15)+('A.1. Conso_bâtiment_EF H2'!U107*'D.1. Facteur d''émissions'!C8)))/('A.1. Conso_bâtiment_EF H2'!W116*'D.1. Facteur d''émissions'!C7)</f>
        <v>-0.86618652328967849</v>
      </c>
      <c r="X75" s="656"/>
      <c r="Y75" s="107">
        <f>-('A.1. Conso_bâtiment_EF H2'!W116*'D.1. Facteur d''émissions'!C7-'A.1. Conso_bâtiment_EF H2'!T109*'D.1. Facteur d''émissions'!C8)/('A.1. Conso_bâtiment_EF H2'!W116*'D.1. Facteur d''émissions'!C7)</f>
        <v>-0.59951773745299997</v>
      </c>
      <c r="Z75" s="107">
        <f>-(('A.1. Conso_bâtiment_EF H2'!W116*'D.1. Facteur d''émissions'!C7)-(('A.1. Conso_bâtiment_EF H2'!V110*'D.1. Facteur d''émissions'!C15)+('A.1. Conso_bâtiment_EF H2'!U110*'D.1. Facteur d''émissions'!C8)))/('A.1. Conso_bâtiment_EF H2'!W116*'D.1. Facteur d''émissions'!C7)</f>
        <v>-0.88093594657269658</v>
      </c>
      <c r="AA75" s="699"/>
      <c r="AB75" s="699"/>
    </row>
    <row r="76" spans="1:29" ht="36.6" customHeight="1" x14ac:dyDescent="0.35">
      <c r="B76" s="1157"/>
      <c r="D76" s="253" t="s">
        <v>197</v>
      </c>
      <c r="E76" s="659" t="s">
        <v>286</v>
      </c>
      <c r="F76" s="659" t="s">
        <v>286</v>
      </c>
      <c r="G76" s="107">
        <f>('A.1. Conso_bâtiment_EF H2'!T106)/('A.1. Conso_bâtiment_EF H2'!W117)-1</f>
        <v>-2.105934907466489E-2</v>
      </c>
      <c r="H76" s="107">
        <f>('A.1. Conso_bâtiment_EF H2'!U107+('A.1. Conso_bâtiment_EF H2'!V107*'D.1. Facteur d''émissions'!C47))/('A.1. Conso_bâtiment_EF H2'!W117)-1</f>
        <v>-0.11537970644543705</v>
      </c>
      <c r="I76" s="656"/>
      <c r="J76" s="107">
        <f>('A.1. Conso_bâtiment_EF H2'!T109)/('A.1. Conso_bâtiment_EF H2'!W117)-1</f>
        <v>-0.29355456285896619</v>
      </c>
      <c r="K76" s="107">
        <f>('A.1. Conso_bâtiment_EF H2'!U110+'A.1. Conso_bâtiment_EF H2'!V110*'D.1. Facteur d''émissions'!C47)/('A.1. Conso_bâtiment_EF H2'!W117)-1</f>
        <v>-0.36196553924696884</v>
      </c>
      <c r="L76" s="699"/>
      <c r="M76" s="107">
        <f>('A.1. Conso_bâtiment_EF H2'!T111)/('A.1. Conso_bâtiment_EF H2'!W117)-1</f>
        <v>-0.11869814932992973</v>
      </c>
      <c r="P76" s="117"/>
      <c r="Q76" s="1157"/>
      <c r="S76" s="253" t="s">
        <v>197</v>
      </c>
      <c r="T76" s="659" t="s">
        <v>286</v>
      </c>
      <c r="U76" s="659" t="s">
        <v>286</v>
      </c>
      <c r="V76" s="107">
        <f>-('A.1. Conso_bâtiment_EF H2'!W117*'D.1. Facteur d''émissions'!C7-'A.1. Conso_bâtiment_EF H2'!T106*'D.1. Facteur d''émissions'!C8)/('A.1. Conso_bâtiment_EF H2'!W117*'D.1. Facteur d''émissions'!C7)</f>
        <v>-0.27788019885445969</v>
      </c>
      <c r="W76" s="107">
        <f>-(('A.1. Conso_bâtiment_EF H2'!W117*'D.1. Facteur d''émissions'!C7)-(('A.1. Conso_bâtiment_EF H2'!V107*'D.1. Facteur d''émissions'!C15)+('A.1. Conso_bâtiment_EF H2'!U107*'D.1. Facteur d''émissions'!C8)))/('A.1. Conso_bâtiment_EF H2'!W117*'D.1. Facteur d''émissions'!C7)</f>
        <v>-0.825880230368637</v>
      </c>
      <c r="X76" s="656"/>
      <c r="Y76" s="107">
        <f>-('A.1. Conso_bâtiment_EF H2'!W117*'D.1. Facteur d''émissions'!C7-'A.1. Conso_bâtiment_EF H2'!T109*'D.1. Facteur d''émissions'!C8)/('A.1. Conso_bâtiment_EF H2'!W117*'D.1. Facteur d''émissions'!C7)</f>
        <v>-0.47888747075090415</v>
      </c>
      <c r="Z76" s="107">
        <f>-(('A.1. Conso_bâtiment_EF H2'!W117*'D.1. Facteur d''émissions'!C7)-(('A.1. Conso_bâtiment_EF H2'!V110*'D.1. Facteur d''émissions'!C15)+('A.1. Conso_bâtiment_EF H2'!U110*'D.1. Facteur d''émissions'!C8)))/('A.1. Conso_bâtiment_EF H2'!W117*'D.1. Facteur d''émissions'!C7)</f>
        <v>-0.84507236442994793</v>
      </c>
      <c r="AA76" s="699"/>
      <c r="AB76" s="699"/>
    </row>
    <row r="77" spans="1:29" ht="14.45" customHeight="1" x14ac:dyDescent="0.25">
      <c r="P77" s="117"/>
    </row>
    <row r="78" spans="1:29" ht="14.45" customHeight="1" x14ac:dyDescent="0.25">
      <c r="P78" s="117"/>
    </row>
    <row r="79" spans="1:29" ht="29.45" customHeight="1" x14ac:dyDescent="0.4">
      <c r="D79" s="653" t="s">
        <v>165</v>
      </c>
      <c r="P79" s="117"/>
      <c r="S79" s="653" t="s">
        <v>165</v>
      </c>
    </row>
    <row r="80" spans="1:29" ht="14.45" customHeight="1" x14ac:dyDescent="0.25">
      <c r="D80" s="118"/>
      <c r="P80" s="117"/>
      <c r="S80" s="118"/>
    </row>
    <row r="81" spans="2:29" ht="14.45" customHeight="1" x14ac:dyDescent="0.3">
      <c r="E81" s="1154" t="s">
        <v>280</v>
      </c>
      <c r="F81" s="1154"/>
      <c r="G81" s="1154"/>
      <c r="H81" s="1154"/>
      <c r="I81" s="1154"/>
      <c r="J81" s="1154"/>
      <c r="K81" s="1154"/>
      <c r="L81" s="1154"/>
      <c r="M81" s="1154"/>
      <c r="P81" s="117"/>
      <c r="T81" s="1154" t="s">
        <v>280</v>
      </c>
      <c r="U81" s="1154"/>
      <c r="V81" s="1154"/>
      <c r="W81" s="1154"/>
      <c r="X81" s="1154"/>
      <c r="Y81" s="1154"/>
      <c r="Z81" s="1154"/>
      <c r="AA81" s="1154"/>
      <c r="AB81" s="1154"/>
      <c r="AC81" s="1086"/>
    </row>
    <row r="82" spans="2:29" ht="14.45" customHeight="1" x14ac:dyDescent="0.25">
      <c r="P82" s="117"/>
    </row>
    <row r="83" spans="2:29" ht="68.099999999999994" customHeight="1" x14ac:dyDescent="0.25">
      <c r="B83" s="105"/>
      <c r="C83" s="105"/>
      <c r="D83" s="105"/>
      <c r="E83" s="111" t="s">
        <v>182</v>
      </c>
      <c r="F83" s="111" t="s">
        <v>185</v>
      </c>
      <c r="G83" s="111" t="s">
        <v>186</v>
      </c>
      <c r="H83" s="111" t="s">
        <v>187</v>
      </c>
      <c r="I83" s="111" t="s">
        <v>282</v>
      </c>
      <c r="J83" s="111" t="s">
        <v>189</v>
      </c>
      <c r="K83" s="111" t="s">
        <v>190</v>
      </c>
      <c r="L83" s="832" t="s">
        <v>283</v>
      </c>
      <c r="M83" s="111" t="s">
        <v>191</v>
      </c>
      <c r="P83" s="117"/>
      <c r="Q83" s="105"/>
      <c r="R83" s="105"/>
      <c r="S83" s="105"/>
      <c r="T83" s="111" t="s">
        <v>182</v>
      </c>
      <c r="U83" s="111" t="s">
        <v>185</v>
      </c>
      <c r="V83" s="111" t="s">
        <v>186</v>
      </c>
      <c r="W83" s="111" t="s">
        <v>187</v>
      </c>
      <c r="X83" s="111" t="s">
        <v>282</v>
      </c>
      <c r="Y83" s="111" t="s">
        <v>189</v>
      </c>
      <c r="Z83" s="111" t="s">
        <v>190</v>
      </c>
      <c r="AA83" s="832" t="s">
        <v>283</v>
      </c>
      <c r="AB83" s="111" t="s">
        <v>191</v>
      </c>
      <c r="AC83" s="196"/>
    </row>
    <row r="84" spans="2:29" ht="32.450000000000003" customHeight="1" x14ac:dyDescent="0.35">
      <c r="B84" s="1157" t="s">
        <v>284</v>
      </c>
      <c r="D84" s="258" t="s">
        <v>182</v>
      </c>
      <c r="E84" s="658" t="s">
        <v>285</v>
      </c>
      <c r="F84" s="107">
        <f>('A.1. Conso_bâtiment_EF H2'!Y104)/('A.1. Conso_bâtiment_EF H2'!Y103)-1</f>
        <v>-5.0969529085872489E-2</v>
      </c>
      <c r="G84" s="107">
        <f>('A.1. Conso_bâtiment_EF H2'!Y106)/('A.1. Conso_bâtiment_EF H2'!Y103)-1</f>
        <v>-0.24376731301939059</v>
      </c>
      <c r="H84" s="107">
        <f>(('A.1. Conso_bâtiment_EF H2'!Z107+'A.1. Conso_bâtiment_EF H2'!AA107*'D.1. Facteur d''émissions'!C47)/('A.1. Conso_bâtiment_EF H2'!Y103))-1</f>
        <v>-0.31678670360110794</v>
      </c>
      <c r="I84" s="107">
        <f>('A.1. Conso_bâtiment_EF H2'!Z108*'D.1. Facteur d''émissions'!C37+'A.1. Conso_bâtiment_EF H2'!AA108*2.3)/('A.1. Conso_bâtiment_EF H2'!Y103*'D.1. Facteur d''émissions'!C37)-1</f>
        <v>-0.40152142638086519</v>
      </c>
      <c r="J84" s="107">
        <f>(('A.1. Conso_bâtiment_EF H2'!Y109)/('A.1. Conso_bâtiment_EF H2'!Y103))-1</f>
        <v>-0.45041551246537403</v>
      </c>
      <c r="K84" s="107">
        <f>('A.1. Conso_bâtiment_EF H2'!Z110+'A.1. Conso_bâtiment_EF H2'!AA110*'D.1. Facteur d''émissions'!C47)/('A.1. Conso_bâtiment_EF H2'!Y103)-1</f>
        <v>-0.5053739612188366</v>
      </c>
      <c r="L84" s="652"/>
      <c r="M84" s="107">
        <f>('A.1. Conso_bâtiment_EF H2'!Y111)/('A.1. Conso_bâtiment_EF H2'!Y103)-1</f>
        <v>-0.2880886426592798</v>
      </c>
      <c r="P84" s="117"/>
      <c r="Q84" s="1157" t="s">
        <v>284</v>
      </c>
      <c r="S84" s="258" t="s">
        <v>182</v>
      </c>
      <c r="T84" s="658" t="s">
        <v>285</v>
      </c>
      <c r="U84" s="107">
        <f>F84</f>
        <v>-5.0969529085872489E-2</v>
      </c>
      <c r="V84" s="107">
        <f>G84</f>
        <v>-0.24376731301939059</v>
      </c>
      <c r="W84" s="107">
        <f>-(('A.1. Conso_bâtiment_EF H2'!Z103*'D.1. Facteur d''émissions'!C8)-(('A.1. Conso_bâtiment_EF H2'!AA107*'D.1. Facteur d''émissions'!C15)+('A.1. Conso_bâtiment_EF H2'!Z107*'D.1. Facteur d''émissions'!C8)))/('A.1. Conso_bâtiment_EF H2'!Z103*'D.1. Facteur d''émissions'!C8)</f>
        <v>-0.81145585832010114</v>
      </c>
      <c r="X84" s="107">
        <f>-(('A.1. Conso_bâtiment_EF H2'!Z103*'D.1. Facteur d''émissions'!C8)-(('A.1. Conso_bâtiment_EF H2'!AA108*'D.1. Facteur d''émissions'!C15)+('A.1. Conso_bâtiment_EF H2'!Z108*'D.1. Facteur d''émissions'!C8)))/('A.1. Conso_bâtiment_EF H2'!Z103*'D.1. Facteur d''émissions'!C8)</f>
        <v>-0.66476662919134433</v>
      </c>
      <c r="Y84" s="107">
        <f>J84</f>
        <v>-0.45041551246537403</v>
      </c>
      <c r="Z84" s="107">
        <f>-(('A.1. Conso_bâtiment_EF H2'!Y103*'D.1. Facteur d''émissions'!C8)-(('A.1. Conso_bâtiment_EF H2'!Z110*'D.1. Facteur d''émissions'!C15)+('A.1. Conso_bâtiment_EF H2'!AA110*'D.1. Facteur d''émissions'!C8)))/('A.1. Conso_bâtiment_EF H2'!Y103*'D.1. Facteur d''émissions'!C8)</f>
        <v>-0.80995607274075965</v>
      </c>
      <c r="AA84" s="107"/>
      <c r="AB84" s="107">
        <f>M84</f>
        <v>-0.2880886426592798</v>
      </c>
      <c r="AC84" s="1124"/>
    </row>
    <row r="85" spans="2:29" ht="32.450000000000003" customHeight="1" x14ac:dyDescent="0.35">
      <c r="B85" s="1157"/>
      <c r="D85" s="258" t="s">
        <v>185</v>
      </c>
      <c r="E85" s="659" t="s">
        <v>286</v>
      </c>
      <c r="F85" s="658" t="s">
        <v>285</v>
      </c>
      <c r="G85" s="107">
        <f>('A.1. Conso_bâtiment_EF H2'!Y106)/('A.1. Conso_bâtiment_EF H2'!Y104)-1</f>
        <v>-0.20315236427320493</v>
      </c>
      <c r="H85" s="107">
        <f>(('A.1. Conso_bâtiment_EF H2'!Z107+'A.1. Conso_bâtiment_EF H2'!AA107*'D.1. Facteur d''émissions'!C47)/('A.1. Conso_bâtiment_EF H2'!Y104))-1</f>
        <v>-0.28009340338587274</v>
      </c>
      <c r="I85" s="107">
        <f>('A.1. Conso_bâtiment_EF H2'!Z108*'D.1. Facteur d''émissions'!C37+'A.1. Conso_bâtiment_EF H2'!AA108*2.3)/('A.1. Conso_bâtiment_EF H2'!Y104*'D.1. Facteur d''émissions'!C37)-1</f>
        <v>-0.36937896942058479</v>
      </c>
      <c r="J85" s="107">
        <f>(('A.1. Conso_bâtiment_EF H2'!Y109)/('A.1. Conso_bâtiment_EF H2'!Y104))-1</f>
        <v>-0.42089900758902521</v>
      </c>
      <c r="K85" s="107">
        <f>('A.1. Conso_bâtiment_EF H2'!Z110+'A.1. Conso_bâtiment_EF H2'!AA110*'D.1. Facteur d''émissions'!C47)/('A.1. Conso_bâtiment_EF H2'!Y104)-1</f>
        <v>-0.47880910683012257</v>
      </c>
      <c r="L85" s="652"/>
      <c r="M85" s="107">
        <f>('A.1. Conso_bâtiment_EF H2'!Y111)/('A.1. Conso_bâtiment_EF H2'!Y104)-1</f>
        <v>-0.24985405720957388</v>
      </c>
      <c r="P85" s="117"/>
      <c r="Q85" s="1157"/>
      <c r="S85" s="258" t="s">
        <v>185</v>
      </c>
      <c r="T85" s="659" t="s">
        <v>286</v>
      </c>
      <c r="U85" s="658" t="s">
        <v>285</v>
      </c>
      <c r="V85" s="107">
        <f>G85</f>
        <v>-0.20315236427320493</v>
      </c>
      <c r="W85" s="107">
        <f>-(('A.1. Conso_bâtiment_EF H2'!Z104*'D.1. Facteur d''émissions'!C8)-(('A.1. Conso_bâtiment_EF H2'!AA107*'D.1. Facteur d''émissions'!C15)+('A.1. Conso_bâtiment_EF H2'!Z107*'D.1. Facteur d''émissions'!C8)))/('A.1. Conso_bâtiment_EF H2'!Z104*'D.1. Facteur d''émissions'!C8)</f>
        <v>-0.80132972811896241</v>
      </c>
      <c r="X85" s="107">
        <f>-(('A.1. Conso_bâtiment_EF H2'!Z104*'D.1. Facteur d''émissions'!C8)-(('A.1. Conso_bâtiment_EF H2'!AA108*'D.1. Facteur d''émissions'!C15)+('A.1. Conso_bâtiment_EF H2'!Z108*'D.1. Facteur d''émissions'!C8)))/('A.1. Conso_bâtiment_EF H2'!Z104*'D.1. Facteur d''émissions'!C8)</f>
        <v>-0.64676226835398509</v>
      </c>
      <c r="Y85" s="107">
        <f>J85</f>
        <v>-0.42089900758902521</v>
      </c>
      <c r="Z85" s="107">
        <f>-(('A.1. Conso_bâtiment_EF H2'!Y104*'D.1. Facteur d''émissions'!C8)-(('A.1. Conso_bâtiment_EF H2'!Z110*'D.1. Facteur d''émissions'!C15)+('A.1. Conso_bâtiment_EF H2'!AA110*'D.1. Facteur d''émissions'!C8)))/('A.1. Conso_bâtiment_EF H2'!Y104*'D.1. Facteur d''émissions'!C8)</f>
        <v>-0.7997493936351846</v>
      </c>
      <c r="AA85" s="107"/>
      <c r="AB85" s="107">
        <f>M85</f>
        <v>-0.24985405720957388</v>
      </c>
      <c r="AC85" s="1124"/>
    </row>
    <row r="86" spans="2:29" ht="32.450000000000003" customHeight="1" x14ac:dyDescent="0.35">
      <c r="B86" s="1157"/>
      <c r="D86" s="258" t="s">
        <v>186</v>
      </c>
      <c r="E86" s="659" t="s">
        <v>286</v>
      </c>
      <c r="F86" s="659" t="s">
        <v>286</v>
      </c>
      <c r="G86" s="658" t="s">
        <v>285</v>
      </c>
      <c r="H86" s="107">
        <f>(('A.1. Conso_bâtiment_EF H2'!Z107+'A.1. Conso_bâtiment_EF H2'!AA107*'D.1. Facteur d''émissions'!C47)/('A.1. Conso_bâtiment_EF H2'!Y106))-1</f>
        <v>-9.6556776556776525E-2</v>
      </c>
      <c r="I86" s="107">
        <f>('A.1. Conso_bâtiment_EF H2'!Z108*'D.1. Facteur d''émissions'!C37+'A.1. Conso_bâtiment_EF H2'!AA108*2.3)/('A.1. Conso_bâtiment_EF H2'!Y106*'D.1. Facteur d''émissions'!C37)-1</f>
        <v>-0.20860525613000858</v>
      </c>
      <c r="J86" s="107">
        <f>('A.1. Conso_bâtiment_EF H2'!Y109)/('A.1. Conso_bâtiment_EF H2'!Y106)-1</f>
        <v>-0.27326007326007329</v>
      </c>
      <c r="K86" s="107">
        <f>('A.1. Conso_bâtiment_EF H2'!Z110+'A.1. Conso_bâtiment_EF H2'!AA110*'D.1. Facteur d''émissions'!C47)/('A.1. Conso_bâtiment_EF H2'!Y106)-1</f>
        <v>-0.34593406593406595</v>
      </c>
      <c r="L86" s="652"/>
      <c r="M86" s="107">
        <f>('A.1. Conso_bâtiment_EF H2'!Y111)/('A.1. Conso_bâtiment_EF H2'!Y106)-1</f>
        <v>-5.8608058608058622E-2</v>
      </c>
      <c r="P86" s="117"/>
      <c r="Q86" s="1157"/>
      <c r="S86" s="258" t="s">
        <v>186</v>
      </c>
      <c r="T86" s="659" t="s">
        <v>286</v>
      </c>
      <c r="U86" s="659" t="s">
        <v>286</v>
      </c>
      <c r="V86" s="658" t="s">
        <v>285</v>
      </c>
      <c r="W86" s="107">
        <f>-(('A.1. Conso_bâtiment_EF H2'!Z106*'D.1. Facteur d''émissions'!C8)-(('A.1. Conso_bâtiment_EF H2'!AA107*'D.1. Facteur d''émissions'!C15)+('A.1. Conso_bâtiment_EF H2'!Z107*'D.1. Facteur d''émissions'!C8)))/('A.1. Conso_bâtiment_EF H2'!Z106*'D.1. Facteur d''émissions'!C8)</f>
        <v>-0.75067972473830225</v>
      </c>
      <c r="X86" s="107">
        <f>-(('A.1. Conso_bâtiment_EF H2'!Z106*'D.1. Facteur d''émissions'!C8)-(('A.1. Conso_bâtiment_EF H2'!AA108*'D.1. Facteur d''émissions'!C15)+('A.1. Conso_bâtiment_EF H2'!Z108*'D.1. Facteur d''émissions'!C8)))/('A.1. Conso_bâtiment_EF H2'!Z106*'D.1. Facteur d''émissions'!C8)</f>
        <v>-0.5567060554508253</v>
      </c>
      <c r="Y86" s="107">
        <f>J86</f>
        <v>-0.27326007326007329</v>
      </c>
      <c r="Z86" s="107">
        <f>-(('A.1. Conso_bâtiment_EF H2'!Y106*'D.1. Facteur d''émissions'!C8)-(('A.1. Conso_bâtiment_EF H2'!Z110*'D.1. Facteur d''émissions'!C15)+('A.1. Conso_bâtiment_EF H2'!AA110*'D.1. Facteur d''émissions'!C8)))/('A.1. Conso_bâtiment_EF H2'!Y106*'D.1. Facteur d''émissions'!C8)</f>
        <v>-0.74869649179272613</v>
      </c>
      <c r="AA86" s="107"/>
      <c r="AB86" s="107">
        <f>M86</f>
        <v>-5.8608058608058622E-2</v>
      </c>
      <c r="AC86" s="1124"/>
    </row>
    <row r="87" spans="2:29" ht="32.450000000000003" customHeight="1" x14ac:dyDescent="0.35">
      <c r="B87" s="1157"/>
      <c r="D87" s="258" t="s">
        <v>187</v>
      </c>
      <c r="E87" s="659" t="s">
        <v>286</v>
      </c>
      <c r="F87" s="659" t="s">
        <v>286</v>
      </c>
      <c r="G87" s="659" t="s">
        <v>286</v>
      </c>
      <c r="H87" s="658" t="s">
        <v>285</v>
      </c>
      <c r="I87" s="107">
        <f>('A.1. Conso_bâtiment_EF H2'!Z108*'D.1. Facteur d''émissions'!C37+'A.1. Conso_bâtiment_EF H2'!AA108*2.3)/('A.1. Conso_bâtiment_EF H2'!Z107*'D.1. Facteur d''émissions'!C37+'A.1. Conso_bâtiment_EF H2'!AA107*2.3)-1</f>
        <v>-4.6949657940815737E-2</v>
      </c>
      <c r="J87" s="659" t="s">
        <v>286</v>
      </c>
      <c r="K87" s="107">
        <f>('A.1. Conso_bâtiment_EF H2'!Z110+'A.1. Conso_bâtiment_EF H2'!AA110*'D.1. Facteur d''émissions'!C47)/('A.1. Conso_bâtiment_EF H2'!Z107+'A.1. Conso_bâtiment_EF H2'!AA107*'D.1. Facteur d''émissions'!C47)-1</f>
        <v>-0.27602984106389883</v>
      </c>
      <c r="L87" s="671"/>
      <c r="M87" s="659" t="s">
        <v>286</v>
      </c>
      <c r="P87" s="117"/>
      <c r="Q87" s="1157"/>
      <c r="S87" s="258" t="s">
        <v>187</v>
      </c>
      <c r="T87" s="659" t="s">
        <v>286</v>
      </c>
      <c r="U87" s="659" t="s">
        <v>286</v>
      </c>
      <c r="V87" s="659" t="s">
        <v>286</v>
      </c>
      <c r="W87" s="658" t="s">
        <v>285</v>
      </c>
      <c r="X87" s="553">
        <f>-((('A.1. Conso_bâtiment_EF H2'!AA107*'D.1. Facteur d''émissions'!C15)+('A.1. Conso_bâtiment_EF H2'!Z107*'D.1. Facteur d''émissions'!C8))-(('A.1. Conso_bâtiment_EF H2'!AA108*'D.1. Facteur d''émissions'!C15)+('A.1. Conso_bâtiment_EF H2'!Z108*'D.1. Facteur d''émissions'!C8)))/(('A.1. Conso_bâtiment_EF H2'!AA107*'D.1. Facteur d''émissions'!C15)+('A.1. Conso_bâtiment_EF H2'!Z107*'D.1. Facteur d''émissions'!C8))</f>
        <v>0.77801000774555262</v>
      </c>
      <c r="Y87" s="659" t="s">
        <v>286</v>
      </c>
      <c r="Z87" s="107">
        <f>-((('A.1. Conso_bâtiment_EF H2'!Z107*'D.1. Facteur d''émissions'!C15)+('A.1. Conso_bâtiment_EF H2'!AA107*'D.1. Facteur d''émissions'!C8))-(('A.1. Conso_bâtiment_EF H2'!Z110*'D.1. Facteur d''émissions'!C15)+('A.1. Conso_bâtiment_EF H2'!AA110*'D.1. Facteur d''émissions'!C8)))/(('A.1. Conso_bâtiment_EF H2'!Z107*'D.1. Facteur d''émissions'!C15)+('A.1. Conso_bâtiment_EF H2'!AA107*'D.1. Facteur d''émissions'!C8))</f>
        <v>-0.3014076826067692</v>
      </c>
      <c r="AA87" s="671"/>
      <c r="AB87" s="659" t="s">
        <v>286</v>
      </c>
      <c r="AC87" s="1125"/>
    </row>
    <row r="88" spans="2:29" ht="32.450000000000003" customHeight="1" x14ac:dyDescent="0.35">
      <c r="B88" s="1157"/>
      <c r="D88" s="258" t="s">
        <v>289</v>
      </c>
      <c r="E88" s="659" t="s">
        <v>286</v>
      </c>
      <c r="F88" s="659" t="s">
        <v>286</v>
      </c>
      <c r="G88" s="659" t="s">
        <v>286</v>
      </c>
      <c r="H88" s="553">
        <f>(('A.1. Conso_bâtiment_EF H2'!Z107+'A.1. Conso_bâtiment_EF H2'!AA107*'D.1. Facteur d''émissions'!C47)/('A.1. Conso_bâtiment_EF H2'!Z108+'A.1. Conso_bâtiment_EF H2'!AA108*'D.1. Facteur d''émissions'!C47))-1</f>
        <v>8.1754385964912357E-2</v>
      </c>
      <c r="I88" s="658" t="s">
        <v>285</v>
      </c>
      <c r="J88" s="107">
        <f>('A.1. Conso_bâtiment_EF H2'!Y109)/('A.1. Conso_bâtiment_EF H2'!Z108+'A.1. Conso_bâtiment_EF H2'!AA108*'D.1. Facteur d''émissions'!C47)-1</f>
        <v>-0.12982456140350884</v>
      </c>
      <c r="K88" s="107">
        <f>('A.1. Conso_bâtiment_EF H2'!Z110+'A.1. Conso_bâtiment_EF H2'!AA110*'D.1. Facteur d''émissions'!C47)/('A.1. Conso_bâtiment_EF H2'!Z108+'A.1. Conso_bâtiment_EF H2'!AA108*'D.1. Facteur d''émissions'!C47)-1</f>
        <v>-0.21684210526315784</v>
      </c>
      <c r="L88" s="671"/>
      <c r="M88" s="659"/>
      <c r="P88" s="117"/>
      <c r="Q88" s="1157"/>
      <c r="S88" s="258" t="s">
        <v>289</v>
      </c>
      <c r="T88" s="659" t="s">
        <v>286</v>
      </c>
      <c r="U88" s="659" t="s">
        <v>286</v>
      </c>
      <c r="V88" s="659" t="s">
        <v>286</v>
      </c>
      <c r="W88" s="658"/>
      <c r="X88" s="658" t="s">
        <v>285</v>
      </c>
      <c r="Y88" s="659"/>
      <c r="Z88" s="107">
        <f>-((('A.1. Conso_bâtiment_EF H2'!Z108*'D.1. Facteur d''émissions'!C15)+('A.1. Conso_bâtiment_EF H2'!AA108*'D.1. Facteur d''émissions'!C8))-(('A.1. Conso_bâtiment_EF H2'!Z110*'D.1. Facteur d''émissions'!C15)+('A.1. Conso_bâtiment_EF H2'!AA110*'D.1. Facteur d''émissions'!C8)))/(('A.1. Conso_bâtiment_EF H2'!Z108*'D.1. Facteur d''émissions'!C15)+('A.1. Conso_bâtiment_EF H2'!AA108*'D.1. Facteur d''émissions'!C8))</f>
        <v>-0.12387791741472175</v>
      </c>
      <c r="AA88" s="671"/>
      <c r="AB88" s="659" t="s">
        <v>286</v>
      </c>
      <c r="AC88" s="1125"/>
    </row>
    <row r="89" spans="2:29" ht="32.450000000000003" customHeight="1" x14ac:dyDescent="0.35">
      <c r="B89" s="1157"/>
      <c r="D89" s="258" t="s">
        <v>189</v>
      </c>
      <c r="E89" s="659" t="s">
        <v>286</v>
      </c>
      <c r="F89" s="659" t="s">
        <v>286</v>
      </c>
      <c r="G89" s="659" t="s">
        <v>286</v>
      </c>
      <c r="H89" s="553">
        <f>('A.1. Conso_bâtiment_EF H2'!Z107+'A.1. Conso_bâtiment_EF H2'!AA107*'D.1. Facteur d''émissions'!C47)/('A.1. Conso_bâtiment_EF H2'!Y109)-1</f>
        <v>0.24314516129032282</v>
      </c>
      <c r="I89" s="553">
        <f>('A.1. Conso_bâtiment_EF H2'!Z108*'D.1. Facteur d''émissions'!C37+'A.1. Conso_bâtiment_EF H2'!AA108*2.3)/('A.1. Conso_bâtiment_EF H2'!Y109*'D.1. Facteur d''émissions'!C37)-1</f>
        <v>8.8965549780784636E-2</v>
      </c>
      <c r="J89" s="658" t="s">
        <v>285</v>
      </c>
      <c r="K89" s="107">
        <f>('A.1. Conso_bâtiment_EF H2'!Z110+'A.1. Conso_bâtiment_EF H2'!AA110*'D.1. Facteur d''émissions'!C47)/('A.1. Conso_bâtiment_EF H2'!Y109)-1</f>
        <v>-9.9999999999999867E-2</v>
      </c>
      <c r="L89" s="658"/>
      <c r="M89" s="659" t="s">
        <v>286</v>
      </c>
      <c r="N89" s="1155" t="s">
        <v>290</v>
      </c>
      <c r="O89" s="1156"/>
      <c r="P89" s="117"/>
      <c r="Q89" s="1157"/>
      <c r="S89" s="258" t="s">
        <v>189</v>
      </c>
      <c r="T89" s="659" t="s">
        <v>286</v>
      </c>
      <c r="U89" s="659" t="s">
        <v>286</v>
      </c>
      <c r="V89" s="659" t="s">
        <v>286</v>
      </c>
      <c r="W89" s="107">
        <f>-(('A.1. Conso_bâtiment_EF H2'!Z109*'D.1. Facteur d''émissions'!C8)-(('A.1. Conso_bâtiment_EF H2'!AA107*'D.1. Facteur d''émissions'!C15)+('A.1. Conso_bâtiment_EF H2'!Z107*'D.1. Facteur d''émissions'!C8)))/('A.1. Conso_bâtiment_EF H2'!Z109*'D.1. Facteur d''émissions'!C8)</f>
        <v>-0.65693329059252259</v>
      </c>
      <c r="X89" s="107">
        <f>-(('A.1. Conso_bâtiment_EF H2'!Z109*'D.1. Facteur d''émissions'!C8)-(('A.1. Conso_bâtiment_EF H2'!AA108*'D.1. Facteur d''émissions'!C15)+('A.1. Conso_bâtiment_EF H2'!Z108*'D.1. Facteur d''émissions'!C8)))/('A.1. Conso_bâtiment_EF H2'!Z109*'D.1. Facteur d''émissions'!C8)</f>
        <v>-0.39002395734916984</v>
      </c>
      <c r="Y89" s="658" t="s">
        <v>285</v>
      </c>
      <c r="Z89" s="107">
        <f>-(('A.1. Conso_bâtiment_EF H2'!Y109*'D.1. Facteur d''émissions'!C8)-(('A.1. Conso_bâtiment_EF H2'!Z110*'D.1. Facteur d''émissions'!C15)+('A.1. Conso_bâtiment_EF H2'!AA110*'D.1. Facteur d''émissions'!C8)))/('A.1. Conso_bâtiment_EF H2'!Y109*'D.1. Facteur d''émissions'!C8)</f>
        <v>-0.65420434606559585</v>
      </c>
      <c r="AA89" s="658"/>
      <c r="AB89" s="659" t="s">
        <v>286</v>
      </c>
      <c r="AC89" s="1125"/>
    </row>
    <row r="90" spans="2:29" ht="32.450000000000003" customHeight="1" x14ac:dyDescent="0.35">
      <c r="B90" s="1157"/>
      <c r="D90" s="258" t="s">
        <v>190</v>
      </c>
      <c r="E90" s="659" t="s">
        <v>286</v>
      </c>
      <c r="F90" s="659" t="s">
        <v>286</v>
      </c>
      <c r="G90" s="659" t="s">
        <v>286</v>
      </c>
      <c r="H90" s="553">
        <f>(('A.1. Conso_bâtiment_EF H2'!Z107+'A.1. Conso_bâtiment_EF H2'!AA107*'D.1. Facteur d''émissions'!C47)/('A.1. Conso_bâtiment_EF H2'!Z110+'A.1. Conso_bâtiment_EF H2'!AA110*'D.1. Facteur d''émissions'!C47))-1</f>
        <v>0.3812724014336919</v>
      </c>
      <c r="I90" s="553">
        <f>('A.1. Conso_bâtiment_EF H2'!Z108*'D.1. Facteur d''émissions'!C37+'A.1. Conso_bâtiment_EF H2'!AA108*2.3)/('A.1. Conso_bâtiment_EF H2'!Y110*'D.1. Facteur d''émissions'!C37)-1</f>
        <v>1.0734238491027606</v>
      </c>
      <c r="J90" s="553">
        <f>('A.1. Conso_bâtiment_EF H2'!Y109)/('A.1. Conso_bâtiment_EF H2'!Z110+'A.1. Conso_bâtiment_EF H2'!AA110*'D.1. Facteur d''émissions'!C47)-1</f>
        <v>0.11111111111111094</v>
      </c>
      <c r="K90" s="658" t="s">
        <v>285</v>
      </c>
      <c r="L90" s="658"/>
      <c r="M90" s="659"/>
      <c r="N90" s="1155"/>
      <c r="O90" s="1156"/>
      <c r="P90" s="117"/>
      <c r="Q90" s="1157"/>
      <c r="S90" s="258" t="s">
        <v>190</v>
      </c>
      <c r="T90" s="659" t="s">
        <v>286</v>
      </c>
      <c r="U90" s="659" t="s">
        <v>286</v>
      </c>
      <c r="V90" s="659" t="s">
        <v>286</v>
      </c>
      <c r="W90" s="659" t="s">
        <v>286</v>
      </c>
      <c r="X90" s="553" t="e">
        <f>-((('A.1. Conso_bâtiment_EF H2'!AA110*'D.1. Facteur d''émissions'!#REF!)+('A.1. Conso_bâtiment_EF H2'!Z110*'D.1. Facteur d''émissions'!C8))-(('A.1. Conso_bâtiment_EF H2'!AA108*'D.1. Facteur d''émissions'!C15)+('A.1. Conso_bâtiment_EF H2'!Z108*'D.1. Facteur d''émissions'!C8)))/(('A.1. Conso_bâtiment_EF H2'!AA110*'D.1. Facteur d''émissions'!#REF!)+('A.1. Conso_bâtiment_EF H2'!Z110*'D.1. Facteur d''émissions'!C8))</f>
        <v>#REF!</v>
      </c>
      <c r="Y90" s="658"/>
      <c r="Z90" s="658" t="s">
        <v>285</v>
      </c>
      <c r="AA90" s="658"/>
      <c r="AB90" s="659" t="s">
        <v>286</v>
      </c>
      <c r="AC90" s="1125"/>
    </row>
    <row r="91" spans="2:29" ht="32.450000000000003" customHeight="1" x14ac:dyDescent="0.35">
      <c r="B91" s="1157"/>
      <c r="D91" s="672" t="s">
        <v>283</v>
      </c>
      <c r="E91" s="659" t="s">
        <v>286</v>
      </c>
      <c r="F91" s="659" t="s">
        <v>286</v>
      </c>
      <c r="G91" s="659" t="s">
        <v>286</v>
      </c>
      <c r="H91" s="652"/>
      <c r="I91" s="652"/>
      <c r="J91" s="658"/>
      <c r="K91" s="658"/>
      <c r="L91" s="658" t="s">
        <v>285</v>
      </c>
      <c r="M91" s="659"/>
      <c r="N91" s="1155"/>
      <c r="O91" s="1156"/>
      <c r="P91" s="117"/>
      <c r="Q91" s="1157"/>
      <c r="S91" s="672" t="s">
        <v>283</v>
      </c>
      <c r="T91" s="659" t="s">
        <v>286</v>
      </c>
      <c r="U91" s="659" t="s">
        <v>286</v>
      </c>
      <c r="V91" s="659" t="s">
        <v>286</v>
      </c>
      <c r="W91" s="652"/>
      <c r="X91" s="652"/>
      <c r="Y91" s="658"/>
      <c r="Z91" s="658"/>
      <c r="AA91" s="658" t="s">
        <v>285</v>
      </c>
      <c r="AB91" s="659" t="s">
        <v>286</v>
      </c>
      <c r="AC91" s="1125"/>
    </row>
    <row r="92" spans="2:29" ht="32.450000000000003" customHeight="1" x14ac:dyDescent="0.35">
      <c r="B92" s="1157"/>
      <c r="D92" s="258" t="s">
        <v>191</v>
      </c>
      <c r="E92" s="659" t="s">
        <v>286</v>
      </c>
      <c r="F92" s="659" t="s">
        <v>286</v>
      </c>
      <c r="G92" s="659" t="s">
        <v>286</v>
      </c>
      <c r="H92" s="107">
        <f>('A.1. Conso_bâtiment_EF H2'!Z107+'A.1. Conso_bâtiment_EF H2'!AA107*'D.1. Facteur d''émissions'!C47)/('A.1. Conso_bâtiment_EF H2'!Y111)-1</f>
        <v>-4.0311284046692597E-2</v>
      </c>
      <c r="I92" s="107">
        <f>('A.1. Conso_bâtiment_EF H2'!Z108+'A.1. Conso_bâtiment_EF H2'!AA108*'D.1. Facteur d''émissions'!C47)/('A.1. Conso_bâtiment_EF H2'!Y111)-1</f>
        <v>-0.11284046692607008</v>
      </c>
      <c r="J92" s="107">
        <f>('A.1. Conso_bâtiment_EF H2'!Y109)/('A.1. Conso_bâtiment_EF H2'!Y111)-1</f>
        <v>-0.22801556420233471</v>
      </c>
      <c r="K92" s="107">
        <f>('A.1. Conso_bâtiment_EF H2'!Z110+'A.1. Conso_bâtiment_EF H2'!AA110*'D.1. Facteur d''émissions'!C47)/('A.1. Conso_bâtiment_EF H2'!Y111)-1</f>
        <v>-0.30521400778210117</v>
      </c>
      <c r="L92" s="658"/>
      <c r="M92" s="658" t="s">
        <v>285</v>
      </c>
      <c r="N92" s="1155"/>
      <c r="O92" s="1156"/>
      <c r="P92" s="117"/>
      <c r="Q92" s="1157"/>
      <c r="S92" s="258" t="s">
        <v>191</v>
      </c>
      <c r="T92" s="659" t="s">
        <v>286</v>
      </c>
      <c r="U92" s="659" t="s">
        <v>286</v>
      </c>
      <c r="V92" s="659" t="s">
        <v>286</v>
      </c>
      <c r="W92" s="107">
        <f>-(('A.1. Conso_bâtiment_EF H2'!Z111*'D.1. Facteur d''émissions'!C8)-(('A.1. Conso_bâtiment_EF H2'!AA107*'D.1. Facteur d''émissions'!C15)+('A.1. Conso_bâtiment_EF H2'!Z107*'D.1. Facteur d''émissions'!C8)))/('A.1. Conso_bâtiment_EF H2'!Z111*'D.1. Facteur d''émissions'!C8)</f>
        <v>-0.73515783989710692</v>
      </c>
      <c r="X92" s="107">
        <f>-(('A.1. Conso_bâtiment_EF H2'!Z111*'D.1. Facteur d''émissions'!C8)-(('A.1. Conso_bâtiment_EF H2'!AA108*'D.1. Facteur d''émissions'!C15)+('A.1. Conso_bâtiment_EF H2'!Z108*'D.1. Facteur d''émissions'!C8)))/('A.1. Conso_bâtiment_EF H2'!Z111*'D.1. Facteur d''émissions'!C8)</f>
        <v>-0.52910798886410626</v>
      </c>
      <c r="Y92" s="107">
        <f>J92</f>
        <v>-0.22801556420233471</v>
      </c>
      <c r="Z92" s="107">
        <f>-(('A.1. Conso_bâtiment_EF H2'!Z111*'D.1. Facteur d''émissions'!C8)-(('A.1. Conso_bâtiment_EF H2'!Z110*'D.1. Facteur d''émissions'!C15)+('A.1. Conso_bâtiment_EF H2'!AA110*'D.1. Facteur d''émissions'!C8)))/('A.1. Conso_bâtiment_EF H2'!Z111*'D.1. Facteur d''émissions'!C8)</f>
        <v>-0.73305113719616433</v>
      </c>
      <c r="AA92" s="107"/>
      <c r="AB92" s="658" t="s">
        <v>285</v>
      </c>
      <c r="AC92" s="1127"/>
    </row>
    <row r="93" spans="2:29" ht="36" customHeight="1" x14ac:dyDescent="0.35">
      <c r="D93" s="253" t="s">
        <v>196</v>
      </c>
      <c r="E93" s="659" t="s">
        <v>286</v>
      </c>
      <c r="F93" s="553">
        <f>('A.1. Conso_bâtiment_EF H2'!Y104)/('A.1. Conso_bâtiment_EF H2'!AB116)-1</f>
        <v>0.12034009156311321</v>
      </c>
      <c r="G93" s="107">
        <f>('A.1. Conso_bâtiment_EF H2'!Y106)/('A.1. Conso_bâtiment_EF H2'!AB116)-1</f>
        <v>-0.10725964682799216</v>
      </c>
      <c r="H93" s="107">
        <f>('A.1. Conso_bâtiment_EF H2'!Z107+'A.1. Conso_bâtiment_EF H2'!AA107*'D.1. Facteur d''émissions'!C47)/('A.1. Conso_bâtiment_EF H2'!AB116)-1</f>
        <v>-0.19345977763243949</v>
      </c>
      <c r="I93" s="107">
        <f>('A.1. Conso_bâtiment_EF H2'!Z108+'A.1. Conso_bâtiment_EF H2'!AA108*'D.1. Facteur d''émissions'!C47)/('A.1. Conso_bâtiment_EF H2'!AB116)-1</f>
        <v>-0.25441465009810338</v>
      </c>
      <c r="J93" s="107">
        <f>(('A.1. Conso_bâtiment_EF H2'!Y109)/('A.1. Conso_bâtiment_EF H2'!AB116))-1</f>
        <v>-0.35120994113799875</v>
      </c>
      <c r="K93" s="107">
        <f>('A.1. Conso_bâtiment_EF H2'!Z110+'A.1. Conso_bâtiment_EF H2'!AA110*'D.1. Facteur d''émissions'!C47)/('A.1. Conso_bâtiment_EF H2'!AB116)-1</f>
        <v>-0.41608894702419885</v>
      </c>
      <c r="L93" s="652"/>
      <c r="M93" s="107">
        <f>('A.1. Conso_bâtiment_EF H2'!Y111)/('A.1. Conso_bâtiment_EF H2'!AB116)-1</f>
        <v>-0.15958142576847612</v>
      </c>
      <c r="P93" s="117"/>
      <c r="Q93" s="1157"/>
      <c r="S93" s="253" t="s">
        <v>196</v>
      </c>
      <c r="T93" s="659" t="s">
        <v>286</v>
      </c>
      <c r="U93" s="659" t="s">
        <v>286</v>
      </c>
      <c r="V93" s="107">
        <f>-('A.1. Conso_bâtiment_EF H2'!AB116*'D.1. Facteur d''émissions'!C7-'A.1. Conso_bâtiment_EF H2'!Z106*'D.1. Facteur d''émissions'!C8)/('A.1. Conso_bâtiment_EF H2'!AB116*'D.1. Facteur d''émissions'!C7)</f>
        <v>-0.34146622096262386</v>
      </c>
      <c r="W93" s="107">
        <f>-(('A.1. Conso_bâtiment_EF H2'!AB116*'D.1. Facteur d''émissions'!C7)-(('A.1. Conso_bâtiment_EF H2'!AA107*'D.1. Facteur d''émissions'!C15)+('A.1. Conso_bâtiment_EF H2'!Z107*'D.1. Facteur d''émissions'!C8)))/('A.1. Conso_bâtiment_EF H2'!AB116*'D.1. Facteur d''émissions'!C7)</f>
        <v>-0.83581417694127536</v>
      </c>
      <c r="X93" s="107">
        <f>-(('A.1. Conso_bâtiment_EF H2'!AB116*'D.1. Facteur d''émissions'!C7)-(('A.1. Conso_bâtiment_EF H2'!AA108*'D.1. Facteur d''émissions'!C15)+('A.1. Conso_bâtiment_EF H2'!Z108*'D.1. Facteur d''émissions'!C8)))/('A.1. Conso_bâtiment_EF H2'!AB116*'D.1. Facteur d''émissions'!C7)</f>
        <v>-0.70807596347164681</v>
      </c>
      <c r="Y93" s="107">
        <f>-('A.1. Conso_bâtiment_EF H2'!AB116*'D.1. Facteur d''émissions'!C7-'A.1. Conso_bâtiment_EF H2'!Z109*'D.1. Facteur d''émissions'!C8)/('A.1. Conso_bâtiment_EF H2'!AB116*'D.1. Facteur d''émissions'!C7)</f>
        <v>-0.5214172096666102</v>
      </c>
      <c r="Z93" s="107">
        <f>-(('A.1. Conso_bâtiment_EF H2'!AB116*'D.1. Facteur d''émissions'!C7)-(('A.1. Conso_bâtiment_EF H2'!Z110*'D.1. Facteur d''émissions'!C15)+('A.1. Conso_bâtiment_EF H2'!AA110*'D.1. Facteur d''émissions'!C8)))/('A.1. Conso_bâtiment_EF H2'!AB116*'D.1. Facteur d''émissions'!C7)</f>
        <v>-0.83450815105491361</v>
      </c>
      <c r="AA93" s="107"/>
      <c r="AB93" s="107">
        <f>-('A.1. Conso_bâtiment_EF H2'!AB116*'D.1. Facteur d''émissions'!C7-'A.1. Conso_bâtiment_EF H2'!Z111*'D.1. Facteur d''émissions'!C8)/('A.1. Conso_bâtiment_EF H2'!AB116*'D.1. Facteur d''émissions'!C7)</f>
        <v>-0.38006160727983274</v>
      </c>
      <c r="AC93" s="1124"/>
    </row>
    <row r="94" spans="2:29" ht="36" customHeight="1" x14ac:dyDescent="0.35">
      <c r="D94" s="253" t="s">
        <v>197</v>
      </c>
      <c r="E94" s="659" t="s">
        <v>286</v>
      </c>
      <c r="F94" s="553">
        <f>('A.1. Conso_bâtiment_EF H2'!Y104)/('A.1. Conso_bâtiment_EF H2'!AB117)-1</f>
        <v>0.48827106863596881</v>
      </c>
      <c r="G94" s="553">
        <f>('A.1. Conso_bâtiment_EF H2'!Y106)/('A.1. Conso_bâtiment_EF H2'!AB117)-1</f>
        <v>0.18592528236316253</v>
      </c>
      <c r="H94" s="553">
        <f>('A.1. Conso_bâtiment_EF H2'!Z107+'A.1. Conso_bâtiment_EF H2'!AA107*'D.1. Facteur d''émissions'!C47)/('A.1. Conso_bâtiment_EF H2'!AB117)-1</f>
        <v>7.1416159860990591E-2</v>
      </c>
      <c r="I94" s="107">
        <f>('A.1. Conso_bâtiment_EF H2'!Z108+'A.1. Conso_bâtiment_EF H2'!AA108*'D.1. Facteur d''émissions'!C47)/('A.1. Conso_bâtiment_EF H2'!AB117)-1</f>
        <v>-9.5569070373587861E-3</v>
      </c>
      <c r="J94" s="107">
        <f>(('A.1. Conso_bâtiment_EF H2'!Y109)/('A.1. Conso_bâtiment_EF H2'!AB117))-1</f>
        <v>-0.13814074717636848</v>
      </c>
      <c r="K94" s="107">
        <f>('A.1. Conso_bâtiment_EF H2'!Z110+'A.1. Conso_bâtiment_EF H2'!AA110*'D.1. Facteur d''émissions'!C47)/('A.1. Conso_bâtiment_EF H2'!AB117)-1</f>
        <v>-0.2243266724587315</v>
      </c>
      <c r="L94" s="652"/>
      <c r="M94" s="553">
        <f>('A.1. Conso_bâtiment_EF H2'!Y111)/('A.1. Conso_bâtiment_EF H2'!AB117)-1</f>
        <v>0.11642050390964376</v>
      </c>
      <c r="P94" s="117"/>
      <c r="Q94" s="1157"/>
      <c r="S94" s="253" t="s">
        <v>197</v>
      </c>
      <c r="T94" s="659" t="s">
        <v>286</v>
      </c>
      <c r="U94" s="659" t="s">
        <v>286</v>
      </c>
      <c r="V94" s="107">
        <f>-('A.1. Conso_bâtiment_EF H2'!AB117*'D.1. Facteur d''émissions'!C7-'A.1. Conso_bâtiment_EF H2'!Z106*'D.1. Facteur d''émissions'!C8)/('A.1. Conso_bâtiment_EF H2'!AB117*'D.1. Facteur d''émissions'!C7)</f>
        <v>-0.12519709109630919</v>
      </c>
      <c r="W94" s="107">
        <f>-(('A.1. Conso_bâtiment_EF H2'!AB117*'D.1. Facteur d''émissions'!C7)-(('A.1. Conso_bâtiment_EF H2'!AA107*'D.1. Facteur d''émissions'!C15)+('A.1. Conso_bâtiment_EF H2'!Z107*'D.1. Facteur d''émissions'!C8)))/('A.1. Conso_bâtiment_EF H2'!AB117*'D.1. Facteur d''émissions'!C7)</f>
        <v>-0.78189389795239783</v>
      </c>
      <c r="X94" s="107">
        <f>-(('A.1. Conso_bâtiment_EF H2'!AB117*'D.1. Facteur d''émissions'!C7)-(('A.1. Conso_bâtiment_EF H2'!AA108*'D.1. Facteur d''émissions'!C15)+('A.1. Conso_bâtiment_EF H2'!Z108*'D.1. Facteur d''émissions'!C8)))/('A.1. Conso_bâtiment_EF H2'!AB117*'D.1. Facteur d''émissions'!C7)</f>
        <v>-0.61220516780899059</v>
      </c>
      <c r="Y94" s="107">
        <f>-('A.1. Conso_bâtiment_EF H2'!AB117*'D.1. Facteur d''émissions'!C7-'A.1. Conso_bâtiment_EF H2'!Z109*'D.1. Facteur d''émissions'!C8)/('A.1. Conso_bâtiment_EF H2'!AB117*'D.1. Facteur d''émissions'!C7)</f>
        <v>-0.36424579807145702</v>
      </c>
      <c r="Z94" s="107">
        <f>-(('A.1. Conso_bâtiment_EF H2'!AB117*'D.1. Facteur d''émissions'!C7)-(('A.1. Conso_bâtiment_EF H2'!Z110*'D.1. Facteur d''émissions'!C15)+('A.1. Conso_bâtiment_EF H2'!AA110*'D.1. Facteur d''émissions'!C8)))/('A.1. Conso_bâtiment_EF H2'!AB117*'D.1. Facteur d''émissions'!C7)</f>
        <v>-0.78015896000257423</v>
      </c>
      <c r="AA94" s="107"/>
      <c r="AB94" s="107">
        <f>-('A.1. Conso_bâtiment_EF H2'!AB117*'D.1. Facteur d''émissions'!C7-'A.1. Conso_bâtiment_EF H2'!Z111*'D.1. Facteur d''émissions'!C8)/('A.1. Conso_bâtiment_EF H2'!AB117*'D.1. Facteur d''émissions'!C7)</f>
        <v>-0.17646759125183692</v>
      </c>
      <c r="AC94" s="1124"/>
    </row>
    <row r="95" spans="2:29" ht="14.45" customHeight="1" x14ac:dyDescent="0.25">
      <c r="P95" s="117"/>
    </row>
    <row r="96" spans="2:29" ht="14.45" customHeight="1" x14ac:dyDescent="0.25">
      <c r="P96" s="117"/>
      <c r="W96" s="135"/>
      <c r="X96" s="135"/>
    </row>
    <row r="97" spans="2:19" ht="14.45" customHeight="1" x14ac:dyDescent="0.25">
      <c r="P97" s="117"/>
    </row>
    <row r="98" spans="2:19" ht="14.45" customHeight="1" x14ac:dyDescent="0.25">
      <c r="P98" s="117"/>
      <c r="S98" s="135"/>
    </row>
    <row r="99" spans="2:19" ht="24.6" customHeight="1" x14ac:dyDescent="0.4">
      <c r="D99" s="554"/>
      <c r="P99" s="117"/>
    </row>
    <row r="100" spans="2:19" ht="14.45" customHeight="1" x14ac:dyDescent="0.25">
      <c r="P100" s="117"/>
    </row>
    <row r="101" spans="2:19" ht="14.45" customHeight="1" x14ac:dyDescent="0.25">
      <c r="P101" s="117"/>
    </row>
    <row r="102" spans="2:19" ht="14.45" customHeight="1" x14ac:dyDescent="0.25">
      <c r="E102" s="1158"/>
      <c r="F102" s="1158"/>
      <c r="G102" s="1158"/>
      <c r="H102" s="1158"/>
      <c r="I102" s="1158"/>
      <c r="J102" s="1158"/>
      <c r="K102" s="1158"/>
      <c r="L102" s="1158"/>
      <c r="M102" s="1158"/>
      <c r="N102" s="195"/>
      <c r="O102" s="195"/>
      <c r="P102" s="117"/>
    </row>
    <row r="103" spans="2:19" ht="14.45" customHeight="1" x14ac:dyDescent="0.25">
      <c r="P103" s="117"/>
    </row>
    <row r="104" spans="2:19" ht="87.6" customHeight="1" x14ac:dyDescent="0.25">
      <c r="B104" s="105"/>
      <c r="C104" s="105"/>
      <c r="D104" s="105"/>
      <c r="E104" s="196"/>
      <c r="F104" s="196"/>
      <c r="G104" s="196"/>
      <c r="H104" s="311"/>
      <c r="I104" s="311"/>
      <c r="J104" s="196"/>
      <c r="K104" s="196"/>
      <c r="L104" s="196"/>
      <c r="M104" s="196"/>
      <c r="N104" s="196"/>
      <c r="O104" s="196"/>
      <c r="P104" s="117"/>
    </row>
    <row r="105" spans="2:19" ht="40.5" customHeight="1" x14ac:dyDescent="0.3">
      <c r="B105" s="1159"/>
      <c r="D105" s="271"/>
      <c r="E105" s="190"/>
      <c r="F105" s="190"/>
      <c r="G105" s="191"/>
      <c r="H105" s="191"/>
      <c r="I105" s="191"/>
      <c r="J105" s="191"/>
      <c r="K105" s="191"/>
      <c r="L105" s="191"/>
      <c r="M105" s="191"/>
      <c r="N105" s="191"/>
      <c r="O105" s="191"/>
      <c r="P105" s="117"/>
    </row>
    <row r="106" spans="2:19" ht="40.5" customHeight="1" x14ac:dyDescent="0.3">
      <c r="B106" s="1159"/>
      <c r="D106" s="271"/>
      <c r="E106" s="192"/>
      <c r="F106" s="192"/>
      <c r="G106" s="192"/>
      <c r="H106" s="191"/>
      <c r="I106" s="191"/>
      <c r="J106" s="190"/>
      <c r="K106" s="190"/>
      <c r="L106" s="190"/>
      <c r="M106" s="192"/>
      <c r="N106" s="192"/>
      <c r="O106" s="192"/>
      <c r="P106" s="117"/>
    </row>
    <row r="107" spans="2:19" ht="40.5" customHeight="1" x14ac:dyDescent="0.3">
      <c r="B107" s="1159"/>
      <c r="D107" s="271"/>
      <c r="E107" s="192"/>
      <c r="F107" s="192"/>
      <c r="G107" s="192"/>
      <c r="H107" s="191"/>
      <c r="I107" s="191"/>
      <c r="J107" s="191"/>
      <c r="K107" s="191"/>
      <c r="L107" s="191"/>
      <c r="M107" s="190"/>
      <c r="N107" s="192"/>
      <c r="O107" s="190"/>
      <c r="P107" s="117"/>
    </row>
    <row r="108" spans="2:19" x14ac:dyDescent="0.25">
      <c r="P108" s="117"/>
    </row>
    <row r="109" spans="2:19" x14ac:dyDescent="0.25">
      <c r="P109" s="117"/>
    </row>
    <row r="110" spans="2:19" x14ac:dyDescent="0.25">
      <c r="P110" s="117"/>
    </row>
    <row r="111" spans="2:19" x14ac:dyDescent="0.25">
      <c r="P111" s="117"/>
    </row>
    <row r="112" spans="2:19" x14ac:dyDescent="0.25">
      <c r="P112" s="117"/>
    </row>
    <row r="113" spans="16:16" x14ac:dyDescent="0.25">
      <c r="P113" s="117"/>
    </row>
    <row r="114" spans="16:16" x14ac:dyDescent="0.25">
      <c r="P114" s="117"/>
    </row>
    <row r="115" spans="16:16" x14ac:dyDescent="0.25">
      <c r="P115" s="117"/>
    </row>
    <row r="116" spans="16:16" x14ac:dyDescent="0.25">
      <c r="P116" s="117"/>
    </row>
    <row r="117" spans="16:16" x14ac:dyDescent="0.25">
      <c r="P117" s="117"/>
    </row>
    <row r="118" spans="16:16" x14ac:dyDescent="0.25">
      <c r="P118" s="117"/>
    </row>
    <row r="119" spans="16:16" x14ac:dyDescent="0.25">
      <c r="P119" s="117"/>
    </row>
  </sheetData>
  <mergeCells count="20">
    <mergeCell ref="T16:AB16"/>
    <mergeCell ref="T44:AB44"/>
    <mergeCell ref="T63:AB63"/>
    <mergeCell ref="Q47:Q56"/>
    <mergeCell ref="Q19:Q31"/>
    <mergeCell ref="B105:B107"/>
    <mergeCell ref="E81:M81"/>
    <mergeCell ref="B84:B92"/>
    <mergeCell ref="B47:B55"/>
    <mergeCell ref="E16:M16"/>
    <mergeCell ref="E44:M44"/>
    <mergeCell ref="E63:M63"/>
    <mergeCell ref="B66:B76"/>
    <mergeCell ref="B19:B31"/>
    <mergeCell ref="T81:AB81"/>
    <mergeCell ref="N89:O92"/>
    <mergeCell ref="Q84:Q94"/>
    <mergeCell ref="Q66:Q76"/>
    <mergeCell ref="E102:M102"/>
    <mergeCell ref="N71:O7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F8499-B062-46C9-8E65-D51087A304A5}">
  <sheetPr>
    <tabColor theme="5" tint="0.79998168889431442"/>
  </sheetPr>
  <dimension ref="A3:AD116"/>
  <sheetViews>
    <sheetView showGridLines="0" topLeftCell="A4" zoomScale="70" zoomScaleNormal="70" workbookViewId="0">
      <selection activeCell="E39" sqref="E39"/>
    </sheetView>
  </sheetViews>
  <sheetFormatPr baseColWidth="10" defaultColWidth="11" defaultRowHeight="15" x14ac:dyDescent="0.25"/>
  <cols>
    <col min="1" max="1" width="13.875" style="104" customWidth="1"/>
    <col min="2" max="2" width="3.625" style="104" customWidth="1"/>
    <col min="3" max="3" width="1.875" style="104" customWidth="1"/>
    <col min="4" max="4" width="53.375" style="104" customWidth="1"/>
    <col min="5" max="6" width="17.875" style="104" customWidth="1"/>
    <col min="7" max="7" width="20.375" style="104" customWidth="1"/>
    <col min="8" max="16" width="16.25" style="104" customWidth="1"/>
    <col min="17" max="17" width="4" style="104" hidden="1" customWidth="1"/>
    <col min="18" max="18" width="3.25" style="104" hidden="1" customWidth="1"/>
    <col min="19" max="19" width="52.5" style="104" hidden="1" customWidth="1"/>
    <col min="20" max="21" width="19.375" style="104" hidden="1" customWidth="1"/>
    <col min="22" max="22" width="18.375" style="104" hidden="1" customWidth="1"/>
    <col min="23" max="24" width="23.375" style="104" hidden="1" customWidth="1"/>
    <col min="25" max="27" width="18.625" style="104" hidden="1" customWidth="1"/>
    <col min="28" max="28" width="22.75" style="104" hidden="1" customWidth="1"/>
    <col min="29" max="16384" width="11" style="104"/>
  </cols>
  <sheetData>
    <row r="3" spans="4:29" ht="26.25" x14ac:dyDescent="0.4">
      <c r="D3" s="668" t="s">
        <v>275</v>
      </c>
    </row>
    <row r="4" spans="4:29" x14ac:dyDescent="0.25">
      <c r="S4" s="151"/>
      <c r="T4" s="152"/>
      <c r="U4" s="152"/>
    </row>
    <row r="5" spans="4:29" x14ac:dyDescent="0.25">
      <c r="T5" s="152"/>
      <c r="U5" s="152"/>
    </row>
    <row r="6" spans="4:29" x14ac:dyDescent="0.25">
      <c r="T6" s="152"/>
      <c r="U6" s="152"/>
    </row>
    <row r="7" spans="4:29" x14ac:dyDescent="0.25">
      <c r="S7" s="151"/>
      <c r="T7" s="152"/>
      <c r="U7" s="152"/>
    </row>
    <row r="8" spans="4:29" ht="24" x14ac:dyDescent="0.4">
      <c r="D8" s="669" t="s">
        <v>276</v>
      </c>
      <c r="S8" s="669" t="s">
        <v>277</v>
      </c>
      <c r="T8" s="152"/>
      <c r="U8" s="152"/>
    </row>
    <row r="11" spans="4:29" x14ac:dyDescent="0.25">
      <c r="P11" s="117"/>
    </row>
    <row r="12" spans="4:29" ht="24" x14ac:dyDescent="0.4">
      <c r="D12" s="670" t="s">
        <v>278</v>
      </c>
      <c r="P12" s="117"/>
      <c r="S12" s="670" t="s">
        <v>279</v>
      </c>
      <c r="AC12" s="121"/>
    </row>
    <row r="13" spans="4:29" x14ac:dyDescent="0.25">
      <c r="P13" s="117"/>
    </row>
    <row r="14" spans="4:29" ht="26.25" x14ac:dyDescent="0.4">
      <c r="D14" s="653" t="s">
        <v>162</v>
      </c>
      <c r="P14" s="117"/>
      <c r="S14" s="653" t="s">
        <v>162</v>
      </c>
    </row>
    <row r="15" spans="4:29" x14ac:dyDescent="0.25">
      <c r="P15" s="117"/>
    </row>
    <row r="16" spans="4:29" ht="18.75" x14ac:dyDescent="0.3">
      <c r="D16" s="96"/>
      <c r="E16" s="1154" t="s">
        <v>280</v>
      </c>
      <c r="F16" s="1154"/>
      <c r="G16" s="1154"/>
      <c r="H16" s="1154"/>
      <c r="I16" s="1154"/>
      <c r="J16" s="1154"/>
      <c r="K16" s="1154"/>
      <c r="L16" s="1154"/>
      <c r="M16" s="1154"/>
      <c r="N16" s="193"/>
      <c r="O16" s="193"/>
      <c r="P16" s="113"/>
      <c r="S16" s="96"/>
      <c r="T16" s="1154" t="s">
        <v>280</v>
      </c>
      <c r="U16" s="1154"/>
      <c r="V16" s="1154"/>
      <c r="W16" s="1154"/>
      <c r="X16" s="1154"/>
      <c r="Y16" s="1154"/>
      <c r="Z16" s="1154"/>
      <c r="AA16" s="1154"/>
      <c r="AB16" s="1154"/>
    </row>
    <row r="17" spans="2:28" ht="15.75" x14ac:dyDescent="0.25">
      <c r="D17" s="96"/>
      <c r="E17" s="96"/>
      <c r="F17" s="96"/>
      <c r="G17" s="96"/>
      <c r="H17" s="96"/>
      <c r="I17" s="96"/>
      <c r="J17" s="96"/>
      <c r="K17" s="96"/>
      <c r="L17" s="96"/>
      <c r="M17" s="96"/>
      <c r="N17" s="96"/>
      <c r="O17" s="96"/>
      <c r="P17" s="114"/>
      <c r="S17" s="96"/>
      <c r="T17" s="96"/>
      <c r="U17" s="96"/>
      <c r="V17" s="96"/>
      <c r="W17" s="96"/>
      <c r="X17" s="96"/>
      <c r="Y17" s="96"/>
      <c r="Z17" s="96"/>
      <c r="AA17" s="96"/>
      <c r="AB17" s="96"/>
    </row>
    <row r="18" spans="2:28" ht="75" x14ac:dyDescent="0.25">
      <c r="B18" s="105"/>
      <c r="C18" s="105"/>
      <c r="D18" s="106"/>
      <c r="E18" s="111" t="s">
        <v>182</v>
      </c>
      <c r="F18" s="111" t="s">
        <v>185</v>
      </c>
      <c r="G18" s="111" t="s">
        <v>186</v>
      </c>
      <c r="H18" s="111" t="s">
        <v>281</v>
      </c>
      <c r="I18" s="111" t="s">
        <v>282</v>
      </c>
      <c r="J18" s="657" t="s">
        <v>189</v>
      </c>
      <c r="K18" s="111" t="s">
        <v>190</v>
      </c>
      <c r="L18" s="112" t="s">
        <v>283</v>
      </c>
      <c r="M18" s="111" t="s">
        <v>191</v>
      </c>
      <c r="N18" s="194"/>
      <c r="O18" s="194"/>
      <c r="P18" s="115"/>
      <c r="Q18" s="105"/>
      <c r="R18" s="105"/>
      <c r="S18" s="106"/>
      <c r="T18" s="111" t="s">
        <v>182</v>
      </c>
      <c r="U18" s="111" t="s">
        <v>185</v>
      </c>
      <c r="V18" s="111" t="s">
        <v>186</v>
      </c>
      <c r="W18" s="111" t="s">
        <v>281</v>
      </c>
      <c r="X18" s="111" t="s">
        <v>282</v>
      </c>
      <c r="Y18" s="657" t="s">
        <v>189</v>
      </c>
      <c r="Z18" s="111" t="s">
        <v>190</v>
      </c>
      <c r="AA18" s="112" t="s">
        <v>283</v>
      </c>
      <c r="AB18" s="111" t="s">
        <v>191</v>
      </c>
    </row>
    <row r="19" spans="2:28" ht="30.95" customHeight="1" x14ac:dyDescent="0.35">
      <c r="B19" s="1157" t="s">
        <v>284</v>
      </c>
      <c r="D19" s="258" t="s">
        <v>182</v>
      </c>
      <c r="E19" s="658" t="s">
        <v>285</v>
      </c>
      <c r="F19" s="107">
        <f>('A.1. Conso_bâtiment_EF H2'!I104/'A.1. Conso_bâtiment_EF H2'!I103)-1</f>
        <v>-4.9535603715170073E-2</v>
      </c>
      <c r="G19" s="107">
        <f>('A.1. Conso_bâtiment_EF H2'!I106/('A.1. Conso_bâtiment_EF H2'!I103)-1)</f>
        <v>-0.25077399380804954</v>
      </c>
      <c r="H19" s="107">
        <f>(('A.1. Conso_bâtiment_EF H2'!J107*'D.1. Facteur d''émissions'!C37)+('A.1. Conso_bâtiment_EF H2'!K107*'D.1. Facteur d''émissions'!C47))/('A.1. Conso_bâtiment_EF H2'!I103*'D.1. Facteur d''émissions'!C37)-1</f>
        <v>-0.35623430764129038</v>
      </c>
      <c r="I19" s="107">
        <f>(('A.1. Conso_bâtiment_EF H2'!J108*'D.1. Facteur d''émissions'!C37)+('A.1. Conso_bâtiment_EF H2'!K108*'D.1. Facteur d''émissions'!C47))/('A.1. Conso_bâtiment_EF H2'!I103*'D.1. Facteur d''émissions'!C37)-1</f>
        <v>-0.31691458619546142</v>
      </c>
      <c r="J19" s="656"/>
      <c r="K19" s="107">
        <f>(('A.1. Conso_bâtiment_EF H2'!J110)+('A.1. Conso_bâtiment_EF H2'!K110*'D.1. Facteur d''émissions'!C47))/('A.1. Conso_bâtiment_EF H2'!I103)-1</f>
        <v>-0.47074303405572759</v>
      </c>
      <c r="L19" s="656"/>
      <c r="M19" s="107">
        <f>('A.1. Conso_bâtiment_EF H2'!I111)/('A.1. Conso_bâtiment_EF H2'!I103)-1</f>
        <v>-0.30263157894736836</v>
      </c>
      <c r="N19" s="706"/>
      <c r="O19" s="191"/>
      <c r="P19" s="114"/>
      <c r="Q19" s="1157" t="s">
        <v>284</v>
      </c>
      <c r="S19" s="258" t="s">
        <v>182</v>
      </c>
      <c r="T19" s="658" t="s">
        <v>285</v>
      </c>
      <c r="U19" s="107">
        <f>F19</f>
        <v>-4.9535603715170073E-2</v>
      </c>
      <c r="V19" s="107">
        <f>G19</f>
        <v>-0.25077399380804954</v>
      </c>
      <c r="W19" s="107">
        <f>-(('A.1. Conso_bâtiment_EF H2'!J103*'D.1. Facteur d''émissions'!C8)-(('A.1. Conso_bâtiment_EF H2'!K107*'D.1. Facteur d''émissions'!C15)+('A.1. Conso_bâtiment_EF H2'!J107*'D.1. Facteur d''émissions'!C8)))/('A.1. Conso_bâtiment_EF H2'!J103*'D.1. Facteur d''émissions'!C8)</f>
        <v>-0.73390481495394899</v>
      </c>
      <c r="X19" s="107">
        <f>-(('A.1. Conso_bâtiment_EF H2'!J103*'D.1. Facteur d''émissions'!C8)-(('A.1. Conso_bâtiment_EF H2'!K108*'D.1. Facteur d''émissions'!C15)+('A.1. Conso_bâtiment_EF H2'!J108*'D.1. Facteur d''émissions'!C8)))/('A.1. Conso_bâtiment_EF H2'!J103*'D.1. Facteur d''émissions'!C8)</f>
        <v>-0.42865979247898217</v>
      </c>
      <c r="Y19" s="656"/>
      <c r="Z19" s="107">
        <f>-(('A.1. Conso_bâtiment_EF H2'!J103*'D.1. Facteur d''émissions'!C8)-(('A.1. Conso_bâtiment_EF H2'!K110*'D.1. Facteur d''émissions'!C15)+('A.1. Conso_bâtiment_EF H2'!J110*'D.1. Facteur d''émissions'!C8)))/('A.1. Conso_bâtiment_EF H2'!J103*'D.1. Facteur d''émissions'!C8)</f>
        <v>-0.75099744808736091</v>
      </c>
      <c r="AA19" s="656"/>
      <c r="AB19" s="107">
        <f>M19</f>
        <v>-0.30263157894736836</v>
      </c>
    </row>
    <row r="20" spans="2:28" ht="30.95" customHeight="1" x14ac:dyDescent="0.35">
      <c r="B20" s="1157"/>
      <c r="D20" s="258" t="s">
        <v>185</v>
      </c>
      <c r="E20" s="659" t="s">
        <v>286</v>
      </c>
      <c r="F20" s="658" t="s">
        <v>287</v>
      </c>
      <c r="G20" s="107">
        <f>('A.1. Conso_bâtiment_EF H2'!I106*'D.1. Facteur d''émissions'!C37)/('A.1. Conso_bâtiment_EF H2'!I104*'D.1. Facteur d''émissions'!C37)-1</f>
        <v>-0.21172638436482094</v>
      </c>
      <c r="H20" s="107">
        <f>(('A.1. Conso_bâtiment_EF H2'!J107*'D.1. Facteur d''émissions'!C37)+('A.1. Conso_bâtiment_EF H2'!K107*'D.1. Facteur d''émissions'!C47))/('A.1. Conso_bâtiment_EF H2'!I104*'D.1. Facteur d''émissions'!C37)-1</f>
        <v>-0.32268300119914284</v>
      </c>
      <c r="I20" s="107">
        <f>(('A.1. Conso_bâtiment_EF H2'!J108*'D.1. Facteur d''émissions'!C37)+('A.1. Conso_bâtiment_EF H2'!K108*'D.1. Facteur d''émissions'!C47))/('A.1. Conso_bâtiment_EF H2'!I104*'D.1. Facteur d''émissions'!C37)-1</f>
        <v>-0.28131404345646283</v>
      </c>
      <c r="J20" s="656"/>
      <c r="K20" s="107">
        <f>(('A.1. Conso_bâtiment_EF H2'!J110)+('A.1. Conso_bâtiment_EF H2'!K110*'D.1. Facteur d''émissions'!C47))/('A.1. Conso_bâtiment_EF H2'!I104)-1</f>
        <v>-0.44315960912052121</v>
      </c>
      <c r="L20" s="656"/>
      <c r="M20" s="107">
        <f>('A.1. Conso_bâtiment_EF H2'!I111)/('A.1. Conso_bâtiment_EF H2'!I104)-1</f>
        <v>-0.26628664495114018</v>
      </c>
      <c r="N20" s="706"/>
      <c r="O20" s="706"/>
      <c r="P20" s="114"/>
      <c r="Q20" s="1157"/>
      <c r="S20" s="258" t="s">
        <v>185</v>
      </c>
      <c r="T20" s="659" t="s">
        <v>286</v>
      </c>
      <c r="U20" s="658" t="s">
        <v>287</v>
      </c>
      <c r="V20" s="107">
        <f>G20</f>
        <v>-0.21172638436482094</v>
      </c>
      <c r="W20" s="107">
        <f>-(('A.1. Conso_bâtiment_EF H2'!J104*'D.1. Facteur d''émissions'!C8)-(('A.1. Conso_bâtiment_EF H2'!K107*'D.1. Facteur d''émissions'!C15)+('A.1. Conso_bâtiment_EF H2'!J107*'D.1. Facteur d''émissions'!C8)))/('A.1. Conso_bâtiment_EF H2'!J104*'D.1. Facteur d''émissions'!C8)</f>
        <v>-0.72003666198737959</v>
      </c>
      <c r="X20" s="107">
        <f>-(('A.1. Conso_bâtiment_EF H2'!J104*'D.1. Facteur d''émissions'!C8)-(('A.1. Conso_bâtiment_EF H2'!K108*'D.1. Facteur d''émissions'!C15)+('A.1. Conso_bâtiment_EF H2'!J108*'D.1. Facteur d''émissions'!C8)))/('A.1. Conso_bâtiment_EF H2'!J104*'D.1. Facteur d''émissions'!C8)</f>
        <v>-0.39888310413912476</v>
      </c>
      <c r="Y20" s="656"/>
      <c r="Z20" s="107">
        <f>-(('A.1. Conso_bâtiment_EF H2'!J104*'D.1. Facteur d''émissions'!C8)-(('A.1. Conso_bâtiment_EF H2'!K110*'D.1. Facteur d''émissions'!C15)+('A.1. Conso_bâtiment_EF H2'!J110*'D.1. Facteur d''émissions'!C8)))/('A.1. Conso_bâtiment_EF H2'!J104*'D.1. Facteur d''émissions'!C8)</f>
        <v>-0.73802011639158815</v>
      </c>
      <c r="AA20" s="656"/>
      <c r="AB20" s="107">
        <f>M20</f>
        <v>-0.26628664495114018</v>
      </c>
    </row>
    <row r="21" spans="2:28" ht="30.95" customHeight="1" x14ac:dyDescent="0.35">
      <c r="B21" s="1157"/>
      <c r="D21" s="258" t="s">
        <v>186</v>
      </c>
      <c r="E21" s="659" t="s">
        <v>286</v>
      </c>
      <c r="F21" s="659" t="s">
        <v>286</v>
      </c>
      <c r="G21" s="658" t="s">
        <v>285</v>
      </c>
      <c r="H21" s="108">
        <f>(('A.1. Conso_bâtiment_EF H2'!J107*'D.1. Facteur d''émissions'!C37)+('A.1. Conso_bâtiment_EF H2'!K107*'D.1. Facteur d''émissions'!C47))/('A.1. Conso_bâtiment_EF H2'!I106*'D.1. Facteur d''émissions'!C37)-1</f>
        <v>-0.14075901391792078</v>
      </c>
      <c r="I21" s="108">
        <f>(('A.1. Conso_bâtiment_EF H2'!J108*'D.1. Facteur d''émissions'!C37)+('A.1. Conso_bâtiment_EF H2'!K108*'D.1. Facteur d''émissions'!C47))/('A.1. Conso_bâtiment_EF H2'!I106*'D.1. Facteur d''émissions'!C37)-1</f>
        <v>-8.827855926088457E-2</v>
      </c>
      <c r="J21" s="656"/>
      <c r="K21" s="107">
        <f>(('A.1. Conso_bâtiment_EF H2'!J110)+('A.1. Conso_bâtiment_EF H2'!K110*'D.1. Facteur d''émissions'!C47))/('A.1. Conso_bâtiment_EF H2'!I106)-1</f>
        <v>-0.29359504132231407</v>
      </c>
      <c r="L21" s="656"/>
      <c r="M21" s="107">
        <f>('A.1. Conso_bâtiment_EF H2'!I111)/('A.1. Conso_bâtiment_EF H2'!I106)-1</f>
        <v>-6.9214876033057871E-2</v>
      </c>
      <c r="N21" s="191"/>
      <c r="O21" s="191"/>
      <c r="P21" s="114"/>
      <c r="Q21" s="1157"/>
      <c r="S21" s="258" t="s">
        <v>186</v>
      </c>
      <c r="T21" s="659" t="s">
        <v>286</v>
      </c>
      <c r="U21" s="659" t="s">
        <v>286</v>
      </c>
      <c r="V21" s="658" t="s">
        <v>285</v>
      </c>
      <c r="W21" s="108">
        <f>-(('A.1. Conso_bâtiment_EF H2'!J106*'D.1. Facteur d''émissions'!C8)-(('A.1. Conso_bâtiment_EF H2'!K107*'D.1. Facteur d''émissions'!C15)+('A.1. Conso_bâtiment_EF H2'!J107*'D.1. Facteur d''émissions'!C8)))/('A.1. Conso_bâtiment_EF H2'!J106*'D.1. Facteur d''émissions'!C8)</f>
        <v>-0.64483989764514682</v>
      </c>
      <c r="X21" s="108">
        <f>-(('A.1. Conso_bâtiment_EF H2'!J106*'D.1. Facteur d''émissions'!C8)-(('A.1. Conso_bâtiment_EF H2'!K108*'D.1. Facteur d''émissions'!C15)+('A.1. Conso_bâtiment_EF H2'!J108*'D.1. Facteur d''émissions'!C8)))/('A.1. Conso_bâtiment_EF H2'!J106*'D.1. Facteur d''émissions'!C8)</f>
        <v>-0.23742608665583162</v>
      </c>
      <c r="Y21" s="656"/>
      <c r="Z21" s="107">
        <f>-(('A.1. Conso_bâtiment_EF H2'!J106*'D.1. Facteur d''émissions'!C8)-(('A.1. Conso_bâtiment_EF H2'!K110*'D.1. Facteur d''émissions'!C15)+('A.1. Conso_bâtiment_EF H2'!J110*'D.1. Facteur d''émissions'!C8)))/('A.1. Conso_bâtiment_EF H2'!J106*'D.1. Facteur d''émissions'!C8)</f>
        <v>-0.66765361872817175</v>
      </c>
      <c r="AA21" s="656"/>
      <c r="AB21" s="107">
        <f>M21</f>
        <v>-6.9214876033057871E-2</v>
      </c>
    </row>
    <row r="22" spans="2:28" ht="30.95" customHeight="1" x14ac:dyDescent="0.35">
      <c r="B22" s="1157"/>
      <c r="D22" s="258" t="s">
        <v>288</v>
      </c>
      <c r="E22" s="659" t="s">
        <v>286</v>
      </c>
      <c r="F22" s="659" t="s">
        <v>286</v>
      </c>
      <c r="G22" s="659" t="s">
        <v>286</v>
      </c>
      <c r="H22" s="658" t="s">
        <v>285</v>
      </c>
      <c r="I22" s="658" t="s">
        <v>285</v>
      </c>
      <c r="J22" s="656"/>
      <c r="K22" s="107">
        <f>(('A.1. Conso_bâtiment_EF H2'!J110)+('A.1. Conso_bâtiment_EF H2'!K110*'D.1. Facteur d''émissions'!C47))/('A.1. Conso_bâtiment_EF H2'!J107+'A.1. Conso_bâtiment_EF H2'!K107*'D.1. Facteur d''émissions'!C47)-1</f>
        <v>-0.23435225618631739</v>
      </c>
      <c r="L22" s="656"/>
      <c r="M22" s="659" t="s">
        <v>286</v>
      </c>
      <c r="N22" s="192"/>
      <c r="O22" s="192"/>
      <c r="P22" s="114"/>
      <c r="Q22" s="1157"/>
      <c r="S22" s="258" t="s">
        <v>288</v>
      </c>
      <c r="T22" s="659" t="s">
        <v>286</v>
      </c>
      <c r="U22" s="659" t="s">
        <v>286</v>
      </c>
      <c r="V22" s="659" t="s">
        <v>286</v>
      </c>
      <c r="W22" s="658" t="s">
        <v>285</v>
      </c>
      <c r="X22" s="658" t="s">
        <v>285</v>
      </c>
      <c r="Y22" s="656"/>
      <c r="Z22" s="659"/>
      <c r="AA22" s="656"/>
      <c r="AB22" s="659" t="s">
        <v>286</v>
      </c>
    </row>
    <row r="23" spans="2:28" ht="30.95" customHeight="1" x14ac:dyDescent="0.35">
      <c r="B23" s="1157"/>
      <c r="D23" s="258" t="s">
        <v>289</v>
      </c>
      <c r="E23" s="659" t="s">
        <v>286</v>
      </c>
      <c r="F23" s="659" t="s">
        <v>286</v>
      </c>
      <c r="G23" s="659" t="s">
        <v>286</v>
      </c>
      <c r="H23" s="659" t="s">
        <v>286</v>
      </c>
      <c r="I23" s="658" t="s">
        <v>287</v>
      </c>
      <c r="J23" s="656"/>
      <c r="K23" s="659" t="s">
        <v>286</v>
      </c>
      <c r="L23" s="656"/>
      <c r="M23" s="659" t="s">
        <v>286</v>
      </c>
      <c r="N23" s="192"/>
      <c r="O23" s="192"/>
      <c r="P23" s="114"/>
      <c r="Q23" s="1157"/>
      <c r="S23" s="258" t="s">
        <v>289</v>
      </c>
      <c r="T23" s="659"/>
      <c r="U23" s="659"/>
      <c r="V23" s="659"/>
      <c r="W23" s="658" t="s">
        <v>285</v>
      </c>
      <c r="X23" s="658" t="s">
        <v>285</v>
      </c>
      <c r="Y23" s="656"/>
      <c r="Z23" s="659" t="s">
        <v>286</v>
      </c>
      <c r="AA23" s="656"/>
      <c r="AB23" s="659" t="s">
        <v>286</v>
      </c>
    </row>
    <row r="24" spans="2:28" ht="30.95" customHeight="1" x14ac:dyDescent="0.35">
      <c r="B24" s="1157"/>
      <c r="D24" s="656" t="s">
        <v>189</v>
      </c>
      <c r="E24" s="656"/>
      <c r="F24" s="656"/>
      <c r="G24" s="656"/>
      <c r="H24" s="656"/>
      <c r="I24" s="656"/>
      <c r="J24" s="656"/>
      <c r="K24" s="656"/>
      <c r="L24" s="656"/>
      <c r="M24" s="656"/>
      <c r="N24" s="96"/>
      <c r="O24" s="96"/>
      <c r="P24" s="114"/>
      <c r="Q24" s="1157"/>
      <c r="S24" s="656" t="s">
        <v>189</v>
      </c>
      <c r="T24" s="656"/>
      <c r="U24" s="656"/>
      <c r="V24" s="656"/>
      <c r="W24" s="656"/>
      <c r="X24" s="656"/>
      <c r="Y24" s="656"/>
      <c r="Z24" s="656"/>
      <c r="AA24" s="656"/>
      <c r="AB24" s="656"/>
    </row>
    <row r="25" spans="2:28" ht="30.95" customHeight="1" x14ac:dyDescent="0.35">
      <c r="B25" s="1157"/>
      <c r="D25" s="258" t="s">
        <v>190</v>
      </c>
      <c r="E25" s="659" t="s">
        <v>286</v>
      </c>
      <c r="F25" s="659" t="s">
        <v>286</v>
      </c>
      <c r="G25" s="659" t="s">
        <v>286</v>
      </c>
      <c r="H25" s="660">
        <f>(('A.1. Conso_bâtiment_EF H2'!J107*'D.1. Facteur d''émissions'!C37)+('A.1. Conso_bâtiment_EF H2'!K107*'D.1. Facteur d''émissions'!C47))/('A.1. Conso_bâtiment_EF H2'!J110*'D.1. Facteur d''émissions'!C37+'A.1. Conso_bâtiment_EF H2'!K110*'D.1. Facteur d''émissions'!C47)-1</f>
        <v>0.29282187671821225</v>
      </c>
      <c r="I25" s="660">
        <f>(('A.1. Conso_bâtiment_EF H2'!J108*'D.1. Facteur d''émissions'!C37)+('A.1. Conso_bâtiment_EF H2'!K108*'D.1. Facteur d''émissions'!C47))/(('A.1. Conso_bâtiment_EF H2'!J110*'D.1. Facteur d''émissions'!C37)+('A.1. Conso_bâtiment_EF H2'!K110*'D.1. Facteur d''émissions'!C47))-1</f>
        <v>0.37178445064069665</v>
      </c>
      <c r="J25" s="656"/>
      <c r="K25" s="658" t="s">
        <v>287</v>
      </c>
      <c r="L25" s="656"/>
      <c r="M25" s="659" t="s">
        <v>286</v>
      </c>
      <c r="N25" s="96"/>
      <c r="O25" s="96"/>
      <c r="P25" s="114"/>
      <c r="Q25" s="1157"/>
      <c r="S25" s="258" t="s">
        <v>190</v>
      </c>
      <c r="T25" s="659" t="s">
        <v>286</v>
      </c>
      <c r="U25" s="659" t="s">
        <v>286</v>
      </c>
      <c r="V25" s="659" t="s">
        <v>286</v>
      </c>
      <c r="W25" s="659" t="s">
        <v>286</v>
      </c>
      <c r="X25" s="659" t="s">
        <v>286</v>
      </c>
      <c r="Y25" s="656"/>
      <c r="Z25" s="658" t="s">
        <v>285</v>
      </c>
      <c r="AA25" s="656"/>
      <c r="AB25" s="253"/>
    </row>
    <row r="26" spans="2:28" ht="30.95" customHeight="1" x14ac:dyDescent="0.35">
      <c r="B26" s="1157"/>
      <c r="D26" s="656" t="s">
        <v>283</v>
      </c>
      <c r="E26" s="656"/>
      <c r="F26" s="656"/>
      <c r="G26" s="656"/>
      <c r="H26" s="656"/>
      <c r="I26" s="656"/>
      <c r="J26" s="656"/>
      <c r="K26" s="656"/>
      <c r="L26" s="656"/>
      <c r="M26" s="656"/>
      <c r="N26" s="96"/>
      <c r="O26" s="96"/>
      <c r="P26" s="114"/>
      <c r="Q26" s="1157"/>
      <c r="S26" s="656" t="s">
        <v>283</v>
      </c>
      <c r="T26" s="656"/>
      <c r="U26" s="656"/>
      <c r="V26" s="656"/>
      <c r="W26" s="656"/>
      <c r="X26" s="656"/>
      <c r="Y26" s="656"/>
      <c r="Z26" s="656"/>
      <c r="AA26" s="656"/>
      <c r="AB26" s="656"/>
    </row>
    <row r="27" spans="2:28" ht="30.95" customHeight="1" x14ac:dyDescent="0.35">
      <c r="B27" s="1157"/>
      <c r="D27" s="258" t="s">
        <v>191</v>
      </c>
      <c r="E27" s="659" t="s">
        <v>286</v>
      </c>
      <c r="F27" s="659" t="s">
        <v>286</v>
      </c>
      <c r="G27" s="659" t="s">
        <v>286</v>
      </c>
      <c r="H27" s="107">
        <f>(('A.1. Conso_bâtiment_EF H2'!J107*'D.1. Facteur d''émissions'!C37)+('A.1. Conso_bâtiment_EF H2'!K107*'D.1. Facteur d''émissions'!C47))/('A.1. Conso_bâtiment_EF H2'!I111*'D.1. Facteur d''émissions'!C37)-1</f>
        <v>-7.6864290202605101E-2</v>
      </c>
      <c r="I27" s="107">
        <f>('A.1. Conso_bâtiment_EF H2'!J108*'D.1. Facteur d''émissions'!C37+'A.1. Conso_bâtiment_EF H2'!K108*'D.1. Facteur d''émissions'!C47)/('A.1. Conso_bâtiment_EF H2'!I111*'D.1. Facteur d''émissions'!C37)-1</f>
        <v>-2.0481293412359824E-2</v>
      </c>
      <c r="J27" s="656"/>
      <c r="K27" s="107">
        <f>(('A.1. Conso_bâtiment_EF H2'!J110*'D.1. Facteur d''émissions'!C37)+('A.1. Conso_bâtiment_EF H2'!K110*'D.1. Facteur d''émissions'!C47))/('A.1. Conso_bâtiment_EF H2'!I111*'D.1. Facteur d''émissions'!C37)-1</f>
        <v>-0.28595290161646569</v>
      </c>
      <c r="L27" s="656"/>
      <c r="M27" s="658" t="s">
        <v>285</v>
      </c>
      <c r="N27" s="190"/>
      <c r="O27" s="190"/>
      <c r="P27" s="114"/>
      <c r="Q27" s="1157"/>
      <c r="S27" s="258" t="s">
        <v>191</v>
      </c>
      <c r="T27" s="659" t="s">
        <v>286</v>
      </c>
      <c r="U27" s="659" t="s">
        <v>286</v>
      </c>
      <c r="V27" s="659" t="s">
        <v>286</v>
      </c>
      <c r="W27" s="107">
        <f>-(('A.1. Conso_bâtiment_EF H2'!J111*'D.1. Facteur d''émissions'!C8)-(('A.1. Conso_bâtiment_EF H2'!K107*'D.1. Facteur d''émissions'!C15)+('A.1. Conso_bâtiment_EF H2'!J107*'D.1. Facteur d''émissions'!C8)))/('A.1. Conso_bâtiment_EF H2'!J111*'D.1. Facteur d''émissions'!C8)</f>
        <v>-0.61842954597170041</v>
      </c>
      <c r="X27" s="701"/>
      <c r="Y27" s="656"/>
      <c r="Z27" s="702"/>
      <c r="AA27" s="656"/>
      <c r="AB27" s="700" t="s">
        <v>285</v>
      </c>
    </row>
    <row r="28" spans="2:28" ht="41.45" customHeight="1" x14ac:dyDescent="0.35">
      <c r="B28" s="1157"/>
      <c r="D28" s="253" t="s">
        <v>196</v>
      </c>
      <c r="E28" s="659" t="s">
        <v>286</v>
      </c>
      <c r="F28" s="107">
        <f>('A.1. Conso_bâtiment_EF H2'!I104*'D.1. Facteur d''émissions'!C37)/('A.1. Conso_bâtiment_EF H2'!L116*'D.1. Facteur d''émissions'!C40)-1</f>
        <v>-0.11559322583259046</v>
      </c>
      <c r="G28" s="107">
        <f>('A.1. Conso_bâtiment_EF H2'!I106*'D.1. Facteur d''émissions'!C37)/('A.1. Conso_bâtiment_EF H2'!L116*'D.1. Facteur d''émissions'!C40)-1</f>
        <v>-0.3028454744348108</v>
      </c>
      <c r="H28" s="107">
        <f>('A.1. Conso_bâtiment_EF H2'!J107*'D.1. Facteur d''émissions'!C37+('A.1. Conso_bâtiment_EF H2'!K107*'D.1. Facteur d''émissions'!C47))/('A.1. Conso_bâtiment_EF H2'!L116*'D.1. Facteur d''émissions'!C40)-1</f>
        <v>-0.40097625800178271</v>
      </c>
      <c r="I28" s="107">
        <f>(('A.1. Conso_bâtiment_EF H2'!J108*'D.1. Facteur d''émissions'!C37)+('A.1. Conso_bâtiment_EF H2'!K108*'D.1. Facteur d''émissions'!C47))/('A.1. Conso_bâtiment_EF H2'!L116*'D.1. Facteur d''émissions'!C40)-1</f>
        <v>-0.36438927153391121</v>
      </c>
      <c r="J28" s="656"/>
      <c r="K28" s="107">
        <f>(('A.1. Conso_bâtiment_EF H2'!J110*'D.1. Facteur d''émissions'!C37)+('A.1. Conso_bâtiment_EF H2'!K110*'D.1. Facteur d''émissions'!C47))/('A.1. Conso_bâtiment_EF H2'!L116*'D.1. Facteur d''émissions'!C40)-1</f>
        <v>-0.53665407989628067</v>
      </c>
      <c r="L28" s="656"/>
      <c r="M28" s="107">
        <f>('A.1. Conso_bâtiment_EF H2'!I111*'D.1. Facteur d''émissions'!C37)/('A.1. Conso_bâtiment_EF H2'!L116*'D.1. Facteur d''émissions'!C40)-1</f>
        <v>-0.35109893849769069</v>
      </c>
      <c r="P28" s="117"/>
      <c r="Q28" s="1157"/>
      <c r="S28" s="253" t="s">
        <v>196</v>
      </c>
      <c r="T28" s="659" t="s">
        <v>286</v>
      </c>
      <c r="U28" s="659" t="s">
        <v>286</v>
      </c>
      <c r="V28" s="107">
        <f>-('A.1. Conso_bâtiment_EF H2'!L116*'D.1. Facteur d''émissions'!C7-'A.1. Conso_bâtiment_EF H2'!I106*'D.1. Facteur d''émissions'!C8)/('A.1. Conso_bâtiment_EF H2'!L116*'D.1. Facteur d''émissions'!C7)</f>
        <v>-0.50240461134770087</v>
      </c>
      <c r="W28" s="107">
        <f>-(('A.1. Conso_bâtiment_EF H2'!L116*'D.1. Facteur d''émissions'!C7)-(('A.1. Conso_bâtiment_EF H2'!K107*'D.1. Facteur d''émissions'!C15)+('A.1. Conso_bâtiment_EF H2'!J107*'D.1. Facteur d''émissions'!C8)))/('A.1. Conso_bâtiment_EF H2'!L116*'D.1. Facteur d''émissions'!C7)</f>
        <v>-0.82327397083494636</v>
      </c>
      <c r="X28" s="107">
        <f>-(('A.1. Conso_bâtiment_EF H2'!L116*'D.1. Facteur d''émissions'!C7)-(('A.1. Conso_bâtiment_EF H2'!K108*'D.1. Facteur d''émissions'!C15)+('A.1. Conso_bâtiment_EF H2'!J108*'D.1. Facteur d''émissions'!C8)))/('A.1. Conso_bâtiment_EF H2'!L116*'D.1. Facteur d''émissions'!C7)</f>
        <v>-0.62054673721340381</v>
      </c>
      <c r="Y28" s="656"/>
      <c r="Z28" s="107">
        <f>-(('A.1. Conso_bâtiment_EF H2'!L116*'D.1. Facteur d''émissions'!C7)-(('A.1. Conso_bâtiment_EF H2'!K110*'D.1. Facteur d''émissions'!C15)+('A.1. Conso_bâtiment_EF H2'!J110*'D.1. Facteur d''émissions'!C8)))/('A.1. Conso_bâtiment_EF H2'!L116*'D.1. Facteur d''émissions'!C7)</f>
        <v>-0.83462597324385945</v>
      </c>
      <c r="AA28" s="656"/>
      <c r="AB28" s="107">
        <f>-('A.1. Conso_bâtiment_EF H2'!L116*'D.1. Facteur d''émissions'!C7-'A.1. Conso_bâtiment_EF H2'!I111*'D.1. Facteur d''émissions'!C8)/('A.1. Conso_bâtiment_EF H2'!L116*'D.1. Facteur d''émissions'!C7)</f>
        <v>-0.53684561448789092</v>
      </c>
    </row>
    <row r="29" spans="2:28" ht="36" customHeight="1" x14ac:dyDescent="0.35">
      <c r="B29" s="1157"/>
      <c r="D29" s="253" t="s">
        <v>197</v>
      </c>
      <c r="E29" s="659" t="s">
        <v>286</v>
      </c>
      <c r="F29" s="660">
        <f>('A.1. Conso_bâtiment_EF H2'!I104*'D.1. Facteur d''émissions'!C37)/('A.1. Conso_bâtiment_EF H2'!L117*'D.1. Facteur d''émissions'!C40)-1</f>
        <v>0.17948301201694483</v>
      </c>
      <c r="G29" s="107">
        <f>('A.1. Conso_bâtiment_EF H2'!I106*'D.1. Facteur d''émissions'!C37)/('A.1. Conso_bâtiment_EF H2'!L117*'D.1. Facteur d''émissions'!C40)-1</f>
        <v>-7.0244661537131492E-2</v>
      </c>
      <c r="H29" s="107">
        <f>(('A.1. Conso_bâtiment_EF H2'!J107*'D.1. Facteur d''émissions'!C37)+('A.1. Conso_bâtiment_EF H2'!K107*'D.1. Facteur d''émissions'!C47))/('A.1. Conso_bâtiment_EF H2'!L117*'D.1. Facteur d''émissions'!C40)-1</f>
        <v>-0.20111610616408748</v>
      </c>
      <c r="I29" s="107">
        <f>(('A.1. Conso_bâtiment_EF H2'!J108*'D.1. Facteur d''émissions'!C37)+('A.1. Conso_bâtiment_EF H2'!K108*'D.1. Facteur d''émissions'!C47))/('A.1. Conso_bâtiment_EF H2'!L117*'D.1. Facteur d''émissions'!C40)-1</f>
        <v>-0.15232212328174966</v>
      </c>
      <c r="J29" s="656"/>
      <c r="K29" s="107">
        <f>(('A.1. Conso_bâtiment_EF H2'!J110*'D.1. Facteur d''émissions'!C37)+('A.1. Conso_bâtiment_EF H2'!K110*'D.1. Facteur d''émissions'!C47))/('A.1. Conso_bâtiment_EF H2'!L117*'D.1. Facteur d''émissions'!C40)-1</f>
        <v>-0.38206190023342257</v>
      </c>
      <c r="L29" s="656"/>
      <c r="M29" s="107">
        <f>('A.1. Conso_bâtiment_EF H2'!I111*'D.1. Facteur d''émissions'!C37)/('A.1. Conso_bâtiment_EF H2'!L117*'D.1. Facteur d''émissions'!C40)-1</f>
        <v>-0.13459756202991269</v>
      </c>
      <c r="P29" s="117"/>
      <c r="Q29" s="1157"/>
      <c r="S29" s="253" t="s">
        <v>197</v>
      </c>
      <c r="T29" s="659" t="s">
        <v>286</v>
      </c>
      <c r="U29" s="659" t="s">
        <v>286</v>
      </c>
      <c r="V29" s="107">
        <f>-('A.1. Conso_bâtiment_EF H2'!L117*'D.1. Facteur d''émissions'!C7-'A.1. Conso_bâtiment_EF H2'!I106*'D.1. Facteur d''émissions'!C8)/('A.1. Conso_bâtiment_EF H2'!L117*'D.1. Facteur d''émissions'!C7)</f>
        <v>-0.3363853320482813</v>
      </c>
      <c r="W29" s="107">
        <f>-(('A.1. Conso_bâtiment_EF H2'!L117*'D.1. Facteur d''émissions'!C7)-(('A.1. Conso_bâtiment_EF H2'!K107*'D.1. Facteur d''émissions'!C15)+('A.1. Conso_bâtiment_EF H2'!J107*'D.1. Facteur d''émissions'!C8)))/('A.1. Conso_bâtiment_EF H2'!L117*'D.1. Facteur d''émissions'!C7)</f>
        <v>-0.76431054660608566</v>
      </c>
      <c r="X29" s="107">
        <f>-(('A.1. Conso_bâtiment_EF H2'!L117*'D.1. Facteur d''émissions'!C7)-(('A.1. Conso_bâtiment_EF H2'!K108*'D.1. Facteur d''émissions'!C15)+('A.1. Conso_bâtiment_EF H2'!J108*'D.1. Facteur d''émissions'!C8)))/('A.1. Conso_bâtiment_EF H2'!L117*'D.1. Facteur d''émissions'!C7)</f>
        <v>-0.49394476570746704</v>
      </c>
      <c r="Y29" s="656"/>
      <c r="Z29" s="107">
        <f>-(('A.1. Conso_bâtiment_EF H2'!L117*'D.1. Facteur d''émissions'!C7)-(('A.1. Conso_bâtiment_EF H2'!K110*'D.1. Facteur d''émissions'!C15)+('A.1. Conso_bâtiment_EF H2'!J110*'D.1. Facteur d''émissions'!C8)))/('A.1. Conso_bâtiment_EF H2'!L117*'D.1. Facteur d''émissions'!C7)</f>
        <v>-0.77945006654734039</v>
      </c>
      <c r="AA29" s="656"/>
      <c r="AB29" s="107">
        <f>-('A.1. Conso_bâtiment_EF H2'!L117*'D.1. Facteur d''émissions'!C7-'A.1. Conso_bâtiment_EF H2'!I111*'D.1. Facteur d''émissions'!C8)/('A.1. Conso_bâtiment_EF H2'!L117*'D.1. Facteur d''émissions'!C7)</f>
        <v>-0.38231733902427834</v>
      </c>
    </row>
    <row r="30" spans="2:28" x14ac:dyDescent="0.25">
      <c r="P30" s="117"/>
    </row>
    <row r="31" spans="2:28" x14ac:dyDescent="0.25">
      <c r="P31" s="117"/>
    </row>
    <row r="32" spans="2:28" x14ac:dyDescent="0.25">
      <c r="H32" s="135"/>
      <c r="P32" s="117"/>
    </row>
    <row r="33" spans="2:30" x14ac:dyDescent="0.25">
      <c r="P33" s="117"/>
    </row>
    <row r="34" spans="2:30" x14ac:dyDescent="0.25">
      <c r="P34" s="117"/>
    </row>
    <row r="35" spans="2:30" x14ac:dyDescent="0.25">
      <c r="P35" s="117"/>
    </row>
    <row r="36" spans="2:30" x14ac:dyDescent="0.25">
      <c r="P36" s="117"/>
    </row>
    <row r="37" spans="2:30" x14ac:dyDescent="0.25">
      <c r="P37" s="117"/>
    </row>
    <row r="38" spans="2:30" x14ac:dyDescent="0.25">
      <c r="P38" s="117"/>
    </row>
    <row r="39" spans="2:30" x14ac:dyDescent="0.25">
      <c r="P39" s="117"/>
      <c r="AD39" s="135"/>
    </row>
    <row r="40" spans="2:30" x14ac:dyDescent="0.25">
      <c r="P40" s="117"/>
    </row>
    <row r="41" spans="2:30" ht="26.25" x14ac:dyDescent="0.4">
      <c r="D41" s="653" t="s">
        <v>163</v>
      </c>
      <c r="P41" s="117"/>
      <c r="S41" s="653" t="s">
        <v>163</v>
      </c>
    </row>
    <row r="42" spans="2:30" x14ac:dyDescent="0.25">
      <c r="D42" s="118"/>
      <c r="P42" s="117"/>
      <c r="S42" s="118"/>
    </row>
    <row r="43" spans="2:30" ht="18.75" x14ac:dyDescent="0.3">
      <c r="E43" s="1154" t="s">
        <v>280</v>
      </c>
      <c r="F43" s="1154"/>
      <c r="G43" s="1154"/>
      <c r="H43" s="1154"/>
      <c r="I43" s="1154"/>
      <c r="J43" s="1154"/>
      <c r="K43" s="1154"/>
      <c r="L43" s="1154"/>
      <c r="M43" s="1154"/>
      <c r="N43" s="195"/>
      <c r="O43" s="195"/>
      <c r="P43" s="119"/>
      <c r="T43" s="1154" t="s">
        <v>280</v>
      </c>
      <c r="U43" s="1154"/>
      <c r="V43" s="1154"/>
      <c r="W43" s="1154"/>
      <c r="X43" s="1154"/>
      <c r="Y43" s="1154"/>
      <c r="Z43" s="1154"/>
      <c r="AA43" s="1154"/>
      <c r="AB43" s="1154"/>
    </row>
    <row r="44" spans="2:30" x14ac:dyDescent="0.25">
      <c r="P44" s="117"/>
    </row>
    <row r="45" spans="2:30" s="105" customFormat="1" ht="55.5" customHeight="1" x14ac:dyDescent="0.25">
      <c r="E45" s="111" t="s">
        <v>182</v>
      </c>
      <c r="F45" s="111" t="s">
        <v>185</v>
      </c>
      <c r="G45" s="111" t="s">
        <v>186</v>
      </c>
      <c r="H45" s="112" t="s">
        <v>187</v>
      </c>
      <c r="I45" s="111" t="s">
        <v>282</v>
      </c>
      <c r="J45" s="112" t="s">
        <v>189</v>
      </c>
      <c r="K45" s="112" t="s">
        <v>190</v>
      </c>
      <c r="L45" s="112" t="s">
        <v>283</v>
      </c>
      <c r="M45" s="112" t="s">
        <v>191</v>
      </c>
      <c r="N45" s="196"/>
      <c r="O45" s="196"/>
      <c r="P45" s="116"/>
      <c r="T45" s="111" t="s">
        <v>182</v>
      </c>
      <c r="U45" s="111" t="s">
        <v>185</v>
      </c>
      <c r="V45" s="111" t="s">
        <v>186</v>
      </c>
      <c r="W45" s="112" t="s">
        <v>187</v>
      </c>
      <c r="X45" s="111" t="s">
        <v>282</v>
      </c>
      <c r="Y45" s="112" t="s">
        <v>189</v>
      </c>
      <c r="Z45" s="111" t="s">
        <v>190</v>
      </c>
      <c r="AA45" s="111" t="s">
        <v>283</v>
      </c>
      <c r="AB45" s="112" t="s">
        <v>191</v>
      </c>
    </row>
    <row r="46" spans="2:30" ht="37.5" customHeight="1" x14ac:dyDescent="0.35">
      <c r="B46" s="1157" t="s">
        <v>284</v>
      </c>
      <c r="D46" s="258" t="s">
        <v>182</v>
      </c>
      <c r="E46" s="658" t="s">
        <v>285</v>
      </c>
      <c r="F46" s="107">
        <f>('A.1. Conso_bâtiment_EF H2'!O104)/('A.1. Conso_bâtiment_EF H2'!O103)-1</f>
        <v>-4.9964311206281198E-2</v>
      </c>
      <c r="G46" s="107">
        <f>('A.1. Conso_bâtiment_EF H2'!O106)/('A.1. Conso_bâtiment_EF H2'!O103)-1</f>
        <v>-0.28265524625267668</v>
      </c>
      <c r="H46" s="656"/>
      <c r="I46" s="107">
        <f>(('A.1. Conso_bâtiment_EF H2'!P108*'D.1. Facteur d''émissions'!C37)+('A.1. Conso_bâtiment_EF H2'!Q108*'D.1. Facteur d''émissions'!C47))/('A.1. Conso_bâtiment_EF H2'!O103*'D.1. Facteur d''émissions'!C37)-1</f>
        <v>-0.34099534150417166</v>
      </c>
      <c r="J46" s="656"/>
      <c r="K46" s="656"/>
      <c r="L46" s="656"/>
      <c r="M46" s="656"/>
      <c r="P46" s="117"/>
      <c r="Q46" s="1157" t="s">
        <v>284</v>
      </c>
      <c r="S46" s="258" t="s">
        <v>182</v>
      </c>
      <c r="T46" s="109" t="s">
        <v>285</v>
      </c>
      <c r="U46" s="107">
        <f>F46</f>
        <v>-4.9964311206281198E-2</v>
      </c>
      <c r="V46" s="107">
        <f>G46</f>
        <v>-0.28265524625267668</v>
      </c>
      <c r="W46" s="120"/>
      <c r="X46" s="107">
        <f>-(('A.1. Conso_bâtiment_EF H2'!P103*'D.1. Facteur d''émissions'!C8)-(('A.1. Conso_bâtiment_EF H2'!Q108*'D.1. Facteur d''émissions'!C15)+('A.1. Conso_bâtiment_EF H2'!P108*'D.1. Facteur d''émissions'!C8)))/('A.1. Conso_bâtiment_EF H2'!P103*'D.1. Facteur d''émissions'!C8)</f>
        <v>-0.43882881026403725</v>
      </c>
      <c r="Y46" s="120"/>
      <c r="Z46" s="120"/>
      <c r="AA46" s="120"/>
      <c r="AB46" s="120"/>
    </row>
    <row r="47" spans="2:30" ht="37.5" customHeight="1" x14ac:dyDescent="0.35">
      <c r="B47" s="1157"/>
      <c r="D47" s="258" t="s">
        <v>185</v>
      </c>
      <c r="E47" s="659" t="s">
        <v>286</v>
      </c>
      <c r="F47" s="658" t="s">
        <v>285</v>
      </c>
      <c r="G47" s="107">
        <f>('A.1. Conso_bâtiment_EF H2'!O106)/('A.1. Conso_bâtiment_EF H2'!O104)-1</f>
        <v>-0.24492862509391433</v>
      </c>
      <c r="H47" s="656"/>
      <c r="I47" s="107">
        <f>(('A.1. Conso_bâtiment_EF H2'!P108*'D.1. Facteur d''émissions'!C37)+('A.1. Conso_bâtiment_EF H2'!Q108*'D.1. Facteur d''émissions'!C47))/('A.1. Conso_bâtiment_EF H2'!O104*'D.1. Facteur d''émissions'!C37)-1</f>
        <v>-0.30633694473880135</v>
      </c>
      <c r="J47" s="656"/>
      <c r="K47" s="656"/>
      <c r="L47" s="656"/>
      <c r="M47" s="656"/>
      <c r="P47" s="117"/>
      <c r="Q47" s="1157"/>
      <c r="S47" s="258" t="s">
        <v>185</v>
      </c>
      <c r="T47" s="109"/>
      <c r="U47" s="658" t="s">
        <v>285</v>
      </c>
      <c r="V47" s="107">
        <f>G47</f>
        <v>-0.24492862509391433</v>
      </c>
      <c r="W47" s="120"/>
      <c r="X47" s="107">
        <f>-(('A.1. Conso_bâtiment_EF H2'!P104*'D.1. Facteur d''émissions'!C8)-(('A.1. Conso_bâtiment_EF H2'!Q108*'D.1. Facteur d''émissions'!C15)+('A.1. Conso_bâtiment_EF H2'!P108*'D.1. Facteur d''émissions'!C8)))/('A.1. Conso_bâtiment_EF H2'!P104*'D.1. Facteur d''émissions'!C8)</f>
        <v>-0.40931567481586489</v>
      </c>
      <c r="Y47" s="120"/>
      <c r="Z47" s="120"/>
      <c r="AA47" s="120"/>
      <c r="AB47" s="120"/>
    </row>
    <row r="48" spans="2:30" ht="37.5" customHeight="1" x14ac:dyDescent="0.35">
      <c r="B48" s="1157"/>
      <c r="D48" s="258" t="s">
        <v>186</v>
      </c>
      <c r="E48" s="659" t="s">
        <v>286</v>
      </c>
      <c r="F48" s="659" t="s">
        <v>286</v>
      </c>
      <c r="G48" s="658" t="s">
        <v>285</v>
      </c>
      <c r="H48" s="656"/>
      <c r="I48" s="107">
        <f>(('A.1. Conso_bâtiment_EF H2'!P108*'D.1. Facteur d''émissions'!C37)+('A.1. Conso_bâtiment_EF H2'!Q108*'D.1. Facteur d''émissions'!C47))/('A.1. Conso_bâtiment_EF H2'!O106*'D.1. Facteur d''émissions'!C37)-1</f>
        <v>-8.1327834275964794E-2</v>
      </c>
      <c r="J48" s="656"/>
      <c r="K48" s="656"/>
      <c r="L48" s="656"/>
      <c r="M48" s="656"/>
      <c r="P48" s="117"/>
      <c r="Q48" s="1157"/>
      <c r="S48" s="258" t="s">
        <v>186</v>
      </c>
      <c r="T48" s="110" t="s">
        <v>286</v>
      </c>
      <c r="U48" s="110"/>
      <c r="V48" s="109" t="s">
        <v>285</v>
      </c>
      <c r="W48" s="120"/>
      <c r="X48" s="107">
        <f>-(('A.1. Conso_bâtiment_EF H2'!P106*'D.1. Facteur d''émissions'!C8)-(('A.1. Conso_bâtiment_EF H2'!Q108*'D.1. Facteur d''émissions'!C15)+('A.1. Conso_bâtiment_EF H2'!P108*'D.1. Facteur d''émissions'!C8)))/('A.1. Conso_bâtiment_EF H2'!P106*'D.1. Facteur d''émissions'!C8)</f>
        <v>-0.2177106101292699</v>
      </c>
      <c r="Y48" s="120"/>
      <c r="Z48" s="120"/>
      <c r="AA48" s="120"/>
      <c r="AB48" s="120"/>
    </row>
    <row r="49" spans="1:28" ht="37.5" customHeight="1" x14ac:dyDescent="0.35">
      <c r="B49" s="1157"/>
      <c r="D49" s="654" t="s">
        <v>187</v>
      </c>
      <c r="E49" s="656"/>
      <c r="F49" s="656"/>
      <c r="G49" s="656"/>
      <c r="H49" s="656"/>
      <c r="I49" s="656"/>
      <c r="J49" s="656"/>
      <c r="K49" s="656"/>
      <c r="L49" s="656"/>
      <c r="M49" s="656"/>
      <c r="P49" s="117"/>
      <c r="Q49" s="1157"/>
      <c r="S49" s="654" t="s">
        <v>187</v>
      </c>
      <c r="T49" s="120"/>
      <c r="U49" s="120"/>
      <c r="V49" s="120"/>
      <c r="W49" s="120"/>
      <c r="X49" s="120"/>
      <c r="Y49" s="120"/>
      <c r="Z49" s="120"/>
      <c r="AA49" s="120"/>
      <c r="AB49" s="120"/>
    </row>
    <row r="50" spans="1:28" ht="37.5" customHeight="1" x14ac:dyDescent="0.35">
      <c r="B50" s="1157"/>
      <c r="D50" s="258" t="s">
        <v>289</v>
      </c>
      <c r="E50" s="659" t="s">
        <v>286</v>
      </c>
      <c r="F50" s="659" t="s">
        <v>286</v>
      </c>
      <c r="G50" s="659" t="s">
        <v>286</v>
      </c>
      <c r="H50" s="656"/>
      <c r="I50" s="658" t="s">
        <v>285</v>
      </c>
      <c r="J50" s="656"/>
      <c r="K50" s="656"/>
      <c r="L50" s="656"/>
      <c r="M50" s="656"/>
      <c r="P50" s="117"/>
      <c r="Q50" s="1157"/>
      <c r="S50" s="258" t="s">
        <v>289</v>
      </c>
      <c r="T50" s="659" t="s">
        <v>286</v>
      </c>
      <c r="U50" s="659" t="s">
        <v>286</v>
      </c>
      <c r="V50" s="659" t="s">
        <v>286</v>
      </c>
      <c r="W50" s="120"/>
      <c r="X50" s="658" t="s">
        <v>285</v>
      </c>
      <c r="Y50" s="120"/>
      <c r="Z50" s="120"/>
      <c r="AA50" s="120"/>
      <c r="AB50" s="120"/>
    </row>
    <row r="51" spans="1:28" ht="37.5" customHeight="1" x14ac:dyDescent="0.35">
      <c r="B51" s="1157"/>
      <c r="D51" s="654" t="s">
        <v>189</v>
      </c>
      <c r="E51" s="656"/>
      <c r="F51" s="656"/>
      <c r="G51" s="656"/>
      <c r="H51" s="656"/>
      <c r="I51" s="656"/>
      <c r="J51" s="656"/>
      <c r="K51" s="656"/>
      <c r="L51" s="656"/>
      <c r="M51" s="656"/>
      <c r="P51" s="117"/>
      <c r="Q51" s="1157"/>
      <c r="S51" s="654" t="s">
        <v>189</v>
      </c>
      <c r="T51" s="120"/>
      <c r="U51" s="120"/>
      <c r="V51" s="120"/>
      <c r="W51" s="120"/>
      <c r="X51" s="120"/>
      <c r="Y51" s="120"/>
      <c r="Z51" s="120"/>
      <c r="AA51" s="120"/>
      <c r="AB51" s="120"/>
    </row>
    <row r="52" spans="1:28" ht="37.5" customHeight="1" x14ac:dyDescent="0.35">
      <c r="B52" s="1157"/>
      <c r="D52" s="654" t="s">
        <v>190</v>
      </c>
      <c r="E52" s="656"/>
      <c r="F52" s="656"/>
      <c r="G52" s="656"/>
      <c r="H52" s="656"/>
      <c r="I52" s="656"/>
      <c r="J52" s="656"/>
      <c r="K52" s="656"/>
      <c r="L52" s="656"/>
      <c r="M52" s="656"/>
      <c r="P52" s="117"/>
      <c r="Q52" s="1157"/>
      <c r="S52" s="654" t="s">
        <v>190</v>
      </c>
      <c r="T52" s="120"/>
      <c r="U52" s="120"/>
      <c r="V52" s="120"/>
      <c r="W52" s="120"/>
      <c r="X52" s="120"/>
      <c r="Y52" s="120"/>
      <c r="Z52" s="120"/>
      <c r="AA52" s="120"/>
      <c r="AB52" s="120"/>
    </row>
    <row r="53" spans="1:28" ht="37.5" customHeight="1" x14ac:dyDescent="0.35">
      <c r="B53" s="1157"/>
      <c r="D53" s="656" t="s">
        <v>283</v>
      </c>
      <c r="E53" s="656"/>
      <c r="F53" s="656"/>
      <c r="G53" s="656"/>
      <c r="H53" s="656"/>
      <c r="I53" s="656"/>
      <c r="J53" s="656"/>
      <c r="K53" s="656"/>
      <c r="L53" s="656"/>
      <c r="M53" s="656"/>
      <c r="P53" s="117"/>
      <c r="Q53" s="1157"/>
      <c r="S53" s="656" t="s">
        <v>283</v>
      </c>
      <c r="T53" s="120"/>
      <c r="U53" s="120"/>
      <c r="V53" s="120"/>
      <c r="W53" s="120"/>
      <c r="X53" s="120"/>
      <c r="Y53" s="120"/>
      <c r="Z53" s="120"/>
      <c r="AA53" s="120"/>
      <c r="AB53" s="120"/>
    </row>
    <row r="54" spans="1:28" ht="37.5" customHeight="1" x14ac:dyDescent="0.35">
      <c r="B54" s="1157"/>
      <c r="D54" s="654" t="s">
        <v>191</v>
      </c>
      <c r="E54" s="656"/>
      <c r="F54" s="656"/>
      <c r="G54" s="656"/>
      <c r="H54" s="656"/>
      <c r="I54" s="656"/>
      <c r="J54" s="656"/>
      <c r="K54" s="656"/>
      <c r="L54" s="656"/>
      <c r="M54" s="656"/>
      <c r="P54" s="117"/>
      <c r="Q54" s="1157"/>
      <c r="S54" s="654" t="s">
        <v>191</v>
      </c>
      <c r="T54" s="120"/>
      <c r="U54" s="120"/>
      <c r="V54" s="120"/>
      <c r="W54" s="120"/>
      <c r="X54" s="120"/>
      <c r="Y54" s="120"/>
      <c r="Z54" s="120"/>
      <c r="AA54" s="120"/>
      <c r="AB54" s="120"/>
    </row>
    <row r="55" spans="1:28" ht="14.45" customHeight="1" x14ac:dyDescent="0.35">
      <c r="P55" s="117"/>
      <c r="S55" s="655"/>
    </row>
    <row r="56" spans="1:28" ht="14.45" customHeight="1" x14ac:dyDescent="0.35">
      <c r="P56" s="117"/>
      <c r="S56" s="655"/>
    </row>
    <row r="57" spans="1:28" ht="14.45" customHeight="1" x14ac:dyDescent="0.25">
      <c r="P57" s="117"/>
    </row>
    <row r="58" spans="1:28" ht="26.25" x14ac:dyDescent="0.4">
      <c r="D58" s="653" t="s">
        <v>170</v>
      </c>
      <c r="P58" s="117"/>
      <c r="S58" s="653" t="s">
        <v>170</v>
      </c>
    </row>
    <row r="59" spans="1:28" ht="14.45" customHeight="1" x14ac:dyDescent="0.25">
      <c r="D59" s="118"/>
      <c r="P59" s="117"/>
      <c r="S59" s="118"/>
    </row>
    <row r="60" spans="1:28" ht="14.45" customHeight="1" x14ac:dyDescent="0.3">
      <c r="E60" s="1154" t="s">
        <v>280</v>
      </c>
      <c r="F60" s="1154"/>
      <c r="G60" s="1154"/>
      <c r="H60" s="1154"/>
      <c r="I60" s="1154"/>
      <c r="J60" s="1154"/>
      <c r="K60" s="1154"/>
      <c r="L60" s="1154"/>
      <c r="M60" s="1154"/>
      <c r="N60" s="195"/>
      <c r="O60" s="195"/>
      <c r="P60" s="119"/>
      <c r="T60" s="1154" t="s">
        <v>280</v>
      </c>
      <c r="U60" s="1154"/>
      <c r="V60" s="1154"/>
      <c r="W60" s="1154"/>
      <c r="X60" s="1154"/>
      <c r="Y60" s="1154"/>
      <c r="Z60" s="1154"/>
      <c r="AA60" s="1154"/>
      <c r="AB60" s="1154"/>
    </row>
    <row r="61" spans="1:28" ht="14.45" customHeight="1" x14ac:dyDescent="0.25">
      <c r="P61" s="117"/>
    </row>
    <row r="62" spans="1:28" ht="75" x14ac:dyDescent="0.25">
      <c r="A62" s="105"/>
      <c r="B62" s="105"/>
      <c r="C62" s="105"/>
      <c r="D62" s="105"/>
      <c r="E62" s="111" t="s">
        <v>182</v>
      </c>
      <c r="F62" s="111" t="s">
        <v>185</v>
      </c>
      <c r="G62" s="111" t="s">
        <v>186</v>
      </c>
      <c r="H62" s="111" t="s">
        <v>187</v>
      </c>
      <c r="I62" s="112" t="s">
        <v>282</v>
      </c>
      <c r="J62" s="111" t="s">
        <v>189</v>
      </c>
      <c r="K62" s="111" t="s">
        <v>190</v>
      </c>
      <c r="L62" s="832" t="s">
        <v>283</v>
      </c>
      <c r="M62" s="111" t="s">
        <v>191</v>
      </c>
      <c r="N62" s="196"/>
      <c r="O62" s="196"/>
      <c r="P62" s="116"/>
      <c r="Q62" s="105"/>
      <c r="R62" s="105"/>
      <c r="S62" s="105"/>
      <c r="T62" s="111" t="s">
        <v>182</v>
      </c>
      <c r="U62" s="111" t="s">
        <v>185</v>
      </c>
      <c r="V62" s="111" t="s">
        <v>186</v>
      </c>
      <c r="W62" s="111" t="s">
        <v>187</v>
      </c>
      <c r="X62" s="112" t="s">
        <v>282</v>
      </c>
      <c r="Y62" s="111" t="s">
        <v>189</v>
      </c>
      <c r="Z62" s="111" t="s">
        <v>190</v>
      </c>
      <c r="AA62" s="673" t="s">
        <v>283</v>
      </c>
      <c r="AB62" s="111" t="s">
        <v>191</v>
      </c>
    </row>
    <row r="63" spans="1:28" ht="32.450000000000003" customHeight="1" x14ac:dyDescent="0.35">
      <c r="B63" s="1157" t="s">
        <v>284</v>
      </c>
      <c r="D63" s="258" t="s">
        <v>182</v>
      </c>
      <c r="E63" s="658" t="s">
        <v>285</v>
      </c>
      <c r="F63" s="107">
        <f>('A.1. Conso_bâtiment_EF H2'!T104)/('A.1. Conso_bâtiment_EF H2'!T103)-1</f>
        <v>-5.0075112669003552E-2</v>
      </c>
      <c r="G63" s="107">
        <f>('A.1. Conso_bâtiment_EF H2'!T106)/('A.1. Conso_bâtiment_EF H2'!T103)-1</f>
        <v>-0.23184777165748616</v>
      </c>
      <c r="H63" s="107">
        <f>('A.1. Conso_bâtiment_EF H2'!U107+('A.1. Conso_bâtiment_EF H2'!V107*'D.1. Facteur d''émissions'!C47))/('A.1. Conso_bâtiment_EF H2'!T103)-1</f>
        <v>-0.3058587881822733</v>
      </c>
      <c r="I63" s="656"/>
      <c r="J63" s="107">
        <f>('A.1. Conso_bâtiment_EF H2'!T109)/('A.1. Conso_bâtiment_EF H2'!T103)-1</f>
        <v>-0.44566850275413117</v>
      </c>
      <c r="K63" s="107">
        <f>('A.1. Conso_bâtiment_EF H2'!U110+'A.1. Conso_bâtiment_EF H2'!V110*'D.1. Facteur d''émissions'!C47)/('A.1. Conso_bâtiment_EF H2'!T103)-1</f>
        <v>-0.49934902353530308</v>
      </c>
      <c r="L63" s="652"/>
      <c r="M63" s="107">
        <f>('A.1. Conso_bâtiment_EF H2'!T111)/('A.1. Conso_bâtiment_EF H2'!T103)-1</f>
        <v>-0.30846269404106164</v>
      </c>
      <c r="N63" s="191"/>
      <c r="O63" s="191"/>
      <c r="P63" s="117"/>
      <c r="Q63" s="1157" t="s">
        <v>284</v>
      </c>
      <c r="S63" s="258" t="s">
        <v>182</v>
      </c>
      <c r="T63" s="658" t="s">
        <v>285</v>
      </c>
      <c r="U63" s="107">
        <f>F63</f>
        <v>-5.0075112669003552E-2</v>
      </c>
      <c r="V63" s="107">
        <f>G63</f>
        <v>-0.23184777165748616</v>
      </c>
      <c r="W63" s="107">
        <f>-(('A.1. Conso_bâtiment_EF H2'!U103*'D.1. Facteur d''émissions'!C8)-(('A.1. Conso_bâtiment_EF H2'!V107*'D.1. Facteur d''émissions'!C15)+('A.1. Conso_bâtiment_EF H2'!U107*'D.1. Facteur d''émissions'!C8)))/('A.1. Conso_bâtiment_EF H2'!U103*'D.1. Facteur d''émissions'!C8)</f>
        <v>-0.81478074852865068</v>
      </c>
      <c r="X63" s="656"/>
      <c r="Y63" s="107">
        <f>J63</f>
        <v>-0.44566850275413117</v>
      </c>
      <c r="Z63" s="107">
        <f>-(('A.1. Conso_bâtiment_EF H2'!U103*'D.1. Facteur d''émissions'!C8)-(('A.1. Conso_bâtiment_EF H2'!V110*'D.1. Facteur d''émissions'!C15)+('A.1. Conso_bâtiment_EF H2'!U110*'D.1. Facteur d''émissions'!C8)))/('A.1. Conso_bâtiment_EF H2'!U103*'D.1. Facteur d''émissions'!C8)</f>
        <v>-0.83519630910801346</v>
      </c>
      <c r="AA63" s="652"/>
      <c r="AB63" s="107">
        <f>M63</f>
        <v>-0.30846269404106164</v>
      </c>
    </row>
    <row r="64" spans="1:28" ht="32.450000000000003" customHeight="1" x14ac:dyDescent="0.35">
      <c r="B64" s="1157"/>
      <c r="D64" s="258" t="s">
        <v>185</v>
      </c>
      <c r="E64" s="659" t="s">
        <v>286</v>
      </c>
      <c r="F64" s="658" t="s">
        <v>285</v>
      </c>
      <c r="G64" s="107">
        <f>('A.1. Conso_bâtiment_EF H2'!T106)/('A.1. Conso_bâtiment_EF H2'!T104)-1</f>
        <v>-0.19135477069056395</v>
      </c>
      <c r="H64" s="107">
        <f>('A.1. Conso_bâtiment_EF H2'!U107+'A.1. Conso_bâtiment_EF H2'!V107*'D.1. Facteur d''émissions'!C47)/('A.1. Conso_bâtiment_EF H2'!T104)-1</f>
        <v>-0.26926726410121238</v>
      </c>
      <c r="I64" s="656"/>
      <c r="J64" s="107">
        <f>('A.1. Conso_bâtiment_EF H2'!T109)/('A.1. Conso_bâtiment_EF H2'!T104)-1</f>
        <v>-0.41644702161307334</v>
      </c>
      <c r="K64" s="107">
        <f>('A.1. Conso_bâtiment_EF H2'!U110+'A.1. Conso_bâtiment_EF H2'!V110*'D.1. Facteur d''émissions'!C47)/('A.1. Conso_bâtiment_EF H2'!T104)-1</f>
        <v>-0.47295730100158151</v>
      </c>
      <c r="L64" s="652"/>
      <c r="M64" s="107">
        <f>('A.1. Conso_bâtiment_EF H2'!T111)/('A.1. Conso_bâtiment_EF H2'!T104)-1</f>
        <v>-0.27200843437005795</v>
      </c>
      <c r="N64" s="191"/>
      <c r="O64" s="191"/>
      <c r="P64" s="117"/>
      <c r="Q64" s="1157"/>
      <c r="S64" s="258" t="s">
        <v>185</v>
      </c>
      <c r="T64" s="659" t="s">
        <v>286</v>
      </c>
      <c r="U64" s="658" t="s">
        <v>285</v>
      </c>
      <c r="V64" s="107">
        <f>G64</f>
        <v>-0.19135477069056395</v>
      </c>
      <c r="W64" s="107">
        <f>-(('A.1. Conso_bâtiment_EF H2'!U104*'D.1. Facteur d''émissions'!C8)-(('A.1. Conso_bâtiment_EF H2'!V107*'D.1. Facteur d''émissions'!C15)+('A.1. Conso_bâtiment_EF H2'!U107*'D.1. Facteur d''émissions'!C8)))/('A.1. Conso_bâtiment_EF H2'!U104*'D.1. Facteur d''émissions'!C8)</f>
        <v>-0.80501695034882204</v>
      </c>
      <c r="X64" s="656"/>
      <c r="Y64" s="107">
        <f>J64</f>
        <v>-0.41644702161307334</v>
      </c>
      <c r="Z64" s="107">
        <f>-(('A.1. Conso_bâtiment_EF H2'!U104*'D.1. Facteur d''émissions'!C8)-(('A.1. Conso_bâtiment_EF H2'!V110*'D.1. Facteur d''émissions'!C15)+('A.1. Conso_bâtiment_EF H2'!U110*'D.1. Facteur d''émissions'!C8)))/('A.1. Conso_bâtiment_EF H2'!U104*'D.1. Facteur d''émissions'!C8)</f>
        <v>-0.82650871338360721</v>
      </c>
      <c r="AA64" s="652"/>
      <c r="AB64" s="107"/>
    </row>
    <row r="65" spans="2:28" ht="32.450000000000003" customHeight="1" x14ac:dyDescent="0.35">
      <c r="B65" s="1157"/>
      <c r="D65" s="258" t="s">
        <v>186</v>
      </c>
      <c r="E65" s="659" t="s">
        <v>286</v>
      </c>
      <c r="F65" s="659" t="s">
        <v>286</v>
      </c>
      <c r="G65" s="658" t="s">
        <v>285</v>
      </c>
      <c r="H65" s="107">
        <f>('A.1. Conso_bâtiment_EF H2'!U107+'A.1. Conso_bâtiment_EF H2'!V107*'D.1. Facteur d''émissions'!C47)/('A.1. Conso_bâtiment_EF H2'!T106)-1</f>
        <v>-9.6349413298565834E-2</v>
      </c>
      <c r="I65" s="656"/>
      <c r="J65" s="107">
        <f>('A.1. Conso_bâtiment_EF H2'!T109)/('A.1. Conso_bâtiment_EF H2'!T106)-1</f>
        <v>-0.27835723598435469</v>
      </c>
      <c r="K65" s="107">
        <f>('A.1. Conso_bâtiment_EF H2'!U110+'A.1. Conso_bâtiment_EF H2'!V110*'D.1. Facteur d''émissions'!C47)/('A.1. Conso_bâtiment_EF H2'!T106)-1</f>
        <v>-0.34823989569752301</v>
      </c>
      <c r="L65" s="652"/>
      <c r="M65" s="107">
        <f>('A.1. Conso_bâtiment_EF H2'!T111)/('A.1. Conso_bâtiment_EF H2'!T106)-1</f>
        <v>-9.9739243807040467E-2</v>
      </c>
      <c r="N65" s="191"/>
      <c r="O65" s="191"/>
      <c r="P65" s="117"/>
      <c r="Q65" s="1157"/>
      <c r="S65" s="258" t="s">
        <v>186</v>
      </c>
      <c r="T65" s="659" t="s">
        <v>286</v>
      </c>
      <c r="U65" s="659" t="s">
        <v>286</v>
      </c>
      <c r="V65" s="658" t="s">
        <v>285</v>
      </c>
      <c r="W65" s="107">
        <f>-(('A.1. Conso_bâtiment_EF H2'!U106*'D.1. Facteur d''émissions'!C8)-(('A.1. Conso_bâtiment_EF H2'!V107*'D.1. Facteur d''émissions'!C15)+('A.1. Conso_bâtiment_EF H2'!U107*'D.1. Facteur d''émissions'!C8)))/('A.1. Conso_bâtiment_EF H2'!U106*'D.1. Facteur d''émissions'!C8)</f>
        <v>-0.75887689361911048</v>
      </c>
      <c r="X65" s="656"/>
      <c r="Y65" s="107">
        <f>J65</f>
        <v>-0.27835723598435469</v>
      </c>
      <c r="Z65" s="107">
        <f>-(('A.1. Conso_bâtiment_EF H2'!U106*'D.1. Facteur d''émissions'!C8)-(('A.1. Conso_bâtiment_EF H2'!V110*'D.1. Facteur d''émissions'!C15)+('A.1. Conso_bâtiment_EF H2'!U110*'D.1. Facteur d''émissions'!C8)))/('A.1. Conso_bâtiment_EF H2'!U106*'D.1. Facteur d''émissions'!C8)</f>
        <v>-0.78545438675925872</v>
      </c>
      <c r="AA65" s="652"/>
      <c r="AB65" s="107">
        <f>M65</f>
        <v>-9.9739243807040467E-2</v>
      </c>
    </row>
    <row r="66" spans="2:28" ht="32.450000000000003" customHeight="1" x14ac:dyDescent="0.35">
      <c r="B66" s="1157"/>
      <c r="D66" s="258" t="s">
        <v>288</v>
      </c>
      <c r="E66" s="659" t="s">
        <v>286</v>
      </c>
      <c r="F66" s="659" t="s">
        <v>286</v>
      </c>
      <c r="G66" s="659" t="s">
        <v>286</v>
      </c>
      <c r="H66" s="658" t="s">
        <v>285</v>
      </c>
      <c r="I66" s="656"/>
      <c r="J66" s="659" t="s">
        <v>286</v>
      </c>
      <c r="K66" s="107">
        <f>('A.1. Conso_bâtiment_EF H2'!U110+'A.1. Conso_bâtiment_EF H2'!V110*'D.1. Facteur d''émissions'!C47)/('A.1. Conso_bâtiment_EF H2'!U107+'A.1. Conso_bâtiment_EF H2'!V107*'D.1. Facteur d''émissions'!C47)-1</f>
        <v>-0.27874765546097269</v>
      </c>
      <c r="L66" s="671"/>
      <c r="M66" s="659" t="s">
        <v>286</v>
      </c>
      <c r="N66" s="192"/>
      <c r="O66" s="192"/>
      <c r="P66" s="117"/>
      <c r="Q66" s="1157"/>
      <c r="S66" s="258" t="s">
        <v>187</v>
      </c>
      <c r="T66" s="659" t="s">
        <v>286</v>
      </c>
      <c r="U66" s="659" t="s">
        <v>286</v>
      </c>
      <c r="V66" s="659" t="s">
        <v>286</v>
      </c>
      <c r="W66" s="658" t="s">
        <v>285</v>
      </c>
      <c r="X66" s="656"/>
      <c r="Y66" s="659" t="s">
        <v>286</v>
      </c>
      <c r="Z66" s="107">
        <f>-((('A.1. Conso_bâtiment_EF H2'!V107*'D.1. Facteur d''émissions'!C15)+('A.1. Conso_bâtiment_EF H2'!U107*'D.1. Facteur d''émissions'!C8))-(('A.1. Conso_bâtiment_EF H2'!V110*'D.1. Facteur d''émissions'!C15)+('A.1. Conso_bâtiment_EF H2'!U110*'D.1. Facteur d''émissions'!C8)))/(('A.1. Conso_bâtiment_EF H2'!V107*'D.1. Facteur d''émissions'!C15)+('A.1. Conso_bâtiment_EF H2'!U107*'D.1. Facteur d''émissions'!C8))</f>
        <v>-0.110223750593878</v>
      </c>
      <c r="AA66" s="671"/>
      <c r="AB66" s="659" t="s">
        <v>286</v>
      </c>
    </row>
    <row r="67" spans="2:28" ht="32.450000000000003" customHeight="1" x14ac:dyDescent="0.35">
      <c r="B67" s="1157"/>
      <c r="D67" s="654" t="s">
        <v>289</v>
      </c>
      <c r="E67" s="656"/>
      <c r="F67" s="656"/>
      <c r="G67" s="656"/>
      <c r="H67" s="656"/>
      <c r="I67" s="656"/>
      <c r="J67" s="656"/>
      <c r="K67" s="656"/>
      <c r="L67" s="253"/>
      <c r="M67" s="656"/>
      <c r="N67" s="192"/>
      <c r="O67" s="192"/>
      <c r="P67" s="117"/>
      <c r="Q67" s="1157"/>
      <c r="S67" s="654" t="s">
        <v>289</v>
      </c>
      <c r="T67" s="656"/>
      <c r="U67" s="656"/>
      <c r="V67" s="656"/>
      <c r="W67" s="656"/>
      <c r="X67" s="656"/>
      <c r="Y67" s="656"/>
      <c r="Z67" s="656"/>
      <c r="AA67" s="656"/>
      <c r="AB67" s="656"/>
    </row>
    <row r="68" spans="2:28" ht="32.450000000000003" customHeight="1" x14ac:dyDescent="0.35">
      <c r="B68" s="1157"/>
      <c r="D68" s="258" t="s">
        <v>189</v>
      </c>
      <c r="E68" s="659" t="s">
        <v>286</v>
      </c>
      <c r="F68" s="659" t="s">
        <v>286</v>
      </c>
      <c r="G68" s="659" t="s">
        <v>286</v>
      </c>
      <c r="H68" s="553">
        <f>('A.1. Conso_bâtiment_EF H2'!U107+'A.1. Conso_bâtiment_EF H2'!V107*'D.1. Facteur d''émissions'!C47)/('A.1. Conso_bâtiment_EF H2'!T109)-1</f>
        <v>0.25221318879855481</v>
      </c>
      <c r="I68" s="656"/>
      <c r="J68" s="658" t="s">
        <v>285</v>
      </c>
      <c r="K68" s="107">
        <f>('A.1. Conso_bâtiment_EF H2'!U110+'A.1. Conso_bâtiment_EF H2'!V110*'D.1. Facteur d''émissions'!C47)/('A.1. Conso_bâtiment_EF H2'!T109)-1</f>
        <v>-9.6838301716350661E-2</v>
      </c>
      <c r="L68" s="658"/>
      <c r="M68" s="659" t="s">
        <v>286</v>
      </c>
      <c r="N68" s="1155" t="s">
        <v>290</v>
      </c>
      <c r="O68" s="1156"/>
      <c r="P68" s="117"/>
      <c r="Q68" s="1157"/>
      <c r="S68" s="258" t="s">
        <v>189</v>
      </c>
      <c r="T68" s="659" t="s">
        <v>286</v>
      </c>
      <c r="U68" s="659" t="s">
        <v>286</v>
      </c>
      <c r="V68" s="659" t="s">
        <v>286</v>
      </c>
      <c r="W68" s="107">
        <f>-(('A.1. Conso_bâtiment_EF H2'!U109*'D.1. Facteur d''émissions'!C8)-(('A.1. Conso_bâtiment_EF H2'!V107*'D.1. Facteur d''émissions'!C15)+('A.1. Conso_bâtiment_EF H2'!U107*'D.1. Facteur d''émissions'!C8)))/('A.1. Conso_bâtiment_EF H2'!U109*'D.1. Facteur d''émissions'!C8)</f>
        <v>-0.66586915520480172</v>
      </c>
      <c r="X68" s="656"/>
      <c r="Y68" s="658" t="s">
        <v>285</v>
      </c>
      <c r="Z68" s="107">
        <f>-(('A.1. Conso_bâtiment_EF H2'!U109*'D.1. Facteur d''émissions'!C8)-(('A.1. Conso_bâtiment_EF H2'!V110*'D.1. Facteur d''émissions'!C15)+('A.1. Conso_bâtiment_EF H2'!U110*'D.1. Facteur d''émissions'!C8)))/('A.1. Conso_bâtiment_EF H2'!U109*'D.1. Facteur d''émissions'!C8)</f>
        <v>-0.70269831010722938</v>
      </c>
      <c r="AA68" s="658"/>
      <c r="AB68" s="659" t="s">
        <v>286</v>
      </c>
    </row>
    <row r="69" spans="2:28" ht="32.450000000000003" customHeight="1" x14ac:dyDescent="0.35">
      <c r="B69" s="1157"/>
      <c r="D69" s="258" t="s">
        <v>190</v>
      </c>
      <c r="E69" s="659" t="s">
        <v>286</v>
      </c>
      <c r="F69" s="659" t="s">
        <v>286</v>
      </c>
      <c r="G69" s="659" t="s">
        <v>286</v>
      </c>
      <c r="H69" s="659" t="s">
        <v>286</v>
      </c>
      <c r="I69" s="656"/>
      <c r="J69" s="553">
        <f>('A.1. Conso_bâtiment_EF H2'!T109*'D.1. Facteur d''émissions'!C37)/('A.1. Conso_bâtiment_EF H2'!U110*'D.1. Facteur d''émissions'!C37+'A.1. Conso_bâtiment_EF H2'!V110*2.3)-1</f>
        <v>0.19690234051870981</v>
      </c>
      <c r="K69" s="658" t="s">
        <v>285</v>
      </c>
      <c r="L69" s="658"/>
      <c r="M69" s="671"/>
      <c r="N69" s="1155"/>
      <c r="O69" s="1156"/>
      <c r="P69" s="117"/>
      <c r="Q69" s="1157"/>
      <c r="S69" s="258" t="s">
        <v>190</v>
      </c>
      <c r="T69" s="659" t="s">
        <v>286</v>
      </c>
      <c r="U69" s="659" t="s">
        <v>286</v>
      </c>
      <c r="V69" s="659" t="s">
        <v>286</v>
      </c>
      <c r="W69" s="659" t="s">
        <v>286</v>
      </c>
      <c r="X69" s="656"/>
      <c r="Y69" s="659" t="s">
        <v>286</v>
      </c>
      <c r="Z69" s="658" t="s">
        <v>285</v>
      </c>
      <c r="AA69" s="658"/>
      <c r="AB69" s="671"/>
    </row>
    <row r="70" spans="2:28" ht="32.450000000000003" customHeight="1" x14ac:dyDescent="0.35">
      <c r="B70" s="1157"/>
      <c r="D70" s="672" t="s">
        <v>283</v>
      </c>
      <c r="E70" s="659" t="s">
        <v>286</v>
      </c>
      <c r="F70" s="659" t="s">
        <v>286</v>
      </c>
      <c r="G70" s="659" t="s">
        <v>286</v>
      </c>
      <c r="H70" s="652"/>
      <c r="I70" s="656"/>
      <c r="J70" s="658"/>
      <c r="K70" s="658"/>
      <c r="L70" s="658" t="s">
        <v>285</v>
      </c>
      <c r="M70" s="671"/>
      <c r="N70" s="1155"/>
      <c r="O70" s="1156"/>
      <c r="P70" s="117"/>
      <c r="Q70" s="1157"/>
      <c r="S70" s="672" t="s">
        <v>283</v>
      </c>
      <c r="T70" s="659" t="s">
        <v>286</v>
      </c>
      <c r="U70" s="659" t="s">
        <v>286</v>
      </c>
      <c r="V70" s="659" t="s">
        <v>286</v>
      </c>
      <c r="W70" s="652"/>
      <c r="X70" s="656"/>
      <c r="Y70" s="658"/>
      <c r="Z70" s="658"/>
      <c r="AA70" s="658" t="s">
        <v>285</v>
      </c>
      <c r="AB70" s="671"/>
    </row>
    <row r="71" spans="2:28" ht="32.450000000000003" customHeight="1" x14ac:dyDescent="0.35">
      <c r="B71" s="1157"/>
      <c r="D71" s="258" t="s">
        <v>191</v>
      </c>
      <c r="E71" s="659" t="s">
        <v>286</v>
      </c>
      <c r="F71" s="659" t="s">
        <v>286</v>
      </c>
      <c r="G71" s="659" t="s">
        <v>286</v>
      </c>
      <c r="H71" s="107">
        <f>('A.1. Conso_bâtiment_EF H2'!U107+'A.1. Conso_bâtiment_EF H2'!V107*'D.1. Facteur d''émissions'!C47)/('A.1. Conso_bâtiment_EF H2'!T111)-1</f>
        <v>3.7653874004346388E-3</v>
      </c>
      <c r="I71" s="656"/>
      <c r="J71" s="107">
        <f>('A.1. Conso_bâtiment_EF H2'!T109)/('A.1. Conso_bâtiment_EF H2'!T111)-1</f>
        <v>-0.19840695148443166</v>
      </c>
      <c r="K71" s="107">
        <f>('A.1. Conso_bâtiment_EF H2'!U110+'A.1. Conso_bâtiment_EF H2'!V110*'D.1. Facteur d''émissions'!C47)/('A.1. Conso_bâtiment_EF H2'!T111)-1</f>
        <v>-0.27603186097031152</v>
      </c>
      <c r="L71" s="652"/>
      <c r="M71" s="658" t="s">
        <v>285</v>
      </c>
      <c r="N71" s="1155"/>
      <c r="O71" s="1156"/>
      <c r="P71" s="117"/>
      <c r="Q71" s="1157"/>
      <c r="S71" s="258" t="s">
        <v>191</v>
      </c>
      <c r="T71" s="659" t="s">
        <v>286</v>
      </c>
      <c r="U71" s="659" t="s">
        <v>286</v>
      </c>
      <c r="V71" s="659" t="s">
        <v>286</v>
      </c>
      <c r="W71" s="107">
        <f>-(('A.1. Conso_bâtiment_EF H2'!U111*'D.1. Facteur d''émissions'!C8)-(('A.1. Conso_bâtiment_EF H2'!V107*'D.1. Facteur d''émissions'!C15)+('A.1. Conso_bâtiment_EF H2'!U107*'D.1. Facteur d''émissions'!C8)))/('A.1. Conso_bâtiment_EF H2'!U111*'D.1. Facteur d''émissions'!C8)</f>
        <v>-0.73216303751753475</v>
      </c>
      <c r="X71" s="656"/>
      <c r="Y71" s="107">
        <f>J71</f>
        <v>-0.19840695148443166</v>
      </c>
      <c r="Z71" s="107">
        <f>-(('A.1. Conso_bâtiment_EF H2'!U111*'D.1. Facteur d''émissions'!C8)-(('A.1. Conso_bâtiment_EF H2'!V110*'D.1. Facteur d''émissions'!C15)+('A.1. Conso_bâtiment_EF H2'!U110*'D.1. Facteur d''émissions'!C8)))/('A.1. Conso_bâtiment_EF H2'!U111*'D.1. Facteur d''émissions'!C8)</f>
        <v>-0.7616850320700238</v>
      </c>
      <c r="AA71" s="652"/>
      <c r="AB71" s="658" t="s">
        <v>285</v>
      </c>
    </row>
    <row r="72" spans="2:28" ht="36.6" customHeight="1" x14ac:dyDescent="0.35">
      <c r="B72" s="1157"/>
      <c r="D72" s="253" t="s">
        <v>196</v>
      </c>
      <c r="E72" s="659" t="s">
        <v>286</v>
      </c>
      <c r="F72" s="659" t="s">
        <v>286</v>
      </c>
      <c r="G72" s="107">
        <f>('A.1. Conso_bâtiment_EF H2'!T106)/('A.1. Conso_bâtiment_EF H2'!W116)-1</f>
        <v>-0.24767042667974493</v>
      </c>
      <c r="H72" s="107">
        <f>('A.1. Conso_bâtiment_EF H2'!U107+('A.1. Conso_bâtiment_EF H2'!V107*'D.1. Facteur d''émissions'!C47))/('A.1. Conso_bâtiment_EF H2'!W116)-1</f>
        <v>-0.32015693967631187</v>
      </c>
      <c r="I72" s="656"/>
      <c r="J72" s="107">
        <f>('A.1. Conso_bâtiment_EF H2'!T109)/('A.1. Conso_bâtiment_EF H2'!W116)-1</f>
        <v>-0.45708680725846007</v>
      </c>
      <c r="K72" s="107">
        <f>('A.1. Conso_bâtiment_EF H2'!U110+'A.1. Conso_bâtiment_EF H2'!V110*'D.1. Facteur d''émissions'!C47)/('A.1. Conso_bâtiment_EF H2'!W116)-1</f>
        <v>-0.50966159882295259</v>
      </c>
      <c r="L72" s="699"/>
      <c r="M72" s="107">
        <f>('A.1. Conso_bâtiment_EF H2'!T111)/('A.1. Conso_bâtiment_EF H2'!W116)-1</f>
        <v>-0.32270720941638065</v>
      </c>
      <c r="P72" s="117"/>
      <c r="Q72" s="1157"/>
      <c r="S72" s="253" t="s">
        <v>196</v>
      </c>
      <c r="T72" s="659" t="s">
        <v>286</v>
      </c>
      <c r="U72" s="659" t="s">
        <v>286</v>
      </c>
      <c r="V72" s="107">
        <f>-('A.1. Conso_bâtiment_EF H2'!W116*'D.1. Facteur d''émissions'!C7-'A.1. Conso_bâtiment_EF H2'!T106*'D.1. Facteur d''émissions'!C8)/('A.1. Conso_bâtiment_EF H2'!W116*'D.1. Facteur d''émissions'!C7)</f>
        <v>-0.44504083943351569</v>
      </c>
      <c r="W72" s="107">
        <f>-(('A.1. Conso_bâtiment_EF H2'!W116*'D.1. Facteur d''émissions'!C7)-(('A.1. Conso_bâtiment_EF H2'!V107*'D.1. Facteur d''émissions'!C15)+('A.1. Conso_bâtiment_EF H2'!U107*'D.1. Facteur d''émissions'!C8)))/('A.1. Conso_bâtiment_EF H2'!W116*'D.1. Facteur d''émissions'!C7)</f>
        <v>-0.86618652328967849</v>
      </c>
      <c r="X72" s="656"/>
      <c r="Y72" s="107">
        <f>-('A.1. Conso_bâtiment_EF H2'!W116*'D.1. Facteur d''émissions'!C7-'A.1. Conso_bâtiment_EF H2'!T109*'D.1. Facteur d''émissions'!C8)/('A.1. Conso_bâtiment_EF H2'!W116*'D.1. Facteur d''émissions'!C7)</f>
        <v>-0.59951773745299997</v>
      </c>
      <c r="Z72" s="107">
        <f>-(('A.1. Conso_bâtiment_EF H2'!W116*'D.1. Facteur d''émissions'!C7)-(('A.1. Conso_bâtiment_EF H2'!V110*'D.1. Facteur d''émissions'!C15)+('A.1. Conso_bâtiment_EF H2'!U110*'D.1. Facteur d''émissions'!C8)))/('A.1. Conso_bâtiment_EF H2'!W116*'D.1. Facteur d''émissions'!C7)</f>
        <v>-0.88093594657269658</v>
      </c>
      <c r="AA72" s="699"/>
      <c r="AB72" s="699"/>
    </row>
    <row r="73" spans="2:28" ht="36.6" customHeight="1" x14ac:dyDescent="0.35">
      <c r="B73" s="1157"/>
      <c r="D73" s="253" t="s">
        <v>197</v>
      </c>
      <c r="E73" s="659" t="s">
        <v>286</v>
      </c>
      <c r="F73" s="659" t="s">
        <v>286</v>
      </c>
      <c r="G73" s="107">
        <f>('A.1. Conso_bâtiment_EF H2'!T106)/('A.1. Conso_bâtiment_EF H2'!W117)-1</f>
        <v>-2.105934907466489E-2</v>
      </c>
      <c r="H73" s="107">
        <f>('A.1. Conso_bâtiment_EF H2'!U107+('A.1. Conso_bâtiment_EF H2'!V107*'D.1. Facteur d''émissions'!C47))/('A.1. Conso_bâtiment_EF H2'!W117)-1</f>
        <v>-0.11537970644543705</v>
      </c>
      <c r="I73" s="656"/>
      <c r="J73" s="107">
        <f>('A.1. Conso_bâtiment_EF H2'!T109)/('A.1. Conso_bâtiment_EF H2'!W117)-1</f>
        <v>-0.29355456285896619</v>
      </c>
      <c r="K73" s="107">
        <f>('A.1. Conso_bâtiment_EF H2'!U110+'A.1. Conso_bâtiment_EF H2'!V110*'D.1. Facteur d''émissions'!C47)/('A.1. Conso_bâtiment_EF H2'!W117)-1</f>
        <v>-0.36196553924696884</v>
      </c>
      <c r="L73" s="699"/>
      <c r="M73" s="107">
        <f>('A.1. Conso_bâtiment_EF H2'!T111)/('A.1. Conso_bâtiment_EF H2'!W117)-1</f>
        <v>-0.11869814932992973</v>
      </c>
      <c r="P73" s="117"/>
      <c r="Q73" s="1157"/>
      <c r="S73" s="253" t="s">
        <v>197</v>
      </c>
      <c r="T73" s="659" t="s">
        <v>286</v>
      </c>
      <c r="U73" s="659" t="s">
        <v>286</v>
      </c>
      <c r="V73" s="107">
        <f>-('A.1. Conso_bâtiment_EF H2'!W117*'D.1. Facteur d''émissions'!C7-'A.1. Conso_bâtiment_EF H2'!T106*'D.1. Facteur d''émissions'!C8)/('A.1. Conso_bâtiment_EF H2'!W117*'D.1. Facteur d''émissions'!C7)</f>
        <v>-0.27788019885445969</v>
      </c>
      <c r="W73" s="107">
        <f>-(('A.1. Conso_bâtiment_EF H2'!W117*'D.1. Facteur d''émissions'!C7)-(('A.1. Conso_bâtiment_EF H2'!V107*'D.1. Facteur d''émissions'!C15)+('A.1. Conso_bâtiment_EF H2'!U107*'D.1. Facteur d''émissions'!C8)))/('A.1. Conso_bâtiment_EF H2'!W117*'D.1. Facteur d''émissions'!C7)</f>
        <v>-0.825880230368637</v>
      </c>
      <c r="X73" s="656"/>
      <c r="Y73" s="107">
        <f>-('A.1. Conso_bâtiment_EF H2'!W117*'D.1. Facteur d''émissions'!C7-'A.1. Conso_bâtiment_EF H2'!T109*'D.1. Facteur d''émissions'!C8)/('A.1. Conso_bâtiment_EF H2'!W117*'D.1. Facteur d''émissions'!C7)</f>
        <v>-0.47888747075090415</v>
      </c>
      <c r="Z73" s="107">
        <f>-(('A.1. Conso_bâtiment_EF H2'!W117*'D.1. Facteur d''émissions'!C7)-(('A.1. Conso_bâtiment_EF H2'!V110*'D.1. Facteur d''émissions'!C15)+('A.1. Conso_bâtiment_EF H2'!U110*'D.1. Facteur d''émissions'!C8)))/('A.1. Conso_bâtiment_EF H2'!W117*'D.1. Facteur d''émissions'!C7)</f>
        <v>-0.84507236442994793</v>
      </c>
      <c r="AA73" s="699"/>
      <c r="AB73" s="699"/>
    </row>
    <row r="74" spans="2:28" ht="14.45" customHeight="1" x14ac:dyDescent="0.25">
      <c r="P74" s="117"/>
    </row>
    <row r="75" spans="2:28" ht="14.45" customHeight="1" x14ac:dyDescent="0.25">
      <c r="P75" s="117"/>
    </row>
    <row r="76" spans="2:28" ht="29.45" customHeight="1" x14ac:dyDescent="0.4">
      <c r="D76" s="653" t="s">
        <v>165</v>
      </c>
      <c r="P76" s="117"/>
      <c r="S76" s="653" t="s">
        <v>165</v>
      </c>
    </row>
    <row r="77" spans="2:28" ht="14.45" customHeight="1" x14ac:dyDescent="0.25">
      <c r="D77" s="118"/>
      <c r="P77" s="117"/>
      <c r="S77" s="118"/>
    </row>
    <row r="78" spans="2:28" ht="14.45" customHeight="1" x14ac:dyDescent="0.3">
      <c r="E78" s="1154" t="s">
        <v>280</v>
      </c>
      <c r="F78" s="1154"/>
      <c r="G78" s="1154"/>
      <c r="H78" s="1154"/>
      <c r="I78" s="1154"/>
      <c r="J78" s="1154"/>
      <c r="K78" s="1154"/>
      <c r="L78" s="1154"/>
      <c r="M78" s="1154"/>
      <c r="P78" s="117"/>
      <c r="T78" s="1154" t="s">
        <v>280</v>
      </c>
      <c r="U78" s="1154"/>
      <c r="V78" s="1154"/>
      <c r="W78" s="1154"/>
      <c r="X78" s="1154"/>
      <c r="Y78" s="1154"/>
      <c r="Z78" s="1154"/>
      <c r="AA78" s="1154"/>
      <c r="AB78" s="1154"/>
    </row>
    <row r="79" spans="2:28" ht="14.45" customHeight="1" x14ac:dyDescent="0.25">
      <c r="P79" s="117"/>
    </row>
    <row r="80" spans="2:28" ht="68.099999999999994" customHeight="1" x14ac:dyDescent="0.25">
      <c r="B80" s="105"/>
      <c r="C80" s="105"/>
      <c r="D80" s="105"/>
      <c r="E80" s="111" t="s">
        <v>182</v>
      </c>
      <c r="F80" s="111" t="s">
        <v>185</v>
      </c>
      <c r="G80" s="111" t="s">
        <v>186</v>
      </c>
      <c r="H80" s="111" t="s">
        <v>187</v>
      </c>
      <c r="I80" s="111" t="s">
        <v>282</v>
      </c>
      <c r="J80" s="111" t="s">
        <v>189</v>
      </c>
      <c r="K80" s="111" t="s">
        <v>190</v>
      </c>
      <c r="L80" s="832" t="s">
        <v>283</v>
      </c>
      <c r="M80" s="111" t="s">
        <v>191</v>
      </c>
      <c r="P80" s="117"/>
      <c r="Q80" s="105"/>
      <c r="R80" s="105"/>
      <c r="S80" s="105"/>
      <c r="T80" s="111" t="s">
        <v>182</v>
      </c>
      <c r="U80" s="111" t="s">
        <v>185</v>
      </c>
      <c r="V80" s="111" t="s">
        <v>186</v>
      </c>
      <c r="W80" s="111" t="s">
        <v>187</v>
      </c>
      <c r="X80" s="111" t="s">
        <v>282</v>
      </c>
      <c r="Y80" s="111" t="s">
        <v>189</v>
      </c>
      <c r="Z80" s="111" t="s">
        <v>190</v>
      </c>
      <c r="AA80" s="673" t="s">
        <v>283</v>
      </c>
      <c r="AB80" s="111" t="s">
        <v>191</v>
      </c>
    </row>
    <row r="81" spans="2:28" ht="32.450000000000003" customHeight="1" x14ac:dyDescent="0.35">
      <c r="B81" s="1157" t="s">
        <v>284</v>
      </c>
      <c r="D81" s="258" t="s">
        <v>182</v>
      </c>
      <c r="E81" s="658" t="s">
        <v>285</v>
      </c>
      <c r="F81" s="107">
        <f>('A.1. Conso_bâtiment_EF H2'!Y104)/('A.1. Conso_bâtiment_EF H2'!Y103)-1</f>
        <v>-5.0969529085872489E-2</v>
      </c>
      <c r="G81" s="107">
        <f>('A.1. Conso_bâtiment_EF H2'!Y106)/('A.1. Conso_bâtiment_EF H2'!Y103)-1</f>
        <v>-0.24376731301939059</v>
      </c>
      <c r="H81" s="107">
        <f>(('A.1. Conso_bâtiment_EF H2'!Z107+'A.1. Conso_bâtiment_EF H2'!AA107*'D.1. Facteur d''émissions'!C47)/('A.1. Conso_bâtiment_EF H2'!Y103))-1</f>
        <v>-0.31678670360110794</v>
      </c>
      <c r="I81" s="107">
        <f>('A.1. Conso_bâtiment_EF H2'!Z108*'D.1. Facteur d''émissions'!C37+'A.1. Conso_bâtiment_EF H2'!AA108*2.3)/('A.1. Conso_bâtiment_EF H2'!Y103*'D.1. Facteur d''émissions'!C37)-1</f>
        <v>-0.40152142638086519</v>
      </c>
      <c r="J81" s="107">
        <f>(('A.1. Conso_bâtiment_EF H2'!Y109)/('A.1. Conso_bâtiment_EF H2'!Y103))-1</f>
        <v>-0.45041551246537403</v>
      </c>
      <c r="K81" s="107">
        <f>('A.1. Conso_bâtiment_EF H2'!Z110+'A.1. Conso_bâtiment_EF H2'!AA110*'D.1. Facteur d''émissions'!C47)/('A.1. Conso_bâtiment_EF H2'!Y103)-1</f>
        <v>-0.5053739612188366</v>
      </c>
      <c r="L81" s="652"/>
      <c r="M81" s="107">
        <f>('A.1. Conso_bâtiment_EF H2'!Y111)/('A.1. Conso_bâtiment_EF H2'!Y103)-1</f>
        <v>-0.2880886426592798</v>
      </c>
      <c r="P81" s="117"/>
      <c r="Q81" s="1157" t="s">
        <v>284</v>
      </c>
      <c r="S81" s="258" t="s">
        <v>182</v>
      </c>
      <c r="T81" s="658" t="s">
        <v>285</v>
      </c>
      <c r="U81" s="107">
        <f>F81</f>
        <v>-5.0969529085872489E-2</v>
      </c>
      <c r="V81" s="107">
        <f>G81</f>
        <v>-0.24376731301939059</v>
      </c>
      <c r="W81" s="107">
        <f>-(('A.1. Conso_bâtiment_EF H2'!Z103*'D.1. Facteur d''émissions'!C8)-(('A.1. Conso_bâtiment_EF H2'!AA107*'D.1. Facteur d''émissions'!C15)+('A.1. Conso_bâtiment_EF H2'!Z107*'D.1. Facteur d''émissions'!C8)))/('A.1. Conso_bâtiment_EF H2'!Z103*'D.1. Facteur d''émissions'!C8)</f>
        <v>-0.81145585832010114</v>
      </c>
      <c r="X81" s="107">
        <f>-(('A.1. Conso_bâtiment_EF H2'!Z103*'D.1. Facteur d''émissions'!C8)-(('A.1. Conso_bâtiment_EF H2'!AA108*'D.1. Facteur d''émissions'!C15)+('A.1. Conso_bâtiment_EF H2'!Z108*'D.1. Facteur d''émissions'!C8)))/('A.1. Conso_bâtiment_EF H2'!Z103*'D.1. Facteur d''émissions'!C8)</f>
        <v>-0.66476662919134433</v>
      </c>
      <c r="Y81" s="107">
        <f>J81</f>
        <v>-0.45041551246537403</v>
      </c>
      <c r="Z81" s="107">
        <f>-(('A.1. Conso_bâtiment_EF H2'!Y103*'D.1. Facteur d''émissions'!C8)-(('A.1. Conso_bâtiment_EF H2'!Z110*'D.1. Facteur d''émissions'!C15)+('A.1. Conso_bâtiment_EF H2'!AA110*'D.1. Facteur d''émissions'!C8)))/('A.1. Conso_bâtiment_EF H2'!Y103*'D.1. Facteur d''émissions'!C8)</f>
        <v>-0.80995607274075965</v>
      </c>
      <c r="AA81" s="107"/>
      <c r="AB81" s="107">
        <f>M81</f>
        <v>-0.2880886426592798</v>
      </c>
    </row>
    <row r="82" spans="2:28" ht="32.450000000000003" customHeight="1" x14ac:dyDescent="0.35">
      <c r="B82" s="1157"/>
      <c r="D82" s="258" t="s">
        <v>185</v>
      </c>
      <c r="E82" s="659" t="s">
        <v>286</v>
      </c>
      <c r="F82" s="658" t="s">
        <v>285</v>
      </c>
      <c r="G82" s="107">
        <f>('A.1. Conso_bâtiment_EF H2'!Y106)/('A.1. Conso_bâtiment_EF H2'!Y104)-1</f>
        <v>-0.20315236427320493</v>
      </c>
      <c r="H82" s="107">
        <f>(('A.1. Conso_bâtiment_EF H2'!Z107+'A.1. Conso_bâtiment_EF H2'!AA107*'D.1. Facteur d''émissions'!C47)/('A.1. Conso_bâtiment_EF H2'!Y104))-1</f>
        <v>-0.28009340338587274</v>
      </c>
      <c r="I82" s="107">
        <f>('A.1. Conso_bâtiment_EF H2'!Z108*'D.1. Facteur d''émissions'!C37+'A.1. Conso_bâtiment_EF H2'!AA108*2.3)/('A.1. Conso_bâtiment_EF H2'!Y104*'D.1. Facteur d''émissions'!C37)-1</f>
        <v>-0.36937896942058479</v>
      </c>
      <c r="J82" s="107">
        <f>(('A.1. Conso_bâtiment_EF H2'!Y109)/('A.1. Conso_bâtiment_EF H2'!Y104))-1</f>
        <v>-0.42089900758902521</v>
      </c>
      <c r="K82" s="107">
        <f>('A.1. Conso_bâtiment_EF H2'!Z110+'A.1. Conso_bâtiment_EF H2'!AA110*'D.1. Facteur d''émissions'!C47)/('A.1. Conso_bâtiment_EF H2'!Y104)-1</f>
        <v>-0.47880910683012257</v>
      </c>
      <c r="L82" s="652"/>
      <c r="M82" s="107">
        <f>('A.1. Conso_bâtiment_EF H2'!Y111)/('A.1. Conso_bâtiment_EF H2'!Y104)-1</f>
        <v>-0.24985405720957388</v>
      </c>
      <c r="P82" s="117"/>
      <c r="Q82" s="1157"/>
      <c r="S82" s="258" t="s">
        <v>185</v>
      </c>
      <c r="T82" s="659" t="s">
        <v>286</v>
      </c>
      <c r="U82" s="658" t="s">
        <v>285</v>
      </c>
      <c r="V82" s="107">
        <f>G82</f>
        <v>-0.20315236427320493</v>
      </c>
      <c r="W82" s="107">
        <f>-(('A.1. Conso_bâtiment_EF H2'!Z104*'D.1. Facteur d''émissions'!C8)-(('A.1. Conso_bâtiment_EF H2'!AA107*'D.1. Facteur d''émissions'!C15)+('A.1. Conso_bâtiment_EF H2'!Z107*'D.1. Facteur d''émissions'!C8)))/('A.1. Conso_bâtiment_EF H2'!Z104*'D.1. Facteur d''émissions'!C8)</f>
        <v>-0.80132972811896241</v>
      </c>
      <c r="X82" s="107">
        <f>-(('A.1. Conso_bâtiment_EF H2'!Z104*'D.1. Facteur d''émissions'!C8)-(('A.1. Conso_bâtiment_EF H2'!AA108*'D.1. Facteur d''émissions'!C15)+('A.1. Conso_bâtiment_EF H2'!Z108*'D.1. Facteur d''émissions'!C8)))/('A.1. Conso_bâtiment_EF H2'!Z104*'D.1. Facteur d''émissions'!C8)</f>
        <v>-0.64676226835398509</v>
      </c>
      <c r="Y82" s="107">
        <f>J82</f>
        <v>-0.42089900758902521</v>
      </c>
      <c r="Z82" s="107">
        <f>-(('A.1. Conso_bâtiment_EF H2'!Y104*'D.1. Facteur d''émissions'!C8)-(('A.1. Conso_bâtiment_EF H2'!Z110*'D.1. Facteur d''émissions'!C15)+('A.1. Conso_bâtiment_EF H2'!AA110*'D.1. Facteur d''émissions'!C8)))/('A.1. Conso_bâtiment_EF H2'!Y104*'D.1. Facteur d''émissions'!C8)</f>
        <v>-0.7997493936351846</v>
      </c>
      <c r="AA82" s="107"/>
      <c r="AB82" s="107">
        <f>M82</f>
        <v>-0.24985405720957388</v>
      </c>
    </row>
    <row r="83" spans="2:28" ht="32.450000000000003" customHeight="1" x14ac:dyDescent="0.35">
      <c r="B83" s="1157"/>
      <c r="D83" s="258" t="s">
        <v>186</v>
      </c>
      <c r="E83" s="659" t="s">
        <v>286</v>
      </c>
      <c r="F83" s="659" t="s">
        <v>286</v>
      </c>
      <c r="G83" s="658" t="s">
        <v>285</v>
      </c>
      <c r="H83" s="107">
        <f>(('A.1. Conso_bâtiment_EF H2'!Z107+'A.1. Conso_bâtiment_EF H2'!AA107*'D.1. Facteur d''émissions'!C47)/('A.1. Conso_bâtiment_EF H2'!Y106))-1</f>
        <v>-9.6556776556776525E-2</v>
      </c>
      <c r="I83" s="107">
        <f>('A.1. Conso_bâtiment_EF H2'!Z108*'D.1. Facteur d''émissions'!C37+'A.1. Conso_bâtiment_EF H2'!AA108*2.3)/('A.1. Conso_bâtiment_EF H2'!Y106*'D.1. Facteur d''émissions'!C37)-1</f>
        <v>-0.20860525613000858</v>
      </c>
      <c r="J83" s="107">
        <f>('A.1. Conso_bâtiment_EF H2'!Y109)/('A.1. Conso_bâtiment_EF H2'!Y106)-1</f>
        <v>-0.27326007326007329</v>
      </c>
      <c r="K83" s="107">
        <f>('A.1. Conso_bâtiment_EF H2'!Z110+'A.1. Conso_bâtiment_EF H2'!AA110*'D.1. Facteur d''émissions'!C47)/('A.1. Conso_bâtiment_EF H2'!Y106)-1</f>
        <v>-0.34593406593406595</v>
      </c>
      <c r="L83" s="652"/>
      <c r="M83" s="107">
        <f>('A.1. Conso_bâtiment_EF H2'!Y111)/('A.1. Conso_bâtiment_EF H2'!Y106)-1</f>
        <v>-5.8608058608058622E-2</v>
      </c>
      <c r="P83" s="117"/>
      <c r="Q83" s="1157"/>
      <c r="S83" s="258" t="s">
        <v>186</v>
      </c>
      <c r="T83" s="659" t="s">
        <v>286</v>
      </c>
      <c r="U83" s="659" t="s">
        <v>286</v>
      </c>
      <c r="V83" s="658" t="s">
        <v>285</v>
      </c>
      <c r="W83" s="107" t="e">
        <f>-(('A.1. Conso_bâtiment_EF H2'!Z106*'D.1. Facteur d''émissions'!C8)-(('A.1. Conso_bâtiment_EF H2'!AA107*'D.1. Facteur d''émissions'!#REF!)+('A.1. Conso_bâtiment_EF H2'!Z107*'D.1. Facteur d''émissions'!C8)))/('A.1. Conso_bâtiment_EF H2'!Z106*'D.1. Facteur d''émissions'!C8)</f>
        <v>#REF!</v>
      </c>
      <c r="X83" s="107">
        <f>-(('A.1. Conso_bâtiment_EF H2'!Z106*'D.1. Facteur d''émissions'!C8)-(('A.1. Conso_bâtiment_EF H2'!AA108*'D.1. Facteur d''émissions'!C15)+('A.1. Conso_bâtiment_EF H2'!Z108*'D.1. Facteur d''émissions'!C8)))/('A.1. Conso_bâtiment_EF H2'!Z106*'D.1. Facteur d''émissions'!C8)</f>
        <v>-0.5567060554508253</v>
      </c>
      <c r="Y83" s="107">
        <f>J83</f>
        <v>-0.27326007326007329</v>
      </c>
      <c r="Z83" s="107">
        <f>-(('A.1. Conso_bâtiment_EF H2'!Y106*'D.1. Facteur d''émissions'!C8)-(('A.1. Conso_bâtiment_EF H2'!Z110*'D.1. Facteur d''émissions'!C15)+('A.1. Conso_bâtiment_EF H2'!AA110*'D.1. Facteur d''émissions'!C8)))/('A.1. Conso_bâtiment_EF H2'!Y106*'D.1. Facteur d''émissions'!C8)</f>
        <v>-0.74869649179272613</v>
      </c>
      <c r="AA83" s="107"/>
      <c r="AB83" s="107">
        <f>M83</f>
        <v>-5.8608058608058622E-2</v>
      </c>
    </row>
    <row r="84" spans="2:28" ht="32.450000000000003" customHeight="1" x14ac:dyDescent="0.35">
      <c r="B84" s="1157"/>
      <c r="D84" s="258" t="s">
        <v>187</v>
      </c>
      <c r="E84" s="659" t="s">
        <v>286</v>
      </c>
      <c r="F84" s="659" t="s">
        <v>286</v>
      </c>
      <c r="G84" s="659" t="s">
        <v>286</v>
      </c>
      <c r="H84" s="658" t="s">
        <v>285</v>
      </c>
      <c r="I84" s="107">
        <f>('A.1. Conso_bâtiment_EF H2'!Z108*'D.1. Facteur d''émissions'!C37+'A.1. Conso_bâtiment_EF H2'!AA108*2.3)/('A.1. Conso_bâtiment_EF H2'!Z107*'D.1. Facteur d''émissions'!C37+'A.1. Conso_bâtiment_EF H2'!AA107*2.3)-1</f>
        <v>-4.6949657940815737E-2</v>
      </c>
      <c r="J84" s="659" t="s">
        <v>286</v>
      </c>
      <c r="K84" s="107">
        <f>('A.1. Conso_bâtiment_EF H2'!Z110+'A.1. Conso_bâtiment_EF H2'!AA110*'D.1. Facteur d''émissions'!C47)/('A.1. Conso_bâtiment_EF H2'!Z107+'A.1. Conso_bâtiment_EF H2'!AA107*'D.1. Facteur d''émissions'!C47)-1</f>
        <v>-0.27602984106389883</v>
      </c>
      <c r="L84" s="671"/>
      <c r="M84" s="659" t="s">
        <v>286</v>
      </c>
      <c r="P84" s="117"/>
      <c r="Q84" s="1157"/>
      <c r="S84" s="258" t="s">
        <v>187</v>
      </c>
      <c r="T84" s="659" t="s">
        <v>286</v>
      </c>
      <c r="U84" s="659" t="s">
        <v>286</v>
      </c>
      <c r="V84" s="659" t="s">
        <v>286</v>
      </c>
      <c r="W84" s="658" t="s">
        <v>285</v>
      </c>
      <c r="X84" s="553">
        <f>-((('A.1. Conso_bâtiment_EF H2'!AA107*'D.1. Facteur d''émissions'!C15)+('A.1. Conso_bâtiment_EF H2'!Z107*'D.1. Facteur d''émissions'!C8))-(('A.1. Conso_bâtiment_EF H2'!AA108*'D.1. Facteur d''émissions'!C15)+('A.1. Conso_bâtiment_EF H2'!Z108*'D.1. Facteur d''émissions'!C8)))/(('A.1. Conso_bâtiment_EF H2'!AA107*'D.1. Facteur d''émissions'!C15)+('A.1. Conso_bâtiment_EF H2'!Z107*'D.1. Facteur d''émissions'!C8))</f>
        <v>0.77801000774555262</v>
      </c>
      <c r="Y84" s="659" t="s">
        <v>286</v>
      </c>
      <c r="Z84" s="107">
        <f>-((('A.1. Conso_bâtiment_EF H2'!Z107*'D.1. Facteur d''émissions'!C15)+('A.1. Conso_bâtiment_EF H2'!AA107*'D.1. Facteur d''émissions'!C8))-(('A.1. Conso_bâtiment_EF H2'!Z110*'D.1. Facteur d''émissions'!C15)+('A.1. Conso_bâtiment_EF H2'!AA110*'D.1. Facteur d''émissions'!C8)))/(('A.1. Conso_bâtiment_EF H2'!Z107*'D.1. Facteur d''émissions'!C15)+('A.1. Conso_bâtiment_EF H2'!AA107*'D.1. Facteur d''émissions'!C8))</f>
        <v>-0.3014076826067692</v>
      </c>
      <c r="AA84" s="671"/>
      <c r="AB84" s="659" t="s">
        <v>286</v>
      </c>
    </row>
    <row r="85" spans="2:28" ht="32.450000000000003" customHeight="1" x14ac:dyDescent="0.35">
      <c r="B85" s="1157"/>
      <c r="D85" s="258" t="s">
        <v>289</v>
      </c>
      <c r="E85" s="659" t="s">
        <v>286</v>
      </c>
      <c r="F85" s="659" t="s">
        <v>286</v>
      </c>
      <c r="G85" s="659" t="s">
        <v>286</v>
      </c>
      <c r="H85" s="553">
        <f>(('A.1. Conso_bâtiment_EF H2'!Z107+'A.1. Conso_bâtiment_EF H2'!AA107*'D.1. Facteur d''émissions'!C47)/('A.1. Conso_bâtiment_EF H2'!Z108+'A.1. Conso_bâtiment_EF H2'!AA108*'D.1. Facteur d''émissions'!C47))-1</f>
        <v>8.1754385964912357E-2</v>
      </c>
      <c r="I85" s="658" t="s">
        <v>285</v>
      </c>
      <c r="J85" s="107">
        <f>('A.1. Conso_bâtiment_EF H2'!Y109)/('A.1. Conso_bâtiment_EF H2'!Z108+'A.1. Conso_bâtiment_EF H2'!AA108*'D.1. Facteur d''émissions'!C47)-1</f>
        <v>-0.12982456140350884</v>
      </c>
      <c r="K85" s="107">
        <f>('A.1. Conso_bâtiment_EF H2'!Z110+'A.1. Conso_bâtiment_EF H2'!AA110*'D.1. Facteur d''émissions'!C47)/('A.1. Conso_bâtiment_EF H2'!Z108+'A.1. Conso_bâtiment_EF H2'!AA108*'D.1. Facteur d''émissions'!C47)-1</f>
        <v>-0.21684210526315784</v>
      </c>
      <c r="L85" s="671"/>
      <c r="M85" s="659"/>
      <c r="P85" s="117"/>
      <c r="Q85" s="1157"/>
      <c r="S85" s="258" t="s">
        <v>289</v>
      </c>
      <c r="T85" s="659" t="s">
        <v>286</v>
      </c>
      <c r="U85" s="659" t="s">
        <v>286</v>
      </c>
      <c r="V85" s="659" t="s">
        <v>286</v>
      </c>
      <c r="W85" s="658"/>
      <c r="X85" s="658" t="s">
        <v>285</v>
      </c>
      <c r="Y85" s="659"/>
      <c r="Z85" s="107">
        <f>-((('A.1. Conso_bâtiment_EF H2'!Z108*'D.1. Facteur d''émissions'!C15)+('A.1. Conso_bâtiment_EF H2'!AA108*'D.1. Facteur d''émissions'!C8))-(('A.1. Conso_bâtiment_EF H2'!Z110*'D.1. Facteur d''émissions'!C15)+('A.1. Conso_bâtiment_EF H2'!AA110*'D.1. Facteur d''émissions'!C8)))/(('A.1. Conso_bâtiment_EF H2'!Z108*'D.1. Facteur d''émissions'!C15)+('A.1. Conso_bâtiment_EF H2'!AA108*'D.1. Facteur d''émissions'!C8))</f>
        <v>-0.12387791741472175</v>
      </c>
      <c r="AA85" s="671"/>
      <c r="AB85" s="659" t="s">
        <v>286</v>
      </c>
    </row>
    <row r="86" spans="2:28" ht="32.450000000000003" customHeight="1" x14ac:dyDescent="0.35">
      <c r="B86" s="1157"/>
      <c r="D86" s="258" t="s">
        <v>189</v>
      </c>
      <c r="E86" s="659" t="s">
        <v>286</v>
      </c>
      <c r="F86" s="659" t="s">
        <v>286</v>
      </c>
      <c r="G86" s="659" t="s">
        <v>286</v>
      </c>
      <c r="H86" s="553">
        <f>('A.1. Conso_bâtiment_EF H2'!Z107+'A.1. Conso_bâtiment_EF H2'!AA107*'D.1. Facteur d''émissions'!C47)/('A.1. Conso_bâtiment_EF H2'!Y109)-1</f>
        <v>0.24314516129032282</v>
      </c>
      <c r="I86" s="553">
        <f>('A.1. Conso_bâtiment_EF H2'!Z108*'D.1. Facteur d''émissions'!C37+'A.1. Conso_bâtiment_EF H2'!AA108*2.3)/('A.1. Conso_bâtiment_EF H2'!Y109*'D.1. Facteur d''émissions'!C37)-1</f>
        <v>8.8965549780784636E-2</v>
      </c>
      <c r="J86" s="658" t="s">
        <v>285</v>
      </c>
      <c r="K86" s="107">
        <f>('A.1. Conso_bâtiment_EF H2'!Z110+'A.1. Conso_bâtiment_EF H2'!AA110*'D.1. Facteur d''émissions'!C47)/('A.1. Conso_bâtiment_EF H2'!Y109)-1</f>
        <v>-9.9999999999999867E-2</v>
      </c>
      <c r="L86" s="658"/>
      <c r="M86" s="659" t="s">
        <v>286</v>
      </c>
      <c r="N86" s="1155" t="s">
        <v>290</v>
      </c>
      <c r="O86" s="1156"/>
      <c r="P86" s="117"/>
      <c r="Q86" s="1157"/>
      <c r="S86" s="258" t="s">
        <v>189</v>
      </c>
      <c r="T86" s="659" t="s">
        <v>286</v>
      </c>
      <c r="U86" s="659" t="s">
        <v>286</v>
      </c>
      <c r="V86" s="659" t="s">
        <v>286</v>
      </c>
      <c r="W86" s="107" t="e">
        <f>-(('A.1. Conso_bâtiment_EF H2'!Z109*'D.1. Facteur d''émissions'!C8)-(('A.1. Conso_bâtiment_EF H2'!AA107*'D.1. Facteur d''émissions'!#REF!)+('A.1. Conso_bâtiment_EF H2'!Z107*'D.1. Facteur d''émissions'!C8)))/('A.1. Conso_bâtiment_EF H2'!Z109*'D.1. Facteur d''émissions'!C8)</f>
        <v>#REF!</v>
      </c>
      <c r="X86" s="107">
        <f>-(('A.1. Conso_bâtiment_EF H2'!Z109*'D.1. Facteur d''émissions'!C8)-(('A.1. Conso_bâtiment_EF H2'!AA108*'D.1. Facteur d''émissions'!C15)+('A.1. Conso_bâtiment_EF H2'!Z108*'D.1. Facteur d''émissions'!C8)))/('A.1. Conso_bâtiment_EF H2'!Z109*'D.1. Facteur d''émissions'!C8)</f>
        <v>-0.39002395734916984</v>
      </c>
      <c r="Y86" s="658" t="s">
        <v>285</v>
      </c>
      <c r="Z86" s="107">
        <f>-(('A.1. Conso_bâtiment_EF H2'!Y109*'D.1. Facteur d''émissions'!C8)-(('A.1. Conso_bâtiment_EF H2'!Z110*'D.1. Facteur d''émissions'!C15)+('A.1. Conso_bâtiment_EF H2'!AA110*'D.1. Facteur d''émissions'!C8)))/('A.1. Conso_bâtiment_EF H2'!Y109*'D.1. Facteur d''émissions'!C8)</f>
        <v>-0.65420434606559585</v>
      </c>
      <c r="AA86" s="658"/>
      <c r="AB86" s="659" t="s">
        <v>286</v>
      </c>
    </row>
    <row r="87" spans="2:28" ht="32.450000000000003" customHeight="1" x14ac:dyDescent="0.35">
      <c r="B87" s="1157"/>
      <c r="D87" s="258" t="s">
        <v>190</v>
      </c>
      <c r="E87" s="659" t="s">
        <v>286</v>
      </c>
      <c r="F87" s="659" t="s">
        <v>286</v>
      </c>
      <c r="G87" s="659" t="s">
        <v>286</v>
      </c>
      <c r="H87" s="553">
        <f>(('A.1. Conso_bâtiment_EF H2'!Z107+'A.1. Conso_bâtiment_EF H2'!AA107*'D.1. Facteur d''émissions'!C47)/('A.1. Conso_bâtiment_EF H2'!Z110+'A.1. Conso_bâtiment_EF H2'!AA110*'D.1. Facteur d''émissions'!C47))-1</f>
        <v>0.3812724014336919</v>
      </c>
      <c r="I87" s="553">
        <f>('A.1. Conso_bâtiment_EF H2'!Z108*'D.1. Facteur d''émissions'!C37+'A.1. Conso_bâtiment_EF H2'!AA108*2.3)/('A.1. Conso_bâtiment_EF H2'!Y110*'D.1. Facteur d''émissions'!C37)-1</f>
        <v>1.0734238491027606</v>
      </c>
      <c r="J87" s="553">
        <f>('A.1. Conso_bâtiment_EF H2'!Y109)/('A.1. Conso_bâtiment_EF H2'!Z110+'A.1. Conso_bâtiment_EF H2'!AA110*'D.1. Facteur d''émissions'!C47)-1</f>
        <v>0.11111111111111094</v>
      </c>
      <c r="K87" s="658" t="s">
        <v>285</v>
      </c>
      <c r="L87" s="658"/>
      <c r="M87" s="659"/>
      <c r="N87" s="1155"/>
      <c r="O87" s="1156"/>
      <c r="P87" s="117"/>
      <c r="Q87" s="1157"/>
      <c r="S87" s="258" t="s">
        <v>190</v>
      </c>
      <c r="T87" s="659" t="s">
        <v>286</v>
      </c>
      <c r="U87" s="659" t="s">
        <v>286</v>
      </c>
      <c r="V87" s="659" t="s">
        <v>286</v>
      </c>
      <c r="W87" s="659" t="s">
        <v>286</v>
      </c>
      <c r="X87" s="553" t="e">
        <f>-((('A.1. Conso_bâtiment_EF H2'!AA110*'D.1. Facteur d''émissions'!#REF!)+('A.1. Conso_bâtiment_EF H2'!Z110*'D.1. Facteur d''émissions'!C8))-(('A.1. Conso_bâtiment_EF H2'!AA108*'D.1. Facteur d''émissions'!C15)+('A.1. Conso_bâtiment_EF H2'!Z108*'D.1. Facteur d''émissions'!C8)))/(('A.1. Conso_bâtiment_EF H2'!AA110*'D.1. Facteur d''émissions'!#REF!)+('A.1. Conso_bâtiment_EF H2'!Z110*'D.1. Facteur d''émissions'!C8))</f>
        <v>#REF!</v>
      </c>
      <c r="Y87" s="658"/>
      <c r="Z87" s="658" t="s">
        <v>285</v>
      </c>
      <c r="AA87" s="658"/>
      <c r="AB87" s="659" t="s">
        <v>286</v>
      </c>
    </row>
    <row r="88" spans="2:28" ht="32.450000000000003" customHeight="1" x14ac:dyDescent="0.35">
      <c r="B88" s="1157"/>
      <c r="D88" s="672" t="s">
        <v>283</v>
      </c>
      <c r="E88" s="659" t="s">
        <v>286</v>
      </c>
      <c r="F88" s="659" t="s">
        <v>286</v>
      </c>
      <c r="G88" s="659" t="s">
        <v>286</v>
      </c>
      <c r="H88" s="652"/>
      <c r="I88" s="652"/>
      <c r="J88" s="658"/>
      <c r="K88" s="658"/>
      <c r="L88" s="658" t="s">
        <v>285</v>
      </c>
      <c r="M88" s="659"/>
      <c r="N88" s="1155"/>
      <c r="O88" s="1156"/>
      <c r="P88" s="117"/>
      <c r="Q88" s="1157"/>
      <c r="S88" s="672" t="s">
        <v>283</v>
      </c>
      <c r="T88" s="659" t="s">
        <v>286</v>
      </c>
      <c r="U88" s="659" t="s">
        <v>286</v>
      </c>
      <c r="V88" s="659" t="s">
        <v>286</v>
      </c>
      <c r="W88" s="652"/>
      <c r="X88" s="652"/>
      <c r="Y88" s="658"/>
      <c r="Z88" s="658"/>
      <c r="AA88" s="658" t="s">
        <v>285</v>
      </c>
      <c r="AB88" s="659" t="s">
        <v>286</v>
      </c>
    </row>
    <row r="89" spans="2:28" ht="32.450000000000003" customHeight="1" x14ac:dyDescent="0.35">
      <c r="B89" s="1157"/>
      <c r="D89" s="258" t="s">
        <v>191</v>
      </c>
      <c r="E89" s="659" t="s">
        <v>286</v>
      </c>
      <c r="F89" s="659" t="s">
        <v>286</v>
      </c>
      <c r="G89" s="659" t="s">
        <v>286</v>
      </c>
      <c r="H89" s="107">
        <f>('A.1. Conso_bâtiment_EF H2'!Z107+'A.1. Conso_bâtiment_EF H2'!AA107*'D.1. Facteur d''émissions'!C47)/('A.1. Conso_bâtiment_EF H2'!Y111)-1</f>
        <v>-4.0311284046692597E-2</v>
      </c>
      <c r="I89" s="107">
        <f>('A.1. Conso_bâtiment_EF H2'!Z108+'A.1. Conso_bâtiment_EF H2'!AA108*'D.1. Facteur d''émissions'!C47)/('A.1. Conso_bâtiment_EF H2'!Y111)-1</f>
        <v>-0.11284046692607008</v>
      </c>
      <c r="J89" s="107">
        <f>('A.1. Conso_bâtiment_EF H2'!Y109)/('A.1. Conso_bâtiment_EF H2'!Y111)-1</f>
        <v>-0.22801556420233471</v>
      </c>
      <c r="K89" s="107">
        <f>('A.1. Conso_bâtiment_EF H2'!Z110+'A.1. Conso_bâtiment_EF H2'!AA110*'D.1. Facteur d''émissions'!C47)/('A.1. Conso_bâtiment_EF H2'!Y111)-1</f>
        <v>-0.30521400778210117</v>
      </c>
      <c r="L89" s="658"/>
      <c r="M89" s="658" t="s">
        <v>285</v>
      </c>
      <c r="N89" s="1155"/>
      <c r="O89" s="1156"/>
      <c r="P89" s="117"/>
      <c r="Q89" s="1157"/>
      <c r="S89" s="258" t="s">
        <v>191</v>
      </c>
      <c r="T89" s="659" t="s">
        <v>286</v>
      </c>
      <c r="U89" s="659" t="s">
        <v>286</v>
      </c>
      <c r="V89" s="659" t="s">
        <v>286</v>
      </c>
      <c r="W89" s="107" t="e">
        <f>-(('A.1. Conso_bâtiment_EF H2'!Z111*'D.1. Facteur d''émissions'!C8)-(('A.1. Conso_bâtiment_EF H2'!AA107*'D.1. Facteur d''émissions'!#REF!)+('A.1. Conso_bâtiment_EF H2'!Z107*'D.1. Facteur d''émissions'!C8)))/('A.1. Conso_bâtiment_EF H2'!Z111*'D.1. Facteur d''émissions'!C8)</f>
        <v>#REF!</v>
      </c>
      <c r="X89" s="107">
        <f>-(('A.1. Conso_bâtiment_EF H2'!Z111*'D.1. Facteur d''émissions'!C8)-(('A.1. Conso_bâtiment_EF H2'!AA108*'D.1. Facteur d''émissions'!C15)+('A.1. Conso_bâtiment_EF H2'!Z108*'D.1. Facteur d''émissions'!C8)))/('A.1. Conso_bâtiment_EF H2'!Z111*'D.1. Facteur d''émissions'!C8)</f>
        <v>-0.52910798886410626</v>
      </c>
      <c r="Y89" s="107">
        <f>J89</f>
        <v>-0.22801556420233471</v>
      </c>
      <c r="Z89" s="107">
        <f>-(('A.1. Conso_bâtiment_EF H2'!Z111*'D.1. Facteur d''émissions'!C8)-(('A.1. Conso_bâtiment_EF H2'!Z110*'D.1. Facteur d''émissions'!C15)+('A.1. Conso_bâtiment_EF H2'!AA110*'D.1. Facteur d''émissions'!C8)))/('A.1. Conso_bâtiment_EF H2'!Z111*'D.1. Facteur d''émissions'!C8)</f>
        <v>-0.73305113719616433</v>
      </c>
      <c r="AA89" s="107"/>
      <c r="AB89" s="658" t="s">
        <v>285</v>
      </c>
    </row>
    <row r="90" spans="2:28" ht="36" customHeight="1" x14ac:dyDescent="0.35">
      <c r="D90" s="253" t="s">
        <v>196</v>
      </c>
      <c r="E90" s="659" t="s">
        <v>286</v>
      </c>
      <c r="F90" s="553">
        <f>('A.1. Conso_bâtiment_EF H2'!Y104)/('A.1. Conso_bâtiment_EF H2'!AB116)-1</f>
        <v>0.12034009156311321</v>
      </c>
      <c r="G90" s="107">
        <f>('A.1. Conso_bâtiment_EF H2'!Y106)/('A.1. Conso_bâtiment_EF H2'!AB116)-1</f>
        <v>-0.10725964682799216</v>
      </c>
      <c r="H90" s="107">
        <f>('A.1. Conso_bâtiment_EF H2'!Z107+'A.1. Conso_bâtiment_EF H2'!AA107*'D.1. Facteur d''émissions'!C47)/('A.1. Conso_bâtiment_EF H2'!AB116)-1</f>
        <v>-0.19345977763243949</v>
      </c>
      <c r="I90" s="107">
        <f>('A.1. Conso_bâtiment_EF H2'!Z108+'A.1. Conso_bâtiment_EF H2'!AA108*'D.1. Facteur d''émissions'!C47)/('A.1. Conso_bâtiment_EF H2'!AB116)-1</f>
        <v>-0.25441465009810338</v>
      </c>
      <c r="J90" s="107">
        <f>(('A.1. Conso_bâtiment_EF H2'!Y109)/('A.1. Conso_bâtiment_EF H2'!AB116))-1</f>
        <v>-0.35120994113799875</v>
      </c>
      <c r="K90" s="107">
        <f>('A.1. Conso_bâtiment_EF H2'!Z110+'A.1. Conso_bâtiment_EF H2'!AA110*'D.1. Facteur d''émissions'!C47)/('A.1. Conso_bâtiment_EF H2'!AB116)-1</f>
        <v>-0.41608894702419885</v>
      </c>
      <c r="L90" s="652"/>
      <c r="M90" s="107">
        <f>('A.1. Conso_bâtiment_EF H2'!Y111)/('A.1. Conso_bâtiment_EF H2'!AB116)-1</f>
        <v>-0.15958142576847612</v>
      </c>
      <c r="P90" s="117"/>
      <c r="Q90" s="1157"/>
      <c r="S90" s="253" t="s">
        <v>196</v>
      </c>
      <c r="T90" s="659" t="s">
        <v>286</v>
      </c>
      <c r="U90" s="659" t="s">
        <v>286</v>
      </c>
      <c r="V90" s="107">
        <f>-('A.1. Conso_bâtiment_EF H2'!AB116*'D.1. Facteur d''émissions'!C7-'A.1. Conso_bâtiment_EF H2'!Z106*'D.1. Facteur d''émissions'!C8)/('A.1. Conso_bâtiment_EF H2'!AB116*'D.1. Facteur d''émissions'!C7)</f>
        <v>-0.34146622096262386</v>
      </c>
      <c r="W90" s="107" t="e">
        <f>-(('A.1. Conso_bâtiment_EF H2'!AB116*'D.1. Facteur d''émissions'!C7)-(('A.1. Conso_bâtiment_EF H2'!AA107*'D.1. Facteur d''émissions'!#REF!)+('A.1. Conso_bâtiment_EF H2'!Z107*'D.1. Facteur d''émissions'!C8)))/('A.1. Conso_bâtiment_EF H2'!AB116*'D.1. Facteur d''émissions'!C7)</f>
        <v>#REF!</v>
      </c>
      <c r="X90" s="107">
        <f>-(('A.1. Conso_bâtiment_EF H2'!AB116*'D.1. Facteur d''émissions'!C7)-(('A.1. Conso_bâtiment_EF H2'!AA108*'D.1. Facteur d''émissions'!C15)+('A.1. Conso_bâtiment_EF H2'!Z108*'D.1. Facteur d''émissions'!C8)))/('A.1. Conso_bâtiment_EF H2'!AB116*'D.1. Facteur d''émissions'!C7)</f>
        <v>-0.70807596347164681</v>
      </c>
      <c r="Y90" s="107">
        <f>-('A.1. Conso_bâtiment_EF H2'!AB116*'D.1. Facteur d''émissions'!C7-'A.1. Conso_bâtiment_EF H2'!Z109*'D.1. Facteur d''émissions'!C8)/('A.1. Conso_bâtiment_EF H2'!AB116*'D.1. Facteur d''émissions'!C7)</f>
        <v>-0.5214172096666102</v>
      </c>
      <c r="Z90" s="107">
        <f>-(('A.1. Conso_bâtiment_EF H2'!AB116*'D.1. Facteur d''émissions'!C7)-(('A.1. Conso_bâtiment_EF H2'!Z110*'D.1. Facteur d''émissions'!C15)+('A.1. Conso_bâtiment_EF H2'!AA110*'D.1. Facteur d''émissions'!C8)))/('A.1. Conso_bâtiment_EF H2'!AB116*'D.1. Facteur d''émissions'!C7)</f>
        <v>-0.83450815105491361</v>
      </c>
      <c r="AA90" s="107"/>
      <c r="AB90" s="107">
        <f>-('A.1. Conso_bâtiment_EF H2'!AB116*'D.1. Facteur d''émissions'!C7-'A.1. Conso_bâtiment_EF H2'!Z111*'D.1. Facteur d''émissions'!C8)/('A.1. Conso_bâtiment_EF H2'!AB116*'D.1. Facteur d''émissions'!C7)</f>
        <v>-0.38006160727983274</v>
      </c>
    </row>
    <row r="91" spans="2:28" ht="36" customHeight="1" x14ac:dyDescent="0.35">
      <c r="D91" s="253" t="s">
        <v>197</v>
      </c>
      <c r="E91" s="659" t="s">
        <v>286</v>
      </c>
      <c r="F91" s="553">
        <f>('A.1. Conso_bâtiment_EF H2'!Y104)/('A.1. Conso_bâtiment_EF H2'!AB117)-1</f>
        <v>0.48827106863596881</v>
      </c>
      <c r="G91" s="553">
        <f>('A.1. Conso_bâtiment_EF H2'!Y106)/('A.1. Conso_bâtiment_EF H2'!AB117)-1</f>
        <v>0.18592528236316253</v>
      </c>
      <c r="H91" s="553">
        <f>('A.1. Conso_bâtiment_EF H2'!Z107+'A.1. Conso_bâtiment_EF H2'!AA107*'D.1. Facteur d''émissions'!C47)/('A.1. Conso_bâtiment_EF H2'!AB117)-1</f>
        <v>7.1416159860990591E-2</v>
      </c>
      <c r="I91" s="107">
        <f>('A.1. Conso_bâtiment_EF H2'!Z108+'A.1. Conso_bâtiment_EF H2'!AA108*'D.1. Facteur d''émissions'!C47)/('A.1. Conso_bâtiment_EF H2'!AB117)-1</f>
        <v>-9.5569070373587861E-3</v>
      </c>
      <c r="J91" s="107">
        <f>(('A.1. Conso_bâtiment_EF H2'!Y109)/('A.1. Conso_bâtiment_EF H2'!AB117))-1</f>
        <v>-0.13814074717636848</v>
      </c>
      <c r="K91" s="107">
        <f>('A.1. Conso_bâtiment_EF H2'!Z110+'A.1. Conso_bâtiment_EF H2'!AA110*'D.1. Facteur d''émissions'!C47)/('A.1. Conso_bâtiment_EF H2'!AB117)-1</f>
        <v>-0.2243266724587315</v>
      </c>
      <c r="L91" s="652"/>
      <c r="M91" s="553">
        <f>('A.1. Conso_bâtiment_EF H2'!Y111)/('A.1. Conso_bâtiment_EF H2'!AB117)-1</f>
        <v>0.11642050390964376</v>
      </c>
      <c r="P91" s="117"/>
      <c r="Q91" s="1157"/>
      <c r="S91" s="253" t="s">
        <v>197</v>
      </c>
      <c r="T91" s="659" t="s">
        <v>286</v>
      </c>
      <c r="U91" s="659" t="s">
        <v>286</v>
      </c>
      <c r="V91" s="107">
        <f>-('A.1. Conso_bâtiment_EF H2'!AB117*'D.1. Facteur d''émissions'!C7-'A.1. Conso_bâtiment_EF H2'!Z106*'D.1. Facteur d''émissions'!C8)/('A.1. Conso_bâtiment_EF H2'!AB117*'D.1. Facteur d''émissions'!C7)</f>
        <v>-0.12519709109630919</v>
      </c>
      <c r="W91" s="107" t="e">
        <f>-(('A.1. Conso_bâtiment_EF H2'!AB117*'D.1. Facteur d''émissions'!C7)-(('A.1. Conso_bâtiment_EF H2'!AA107*'D.1. Facteur d''émissions'!#REF!)+('A.1. Conso_bâtiment_EF H2'!Z107*'D.1. Facteur d''émissions'!C8)))/('A.1. Conso_bâtiment_EF H2'!AB117*'D.1. Facteur d''émissions'!C7)</f>
        <v>#REF!</v>
      </c>
      <c r="X91" s="107">
        <f>-(('A.1. Conso_bâtiment_EF H2'!AB117*'D.1. Facteur d''émissions'!C7)-(('A.1. Conso_bâtiment_EF H2'!AA108*'D.1. Facteur d''émissions'!C15)+('A.1. Conso_bâtiment_EF H2'!Z108*'D.1. Facteur d''émissions'!C8)))/('A.1. Conso_bâtiment_EF H2'!AB117*'D.1. Facteur d''émissions'!C7)</f>
        <v>-0.61220516780899059</v>
      </c>
      <c r="Y91" s="107">
        <f>-('A.1. Conso_bâtiment_EF H2'!AB117*'D.1. Facteur d''émissions'!C7-'A.1. Conso_bâtiment_EF H2'!Z109*'D.1. Facteur d''émissions'!C8)/('A.1. Conso_bâtiment_EF H2'!AB117*'D.1. Facteur d''émissions'!C7)</f>
        <v>-0.36424579807145702</v>
      </c>
      <c r="Z91" s="107">
        <f>-(('A.1. Conso_bâtiment_EF H2'!AB117*'D.1. Facteur d''émissions'!C7)-(('A.1. Conso_bâtiment_EF H2'!Z110*'D.1. Facteur d''émissions'!C15)+('A.1. Conso_bâtiment_EF H2'!AA110*'D.1. Facteur d''émissions'!C8)))/('A.1. Conso_bâtiment_EF H2'!AB117*'D.1. Facteur d''émissions'!C7)</f>
        <v>-0.78015896000257423</v>
      </c>
      <c r="AA91" s="107"/>
      <c r="AB91" s="107">
        <f>-('A.1. Conso_bâtiment_EF H2'!AB117*'D.1. Facteur d''émissions'!C7-'A.1. Conso_bâtiment_EF H2'!Z111*'D.1. Facteur d''émissions'!C8)/('A.1. Conso_bâtiment_EF H2'!AB117*'D.1. Facteur d''émissions'!C7)</f>
        <v>-0.17646759125183692</v>
      </c>
    </row>
    <row r="92" spans="2:28" ht="14.45" customHeight="1" x14ac:dyDescent="0.25">
      <c r="P92" s="117"/>
    </row>
    <row r="93" spans="2:28" ht="14.45" customHeight="1" x14ac:dyDescent="0.25">
      <c r="P93" s="117"/>
      <c r="W93" s="135"/>
      <c r="X93" s="135"/>
    </row>
    <row r="94" spans="2:28" ht="14.45" customHeight="1" x14ac:dyDescent="0.25">
      <c r="P94" s="117"/>
    </row>
    <row r="95" spans="2:28" ht="14.45" customHeight="1" x14ac:dyDescent="0.25">
      <c r="P95" s="117"/>
      <c r="S95" s="135"/>
    </row>
    <row r="96" spans="2:28" ht="24.6" customHeight="1" x14ac:dyDescent="0.4">
      <c r="D96" s="554"/>
      <c r="P96" s="117"/>
    </row>
    <row r="97" spans="2:16" ht="14.45" customHeight="1" x14ac:dyDescent="0.25">
      <c r="P97" s="117"/>
    </row>
    <row r="98" spans="2:16" ht="14.45" customHeight="1" x14ac:dyDescent="0.25">
      <c r="P98" s="117"/>
    </row>
    <row r="99" spans="2:16" ht="14.45" customHeight="1" x14ac:dyDescent="0.25">
      <c r="E99" s="1158"/>
      <c r="F99" s="1158"/>
      <c r="G99" s="1158"/>
      <c r="H99" s="1158"/>
      <c r="I99" s="1158"/>
      <c r="J99" s="1158"/>
      <c r="K99" s="1158"/>
      <c r="L99" s="1158"/>
      <c r="M99" s="1158"/>
      <c r="N99" s="195"/>
      <c r="O99" s="195"/>
      <c r="P99" s="117"/>
    </row>
    <row r="100" spans="2:16" ht="14.45" customHeight="1" x14ac:dyDescent="0.25">
      <c r="P100" s="117"/>
    </row>
    <row r="101" spans="2:16" ht="87.6" customHeight="1" x14ac:dyDescent="0.25">
      <c r="B101" s="105"/>
      <c r="C101" s="105"/>
      <c r="D101" s="105"/>
      <c r="E101" s="196"/>
      <c r="F101" s="196"/>
      <c r="G101" s="196"/>
      <c r="H101" s="311"/>
      <c r="I101" s="311"/>
      <c r="J101" s="196"/>
      <c r="K101" s="196"/>
      <c r="L101" s="196"/>
      <c r="M101" s="196"/>
      <c r="N101" s="196"/>
      <c r="O101" s="196"/>
      <c r="P101" s="117"/>
    </row>
    <row r="102" spans="2:16" ht="40.5" customHeight="1" x14ac:dyDescent="0.3">
      <c r="B102" s="1159"/>
      <c r="D102" s="271"/>
      <c r="E102" s="190"/>
      <c r="F102" s="190"/>
      <c r="G102" s="191"/>
      <c r="H102" s="191"/>
      <c r="I102" s="191"/>
      <c r="J102" s="191"/>
      <c r="K102" s="191"/>
      <c r="L102" s="191"/>
      <c r="M102" s="191"/>
      <c r="N102" s="191"/>
      <c r="O102" s="191"/>
      <c r="P102" s="117"/>
    </row>
    <row r="103" spans="2:16" ht="40.5" customHeight="1" x14ac:dyDescent="0.3">
      <c r="B103" s="1159"/>
      <c r="D103" s="271"/>
      <c r="E103" s="192"/>
      <c r="F103" s="192"/>
      <c r="G103" s="192"/>
      <c r="H103" s="191"/>
      <c r="I103" s="191"/>
      <c r="J103" s="190"/>
      <c r="K103" s="190"/>
      <c r="L103" s="190"/>
      <c r="M103" s="192"/>
      <c r="N103" s="192"/>
      <c r="O103" s="192"/>
      <c r="P103" s="117"/>
    </row>
    <row r="104" spans="2:16" ht="40.5" customHeight="1" x14ac:dyDescent="0.3">
      <c r="B104" s="1159"/>
      <c r="D104" s="271"/>
      <c r="E104" s="192"/>
      <c r="F104" s="192"/>
      <c r="G104" s="192"/>
      <c r="H104" s="191"/>
      <c r="I104" s="191"/>
      <c r="J104" s="191"/>
      <c r="K104" s="191"/>
      <c r="L104" s="191"/>
      <c r="M104" s="190"/>
      <c r="N104" s="192"/>
      <c r="O104" s="190"/>
      <c r="P104" s="117"/>
    </row>
    <row r="105" spans="2:16" x14ac:dyDescent="0.25">
      <c r="P105" s="117"/>
    </row>
    <row r="106" spans="2:16" x14ac:dyDescent="0.25">
      <c r="P106" s="117"/>
    </row>
    <row r="107" spans="2:16" x14ac:dyDescent="0.25">
      <c r="P107" s="117"/>
    </row>
    <row r="108" spans="2:16" x14ac:dyDescent="0.25">
      <c r="P108" s="117"/>
    </row>
    <row r="109" spans="2:16" x14ac:dyDescent="0.25">
      <c r="P109" s="117"/>
    </row>
    <row r="110" spans="2:16" x14ac:dyDescent="0.25">
      <c r="P110" s="117"/>
    </row>
    <row r="111" spans="2:16" x14ac:dyDescent="0.25">
      <c r="P111" s="117"/>
    </row>
    <row r="112" spans="2:16" x14ac:dyDescent="0.25">
      <c r="P112" s="117"/>
    </row>
    <row r="113" spans="16:16" x14ac:dyDescent="0.25">
      <c r="P113" s="117"/>
    </row>
    <row r="114" spans="16:16" x14ac:dyDescent="0.25">
      <c r="P114" s="117"/>
    </row>
    <row r="115" spans="16:16" x14ac:dyDescent="0.25">
      <c r="P115" s="117"/>
    </row>
    <row r="116" spans="16:16" x14ac:dyDescent="0.25">
      <c r="P116" s="117"/>
    </row>
  </sheetData>
  <mergeCells count="20">
    <mergeCell ref="E16:M16"/>
    <mergeCell ref="B19:B29"/>
    <mergeCell ref="E43:M43"/>
    <mergeCell ref="T16:AB16"/>
    <mergeCell ref="B102:B104"/>
    <mergeCell ref="Q81:Q91"/>
    <mergeCell ref="Q63:Q73"/>
    <mergeCell ref="Q46:Q54"/>
    <mergeCell ref="Q19:Q29"/>
    <mergeCell ref="E99:M99"/>
    <mergeCell ref="N68:O71"/>
    <mergeCell ref="B63:B73"/>
    <mergeCell ref="E60:M60"/>
    <mergeCell ref="T78:AB78"/>
    <mergeCell ref="T60:AB60"/>
    <mergeCell ref="T43:AB43"/>
    <mergeCell ref="E78:M78"/>
    <mergeCell ref="B81:B89"/>
    <mergeCell ref="N86:O89"/>
    <mergeCell ref="B46:B5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824AF-F6A4-419A-A926-110671B2B05B}">
  <sheetPr>
    <tabColor theme="5" tint="0.79998168889431442"/>
  </sheetPr>
  <dimension ref="A3:AE118"/>
  <sheetViews>
    <sheetView showGridLines="0" topLeftCell="K29" zoomScale="85" zoomScaleNormal="85" workbookViewId="0">
      <selection activeCell="V46" sqref="V46"/>
    </sheetView>
  </sheetViews>
  <sheetFormatPr baseColWidth="10" defaultColWidth="11" defaultRowHeight="15" x14ac:dyDescent="0.25"/>
  <cols>
    <col min="1" max="1" width="13.875" style="104" customWidth="1"/>
    <col min="2" max="2" width="3.625" style="104" customWidth="1"/>
    <col min="3" max="3" width="1.875" style="104" customWidth="1"/>
    <col min="4" max="4" width="53.375" style="104" customWidth="1"/>
    <col min="5" max="6" width="17.875" style="104" customWidth="1"/>
    <col min="7" max="7" width="20.375" style="104" customWidth="1"/>
    <col min="8" max="16" width="16.25" style="104" customWidth="1"/>
    <col min="17" max="17" width="4" style="104" customWidth="1"/>
    <col min="18" max="18" width="3.25" style="104" customWidth="1"/>
    <col min="19" max="19" width="52.5" style="104" customWidth="1"/>
    <col min="20" max="21" width="19.375" style="104" customWidth="1"/>
    <col min="22" max="22" width="18.375" style="104" customWidth="1"/>
    <col min="23" max="24" width="23.375" style="104" customWidth="1"/>
    <col min="25" max="25" width="18.625" style="104" bestFit="1" customWidth="1"/>
    <col min="26" max="27" width="18.625" style="104" customWidth="1"/>
    <col min="28" max="29" width="22.75" style="104" customWidth="1"/>
    <col min="30" max="16384" width="11" style="104"/>
  </cols>
  <sheetData>
    <row r="3" spans="4:30" ht="26.25" x14ac:dyDescent="0.4">
      <c r="D3" s="668" t="s">
        <v>275</v>
      </c>
    </row>
    <row r="4" spans="4:30" x14ac:dyDescent="0.25">
      <c r="S4" s="151"/>
      <c r="T4" s="152"/>
      <c r="U4" s="152"/>
    </row>
    <row r="5" spans="4:30" x14ac:dyDescent="0.25">
      <c r="T5" s="152"/>
      <c r="U5" s="152"/>
    </row>
    <row r="6" spans="4:30" x14ac:dyDescent="0.25">
      <c r="T6" s="152"/>
      <c r="U6" s="152"/>
    </row>
    <row r="7" spans="4:30" x14ac:dyDescent="0.25">
      <c r="S7" s="151"/>
      <c r="T7" s="152"/>
      <c r="U7" s="152"/>
    </row>
    <row r="8" spans="4:30" ht="24" x14ac:dyDescent="0.4">
      <c r="D8" s="669" t="s">
        <v>276</v>
      </c>
      <c r="S8" s="669" t="s">
        <v>277</v>
      </c>
      <c r="T8" s="152"/>
      <c r="U8" s="152"/>
    </row>
    <row r="11" spans="4:30" x14ac:dyDescent="0.25">
      <c r="P11" s="117"/>
    </row>
    <row r="12" spans="4:30" ht="24" x14ac:dyDescent="0.4">
      <c r="D12" s="670" t="s">
        <v>278</v>
      </c>
      <c r="P12" s="117"/>
      <c r="S12" s="670" t="s">
        <v>279</v>
      </c>
      <c r="AD12" s="121"/>
    </row>
    <row r="13" spans="4:30" x14ac:dyDescent="0.25">
      <c r="P13" s="117"/>
    </row>
    <row r="14" spans="4:30" ht="26.25" x14ac:dyDescent="0.4">
      <c r="D14" s="653" t="s">
        <v>162</v>
      </c>
      <c r="P14" s="117"/>
      <c r="S14" s="653" t="s">
        <v>162</v>
      </c>
    </row>
    <row r="15" spans="4:30" x14ac:dyDescent="0.25">
      <c r="P15" s="117"/>
    </row>
    <row r="16" spans="4:30" ht="18.75" x14ac:dyDescent="0.3">
      <c r="D16" s="96"/>
      <c r="E16" s="1154" t="s">
        <v>280</v>
      </c>
      <c r="F16" s="1154"/>
      <c r="G16" s="1154"/>
      <c r="H16" s="1154"/>
      <c r="I16" s="1154"/>
      <c r="J16" s="1154"/>
      <c r="K16" s="1154"/>
      <c r="L16" s="1154"/>
      <c r="M16" s="1154"/>
      <c r="N16" s="193"/>
      <c r="O16" s="193"/>
      <c r="P16" s="113"/>
      <c r="S16" s="96"/>
      <c r="T16" s="1154" t="s">
        <v>280</v>
      </c>
      <c r="U16" s="1154"/>
      <c r="V16" s="1154"/>
      <c r="W16" s="1154"/>
      <c r="X16" s="1154"/>
      <c r="Y16" s="1154"/>
      <c r="Z16" s="1154"/>
      <c r="AA16" s="1154"/>
      <c r="AB16" s="1154"/>
      <c r="AC16" s="1086"/>
    </row>
    <row r="17" spans="2:29" ht="15.75" x14ac:dyDescent="0.25">
      <c r="D17" s="96"/>
      <c r="E17" s="96"/>
      <c r="F17" s="96"/>
      <c r="G17" s="96"/>
      <c r="H17" s="96"/>
      <c r="I17" s="96"/>
      <c r="J17" s="96"/>
      <c r="K17" s="96"/>
      <c r="L17" s="96"/>
      <c r="M17" s="96"/>
      <c r="N17" s="96"/>
      <c r="O17" s="96"/>
      <c r="P17" s="114"/>
      <c r="S17" s="96"/>
      <c r="T17" s="96"/>
      <c r="U17" s="96"/>
      <c r="V17" s="96"/>
      <c r="W17" s="96"/>
      <c r="X17" s="96"/>
      <c r="Y17" s="96"/>
      <c r="Z17" s="96"/>
      <c r="AA17" s="96"/>
      <c r="AB17" s="96"/>
      <c r="AC17" s="96"/>
    </row>
    <row r="18" spans="2:29" ht="75" x14ac:dyDescent="0.25">
      <c r="B18" s="105"/>
      <c r="C18" s="105"/>
      <c r="D18" s="106"/>
      <c r="E18" s="111" t="s">
        <v>182</v>
      </c>
      <c r="F18" s="111" t="s">
        <v>185</v>
      </c>
      <c r="G18" s="111" t="s">
        <v>186</v>
      </c>
      <c r="H18" s="111" t="s">
        <v>281</v>
      </c>
      <c r="I18" s="111" t="s">
        <v>282</v>
      </c>
      <c r="J18" s="657" t="s">
        <v>189</v>
      </c>
      <c r="K18" s="111" t="s">
        <v>190</v>
      </c>
      <c r="L18" s="112" t="s">
        <v>283</v>
      </c>
      <c r="M18" s="111" t="s">
        <v>191</v>
      </c>
      <c r="N18" s="194"/>
      <c r="O18" s="194"/>
      <c r="P18" s="115"/>
      <c r="Q18" s="105"/>
      <c r="R18" s="105"/>
      <c r="S18" s="106"/>
      <c r="T18" s="111" t="s">
        <v>182</v>
      </c>
      <c r="U18" s="111" t="s">
        <v>185</v>
      </c>
      <c r="V18" s="111" t="s">
        <v>186</v>
      </c>
      <c r="W18" s="111" t="s">
        <v>281</v>
      </c>
      <c r="X18" s="111" t="s">
        <v>282</v>
      </c>
      <c r="Y18" s="657" t="s">
        <v>189</v>
      </c>
      <c r="Z18" s="111" t="s">
        <v>190</v>
      </c>
      <c r="AA18" s="112" t="s">
        <v>283</v>
      </c>
      <c r="AB18" s="111" t="s">
        <v>191</v>
      </c>
      <c r="AC18" s="111" t="s">
        <v>734</v>
      </c>
    </row>
    <row r="19" spans="2:29" ht="30.95" customHeight="1" x14ac:dyDescent="0.35">
      <c r="B19" s="1157" t="s">
        <v>284</v>
      </c>
      <c r="D19" s="258" t="s">
        <v>182</v>
      </c>
      <c r="E19" s="658" t="s">
        <v>285</v>
      </c>
      <c r="F19" s="107">
        <f>('A.1. Conso_bâtiment_EF H1'!I104/'A.1. Conso_bâtiment_EF H1'!I103)-1</f>
        <v>-4.9558819383756725E-2</v>
      </c>
      <c r="G19" s="107">
        <f>('A.1. Conso_bâtiment_EF H1'!I106/('A.1. Conso_bâtiment_EF H1'!I103)-1)</f>
        <v>-0.25052857102585069</v>
      </c>
      <c r="H19" s="107">
        <f>('A.1. Conso_bâtiment_EF H1'!J107+('A.1. Conso_bâtiment_EF H1'!K107*'D.1. Facteur d''émissions'!C47))/('A.1. Conso_bâtiment_EF H1'!I103)-1</f>
        <v>-0.3091217263834467</v>
      </c>
      <c r="I19" s="107">
        <f>(('A.1. Conso_bâtiment_EF H1'!J108)+('A.1. Conso_bâtiment_EF H1'!K108*'D.1. Facteur d''émissions'!C47))/('A.1. Conso_bâtiment_EF H1'!I103)-1</f>
        <v>-0.30317635948467847</v>
      </c>
      <c r="J19" s="656"/>
      <c r="K19" s="107">
        <f>(('A.1. Conso_bâtiment_EF H1'!J110)+('A.1. Conso_bâtiment_EF H1'!K110*'D.1. Facteur d''émissions'!C47))/('A.1. Conso_bâtiment_EF H1'!I103)-1</f>
        <v>-0.47285400163504643</v>
      </c>
      <c r="L19" s="656"/>
      <c r="M19" s="107">
        <f>('A.1. Conso_bâtiment_EF H1'!I111)/('A.1. Conso_bâtiment_EF H1'!I103)-1</f>
        <v>-0.30079919939108635</v>
      </c>
      <c r="N19" s="706"/>
      <c r="O19" s="191"/>
      <c r="P19" s="114"/>
      <c r="Q19" s="1157" t="s">
        <v>284</v>
      </c>
      <c r="S19" s="258" t="s">
        <v>182</v>
      </c>
      <c r="T19" s="658" t="s">
        <v>285</v>
      </c>
      <c r="U19" s="107">
        <f>F19</f>
        <v>-4.9558819383756725E-2</v>
      </c>
      <c r="V19" s="107">
        <f>G19</f>
        <v>-0.25052857102585069</v>
      </c>
      <c r="W19" s="107">
        <f>-(('A.1. Conso_bâtiment_EF H1'!J103*'D.1. Facteur d''émissions'!C8)-(('A.1. Conso_bâtiment_EF H1'!K107*'D.1. Facteur d''émissions'!C15)+('A.1. Conso_bâtiment_EF H1'!J107*'D.1. Facteur d''émissions'!C8)))/('A.1. Conso_bâtiment_EF H1'!J103*'D.1. Facteur d''émissions'!C8)</f>
        <v>-0.73883486963448064</v>
      </c>
      <c r="X19" s="107">
        <f>-(('A.1. Conso_bâtiment_EF H1'!J103*'D.1. Facteur d''émissions'!C8)-(('A.1. Conso_bâtiment_EF H1'!K108*'D.1. Facteur d''émissions'!C15)+('A.1. Conso_bâtiment_EF H1'!J108*'D.1. Facteur d''émissions'!C8)))/('A.1. Conso_bâtiment_EF H1'!J103*'D.1. Facteur d''émissions'!C8)</f>
        <v>-0.43031994868629536</v>
      </c>
      <c r="Y19" s="656"/>
      <c r="Z19" s="107">
        <f>-(('A.1. Conso_bâtiment_EF H1'!J103*'D.1. Facteur d''émissions'!C8)-(('A.1. Conso_bâtiment_EF H1'!K110*'D.1. Facteur d''émissions'!C15)+('A.1. Conso_bâtiment_EF H1'!J110*'D.1. Facteur d''émissions'!C8)))/('A.1. Conso_bâtiment_EF H1'!J103*'D.1. Facteur d''émissions'!C8)</f>
        <v>-0.75611060542599029</v>
      </c>
      <c r="AA19" s="656"/>
      <c r="AB19" s="107">
        <f>M19</f>
        <v>-0.30079919939108635</v>
      </c>
      <c r="AC19" s="107">
        <f>-(('A.1. Conso_bâtiment_EF H1'!J103*'D.1. Facteur d''émissions'!C8)-(('A.1. Conso_bâtiment_EF H1'!K122*'D.1. Facteur d''émissions'!C15)))/('A.1. Conso_bâtiment_EF H1'!J103*'D.1. Facteur d''émissions'!C8)</f>
        <v>-0.93887047335312013</v>
      </c>
    </row>
    <row r="20" spans="2:29" ht="30.95" customHeight="1" x14ac:dyDescent="0.35">
      <c r="B20" s="1157"/>
      <c r="D20" s="258" t="s">
        <v>185</v>
      </c>
      <c r="E20" s="659" t="s">
        <v>286</v>
      </c>
      <c r="F20" s="658" t="s">
        <v>287</v>
      </c>
      <c r="G20" s="107">
        <f>('A.1. Conso_bâtiment_EF H1'!I106*'D.1. Facteur d''émissions'!C37)/('A.1. Conso_bâtiment_EF H1'!I104*'D.1. Facteur d''émissions'!C37)-1</f>
        <v>-0.21144890998072075</v>
      </c>
      <c r="H20" s="107">
        <f>(('A.1. Conso_bâtiment_EF H1'!J107)+('A.1. Conso_bâtiment_EF H1'!K107*'D.1. Facteur d''émissions'!C47))/('A.1. Conso_bâtiment_EF H1'!I104)-1</f>
        <v>-0.27309728607444761</v>
      </c>
      <c r="I20" s="107">
        <f>(('A.1. Conso_bâtiment_EF H1'!J108)+('A.1. Conso_bâtiment_EF H1'!K108*'D.1. Facteur d''émissions'!C47))/('A.1. Conso_bâtiment_EF H1'!I104)-1</f>
        <v>-0.2668419101290227</v>
      </c>
      <c r="J20" s="656"/>
      <c r="K20" s="107">
        <f>(('A.1. Conso_bâtiment_EF H1'!J110)+('A.1. Conso_bâtiment_EF H1'!K110*'D.1. Facteur d''émissions'!C47))/('A.1. Conso_bâtiment_EF H1'!I104)-1</f>
        <v>-0.44536704730831977</v>
      </c>
      <c r="L20" s="656"/>
      <c r="M20" s="107">
        <f>('A.1. Conso_bâtiment_EF H1'!I111)/('A.1. Conso_bâtiment_EF H1'!I104)-1</f>
        <v>-0.26434079786445208</v>
      </c>
      <c r="N20" s="706"/>
      <c r="O20" s="706"/>
      <c r="P20" s="114"/>
      <c r="Q20" s="1157"/>
      <c r="S20" s="258" t="s">
        <v>185</v>
      </c>
      <c r="T20" s="659" t="s">
        <v>286</v>
      </c>
      <c r="U20" s="658" t="s">
        <v>287</v>
      </c>
      <c r="V20" s="107">
        <f>G20</f>
        <v>-0.21144890998072075</v>
      </c>
      <c r="W20" s="107">
        <f>-(('A.1. Conso_bâtiment_EF H1'!J104*'D.1. Facteur d''émissions'!C8)-(('A.1. Conso_bâtiment_EF H1'!K107*'D.1. Facteur d''émissions'!C15)+('A.1. Conso_bâtiment_EF H1'!J107*'D.1. Facteur d''émissions'!C8)))/('A.1. Conso_bâtiment_EF H1'!J104*'D.1. Facteur d''émissions'!C8)</f>
        <v>-0.72521694588592411</v>
      </c>
      <c r="X20" s="107">
        <f>-(('A.1. Conso_bâtiment_EF H1'!J104*'D.1. Facteur d''émissions'!C8)-(('A.1. Conso_bâtiment_EF H1'!K108*'D.1. Facteur d''émissions'!C15)+('A.1. Conso_bâtiment_EF H1'!J108*'D.1. Facteur d''émissions'!C8)))/('A.1. Conso_bâtiment_EF H1'!J104*'D.1. Facteur d''émissions'!C8)</f>
        <v>-0.40061514280732469</v>
      </c>
      <c r="Y20" s="656"/>
      <c r="Z20" s="107">
        <f>-(('A.1. Conso_bâtiment_EF H1'!J104*'D.1. Facteur d''émissions'!C8)-(('A.1. Conso_bâtiment_EF H1'!K110*'D.1. Facteur d''émissions'!C15)+('A.1. Conso_bâtiment_EF H1'!J110*'D.1. Facteur d''émissions'!C8)))/('A.1. Conso_bâtiment_EF H1'!J104*'D.1. Facteur d''émissions'!C8)</f>
        <v>-0.74339348973086616</v>
      </c>
      <c r="AA20" s="656"/>
      <c r="AB20" s="107">
        <f>M20</f>
        <v>-0.26434079786445208</v>
      </c>
      <c r="AC20" s="107">
        <f>-(('A.1. Conso_bâtiment_EF H1'!J104*'D.1. Facteur d''émissions'!C8)-(('A.1. Conso_bâtiment_EF H1'!K122*'D.1. Facteur d''émissions'!C15)))/('A.1. Conso_bâtiment_EF H1'!J104*'D.1. Facteur d''émissions'!C8)</f>
        <v>-0.93568299870251304</v>
      </c>
    </row>
    <row r="21" spans="2:29" ht="30.95" customHeight="1" x14ac:dyDescent="0.35">
      <c r="B21" s="1157"/>
      <c r="D21" s="258" t="s">
        <v>186</v>
      </c>
      <c r="E21" s="659" t="s">
        <v>286</v>
      </c>
      <c r="F21" s="659" t="s">
        <v>286</v>
      </c>
      <c r="G21" s="658" t="s">
        <v>285</v>
      </c>
      <c r="H21" s="108">
        <f>('A.1. Conso_bâtiment_EF H1'!J107+'A.1. Conso_bâtiment_EF H1'!K107*'D.1. Facteur d''émissions'!C47)/('A.1. Conso_bâtiment_EF H1'!I106)-1</f>
        <v>-7.8179304897314394E-2</v>
      </c>
      <c r="I21" s="108">
        <f>(('A.1. Conso_bâtiment_EF H1'!J108)+('A.1. Conso_bâtiment_EF H1'!K108*'D.1. Facteur d''émissions'!C47))/('A.1. Conso_bâtiment_EF H1'!I106)-1</f>
        <v>-7.0246558338975307E-2</v>
      </c>
      <c r="J21" s="656"/>
      <c r="K21" s="107">
        <f>(('A.1. Conso_bâtiment_EF H1'!J110)+('A.1. Conso_bâtiment_EF H1'!K110*'D.1. Facteur d''émissions'!C47))/('A.1. Conso_bâtiment_EF H1'!I106)-1</f>
        <v>-0.29664296998420214</v>
      </c>
      <c r="L21" s="656"/>
      <c r="M21" s="107">
        <f>('A.1. Conso_bâtiment_EF H1'!I111)/('A.1. Conso_bâtiment_EF H1'!I106)-1</f>
        <v>-6.7074776197999064E-2</v>
      </c>
      <c r="N21" s="191"/>
      <c r="O21" s="191"/>
      <c r="P21" s="114"/>
      <c r="Q21" s="1157"/>
      <c r="S21" s="258" t="s">
        <v>186</v>
      </c>
      <c r="T21" s="659" t="s">
        <v>286</v>
      </c>
      <c r="U21" s="659" t="s">
        <v>286</v>
      </c>
      <c r="V21" s="658" t="s">
        <v>285</v>
      </c>
      <c r="W21" s="108">
        <f>-(('A.1. Conso_bâtiment_EF H1'!J106*'D.1. Facteur d''émissions'!C8)-(('A.1. Conso_bâtiment_EF H1'!K107*'D.1. Facteur d''émissions'!C15)+('A.1. Conso_bâtiment_EF H1'!J107*'D.1. Facteur d''émissions'!C8)))/('A.1. Conso_bâtiment_EF H1'!J106*'D.1. Facteur d''émissions'!C8)</f>
        <v>-0.65153424097434498</v>
      </c>
      <c r="X21" s="108">
        <f>-(('A.1. Conso_bâtiment_EF H1'!J106*'D.1. Facteur d''émissions'!C8)-(('A.1. Conso_bâtiment_EF H1'!K108*'D.1. Facteur d''émissions'!C15)+('A.1. Conso_bâtiment_EF H1'!J108*'D.1. Facteur d''émissions'!C8)))/('A.1. Conso_bâtiment_EF H1'!J106*'D.1. Facteur d''émissions'!C8)</f>
        <v>-0.23989090272131772</v>
      </c>
      <c r="Y21" s="656"/>
      <c r="Z21" s="107">
        <f>-(('A.1. Conso_bâtiment_EF H1'!J106*'D.1. Facteur d''émissions'!C8)-(('A.1. Conso_bâtiment_EF H1'!K110*'D.1. Facteur d''émissions'!C15)+('A.1. Conso_bâtiment_EF H1'!J110*'D.1. Facteur d''émissions'!C8)))/('A.1. Conso_bâtiment_EF H1'!J106*'D.1. Facteur d''émissions'!C8)</f>
        <v>-0.67458480050688896</v>
      </c>
      <c r="AA21" s="656"/>
      <c r="AB21" s="107">
        <f>M21</f>
        <v>-6.7074776197999064E-2</v>
      </c>
      <c r="AC21" s="107"/>
    </row>
    <row r="22" spans="2:29" ht="30.95" customHeight="1" x14ac:dyDescent="0.35">
      <c r="B22" s="1157"/>
      <c r="D22" s="258" t="s">
        <v>288</v>
      </c>
      <c r="E22" s="659" t="s">
        <v>286</v>
      </c>
      <c r="F22" s="659" t="s">
        <v>286</v>
      </c>
      <c r="G22" s="659" t="s">
        <v>286</v>
      </c>
      <c r="H22" s="658" t="s">
        <v>285</v>
      </c>
      <c r="I22" s="658" t="s">
        <v>285</v>
      </c>
      <c r="J22" s="656"/>
      <c r="K22" s="107">
        <f>(('A.1. Conso_bâtiment_EF H1'!J110)+('A.1. Conso_bâtiment_EF H1'!K110*'D.1. Facteur d''émissions'!C47))/('A.1. Conso_bâtiment_EF H1'!J107+'A.1. Conso_bâtiment_EF H1'!K107*'D.1. Facteur d''émissions'!C47)-1</f>
        <v>-0.23699149546924869</v>
      </c>
      <c r="L22" s="656"/>
      <c r="M22" s="659" t="s">
        <v>286</v>
      </c>
      <c r="N22" s="192"/>
      <c r="O22" s="192"/>
      <c r="P22" s="114"/>
      <c r="Q22" s="1157"/>
      <c r="S22" s="258" t="s">
        <v>288</v>
      </c>
      <c r="T22" s="659" t="s">
        <v>286</v>
      </c>
      <c r="U22" s="659" t="s">
        <v>286</v>
      </c>
      <c r="V22" s="659" t="s">
        <v>286</v>
      </c>
      <c r="W22" s="658" t="s">
        <v>285</v>
      </c>
      <c r="X22" s="658" t="s">
        <v>285</v>
      </c>
      <c r="Y22" s="656"/>
      <c r="Z22" s="659"/>
      <c r="AA22" s="656"/>
      <c r="AB22" s="659" t="s">
        <v>286</v>
      </c>
      <c r="AC22" s="659"/>
    </row>
    <row r="23" spans="2:29" ht="30.95" customHeight="1" x14ac:dyDescent="0.35">
      <c r="B23" s="1157"/>
      <c r="D23" s="258" t="s">
        <v>289</v>
      </c>
      <c r="E23" s="659" t="s">
        <v>286</v>
      </c>
      <c r="F23" s="659" t="s">
        <v>286</v>
      </c>
      <c r="G23" s="659" t="s">
        <v>286</v>
      </c>
      <c r="H23" s="659" t="s">
        <v>286</v>
      </c>
      <c r="I23" s="658" t="s">
        <v>287</v>
      </c>
      <c r="J23" s="656"/>
      <c r="K23" s="659" t="s">
        <v>286</v>
      </c>
      <c r="L23" s="656"/>
      <c r="M23" s="659" t="s">
        <v>286</v>
      </c>
      <c r="N23" s="192"/>
      <c r="O23" s="192"/>
      <c r="P23" s="114"/>
      <c r="Q23" s="1157"/>
      <c r="S23" s="258" t="s">
        <v>289</v>
      </c>
      <c r="T23" s="659"/>
      <c r="U23" s="659"/>
      <c r="V23" s="659"/>
      <c r="W23" s="658" t="s">
        <v>285</v>
      </c>
      <c r="X23" s="658" t="s">
        <v>285</v>
      </c>
      <c r="Y23" s="656"/>
      <c r="Z23" s="659" t="s">
        <v>286</v>
      </c>
      <c r="AA23" s="656"/>
      <c r="AB23" s="659" t="s">
        <v>286</v>
      </c>
      <c r="AC23" s="659"/>
    </row>
    <row r="24" spans="2:29" ht="30.95" customHeight="1" x14ac:dyDescent="0.35">
      <c r="B24" s="1157"/>
      <c r="D24" s="656" t="s">
        <v>189</v>
      </c>
      <c r="E24" s="656"/>
      <c r="F24" s="656"/>
      <c r="G24" s="656"/>
      <c r="H24" s="656"/>
      <c r="I24" s="656"/>
      <c r="J24" s="656"/>
      <c r="K24" s="656"/>
      <c r="L24" s="656"/>
      <c r="M24" s="656"/>
      <c r="N24" s="96"/>
      <c r="O24" s="96"/>
      <c r="P24" s="114"/>
      <c r="Q24" s="1157"/>
      <c r="S24" s="656" t="s">
        <v>189</v>
      </c>
      <c r="T24" s="656"/>
      <c r="U24" s="656"/>
      <c r="V24" s="656"/>
      <c r="W24" s="656"/>
      <c r="X24" s="656"/>
      <c r="Y24" s="656"/>
      <c r="Z24" s="656"/>
      <c r="AA24" s="656"/>
      <c r="AB24" s="656"/>
      <c r="AC24" s="656"/>
    </row>
    <row r="25" spans="2:29" ht="30.95" customHeight="1" x14ac:dyDescent="0.35">
      <c r="B25" s="1157"/>
      <c r="D25" s="258" t="s">
        <v>190</v>
      </c>
      <c r="E25" s="659" t="s">
        <v>286</v>
      </c>
      <c r="F25" s="659" t="s">
        <v>286</v>
      </c>
      <c r="G25" s="659" t="s">
        <v>286</v>
      </c>
      <c r="H25" s="660">
        <f>('A.1. Conso_bâtiment_EF H1'!J107+'A.1. Conso_bâtiment_EF H1'!K107*'D.1. Facteur d''émissions'!C47)/('A.1. Conso_bâtiment_EF H1'!J110+'A.1. Conso_bâtiment_EF H1'!K110*'D.1. Facteur d''émissions'!C47)-1</f>
        <v>0.31060138132404957</v>
      </c>
      <c r="I25" s="660">
        <f>(('A.1. Conso_bâtiment_EF H1'!J108)+('A.1. Conso_bâtiment_EF H1'!K108*'D.1. Facteur d''émissions'!C47))/(('A.1. Conso_bâtiment_EF H1'!J110)+('A.1. Conso_bâtiment_EF H1'!K110*'D.1. Facteur d''émissions'!C47))-1</f>
        <v>0.32187978790820049</v>
      </c>
      <c r="J25" s="656"/>
      <c r="K25" s="658" t="s">
        <v>287</v>
      </c>
      <c r="L25" s="656"/>
      <c r="M25" s="659" t="s">
        <v>286</v>
      </c>
      <c r="N25" s="96"/>
      <c r="O25" s="96"/>
      <c r="P25" s="114"/>
      <c r="Q25" s="1157"/>
      <c r="S25" s="258" t="s">
        <v>190</v>
      </c>
      <c r="T25" s="659" t="s">
        <v>286</v>
      </c>
      <c r="U25" s="659" t="s">
        <v>286</v>
      </c>
      <c r="V25" s="659" t="s">
        <v>286</v>
      </c>
      <c r="W25" s="659" t="s">
        <v>286</v>
      </c>
      <c r="X25" s="659" t="s">
        <v>286</v>
      </c>
      <c r="Y25" s="656"/>
      <c r="Z25" s="658" t="s">
        <v>285</v>
      </c>
      <c r="AA25" s="656"/>
      <c r="AB25" s="253"/>
      <c r="AC25" s="253"/>
    </row>
    <row r="26" spans="2:29" ht="30.95" customHeight="1" x14ac:dyDescent="0.35">
      <c r="B26" s="1157"/>
      <c r="D26" s="656" t="s">
        <v>283</v>
      </c>
      <c r="E26" s="656"/>
      <c r="F26" s="656"/>
      <c r="G26" s="656"/>
      <c r="H26" s="656"/>
      <c r="I26" s="656"/>
      <c r="J26" s="656"/>
      <c r="K26" s="656"/>
      <c r="L26" s="656"/>
      <c r="M26" s="656"/>
      <c r="N26" s="96"/>
      <c r="O26" s="96"/>
      <c r="P26" s="114"/>
      <c r="Q26" s="1157"/>
      <c r="S26" s="656" t="s">
        <v>283</v>
      </c>
      <c r="T26" s="656"/>
      <c r="U26" s="656"/>
      <c r="V26" s="656"/>
      <c r="W26" s="656"/>
      <c r="X26" s="656"/>
      <c r="Y26" s="656"/>
      <c r="Z26" s="656"/>
      <c r="AA26" s="656"/>
      <c r="AB26" s="656"/>
      <c r="AC26" s="656"/>
    </row>
    <row r="27" spans="2:29" ht="30.95" customHeight="1" x14ac:dyDescent="0.35">
      <c r="B27" s="1157"/>
      <c r="D27" s="258" t="s">
        <v>191</v>
      </c>
      <c r="E27" s="659" t="s">
        <v>286</v>
      </c>
      <c r="F27" s="659" t="s">
        <v>286</v>
      </c>
      <c r="G27" s="659" t="s">
        <v>286</v>
      </c>
      <c r="H27" s="107">
        <f>('A.1. Conso_bâtiment_EF H1'!J107+'A.1. Conso_bâtiment_EF H1'!K107*'D.1. Facteur d''émissions'!C47)/('A.1. Conso_bâtiment_EF H1'!I111)-1</f>
        <v>-1.1902913991391983E-2</v>
      </c>
      <c r="I27" s="107">
        <f>('A.1. Conso_bâtiment_EF H1'!J108+'A.1. Conso_bâtiment_EF H1'!K108*'D.1. Facteur d''émissions'!C47)/('A.1. Conso_bâtiment_EF H1'!I111)-1</f>
        <v>-3.3998246162217916E-3</v>
      </c>
      <c r="J27" s="656"/>
      <c r="K27" s="107">
        <f>(('A.1. Conso_bâtiment_EF H1'!J110)+('A.1. Conso_bâtiment_EF H1'!K110*'D.1. Facteur d''émissions'!C47))/('A.1. Conso_bâtiment_EF H1'!I111)-1</f>
        <v>-0.2460735200733789</v>
      </c>
      <c r="L27" s="656"/>
      <c r="M27" s="658" t="s">
        <v>285</v>
      </c>
      <c r="N27" s="190"/>
      <c r="O27" s="190"/>
      <c r="P27" s="114"/>
      <c r="Q27" s="1157"/>
      <c r="S27" s="258" t="s">
        <v>191</v>
      </c>
      <c r="T27" s="659" t="s">
        <v>286</v>
      </c>
      <c r="U27" s="659" t="s">
        <v>286</v>
      </c>
      <c r="V27" s="659" t="s">
        <v>286</v>
      </c>
      <c r="W27" s="107">
        <f>-(('A.1. Conso_bâtiment_EF H1'!J111*'D.1. Facteur d''émissions'!C8)-(('A.1. Conso_bâtiment_EF H1'!K107*'D.1. Facteur d''émissions'!C15)+('A.1. Conso_bâtiment_EF H1'!J107*'D.1. Facteur d''émissions'!C8)))/('A.1. Conso_bâtiment_EF H1'!J111*'D.1. Facteur d''émissions'!C8)</f>
        <v>-0.62648050440148506</v>
      </c>
      <c r="X27" s="652"/>
      <c r="Y27" s="656"/>
      <c r="Z27" s="253"/>
      <c r="AA27" s="656"/>
      <c r="AB27" s="658" t="s">
        <v>285</v>
      </c>
      <c r="AC27" s="658"/>
    </row>
    <row r="28" spans="2:29" ht="41.45" customHeight="1" x14ac:dyDescent="0.35">
      <c r="B28" s="1157"/>
      <c r="D28" s="253" t="s">
        <v>196</v>
      </c>
      <c r="E28" s="659" t="s">
        <v>286</v>
      </c>
      <c r="F28" s="107">
        <f>('A.1. Conso_bâtiment_EF H1'!I104/'A.1. Conso_bâtiment_EF H1'!L116)-1</f>
        <v>-0.14501087280404223</v>
      </c>
      <c r="G28" s="107">
        <f>('A.1. Conso_bâtiment_EF H1'!I106/'A.1. Conso_bâtiment_EF H1'!L116)-1</f>
        <v>-0.32579739179499534</v>
      </c>
      <c r="H28" s="107">
        <f>('A.1. Conso_bâtiment_EF H1'!J107+('A.1. Conso_bâtiment_EF H1'!K107*'D.1. Facteur d''émissions'!C47))/('A.1. Conso_bâtiment_EF H1'!L116)-1</f>
        <v>-0.37850608306441902</v>
      </c>
      <c r="I28" s="107">
        <f>(('A.1. Conso_bâtiment_EF H1'!J108)+('A.1. Conso_bâtiment_EF H1'!K108*'D.1. Facteur d''émissions'!C47))/('A.1. Conso_bâtiment_EF H1'!L116)-1</f>
        <v>-0.3731578046445575</v>
      </c>
      <c r="J28" s="656"/>
      <c r="K28" s="107">
        <f>(('A.1. Conso_bâtiment_EF H1'!J110)+('A.1. Conso_bâtiment_EF H1'!K110*'D.1. Facteur d''émissions'!C47))/('A.1. Conso_bâtiment_EF H1'!L116)-1</f>
        <v>-0.5257948558640233</v>
      </c>
      <c r="L28" s="656"/>
      <c r="M28" s="107">
        <f>('A.1. Conso_bâtiment_EF H1'!I111)/('A.1. Conso_bâtiment_EF H1'!L116)-1</f>
        <v>-0.37101938085245323</v>
      </c>
      <c r="P28" s="117"/>
      <c r="Q28" s="1157"/>
      <c r="S28" s="253" t="s">
        <v>196</v>
      </c>
      <c r="T28" s="659" t="s">
        <v>286</v>
      </c>
      <c r="U28" s="659" t="s">
        <v>286</v>
      </c>
      <c r="V28" s="107">
        <f>-('A.1. Conso_bâtiment_EF H1'!L116*'D.1. Facteur d''émissions'!C7-'A.1. Conso_bâtiment_EF H1'!I106*'D.1. Facteur d''émissions'!C8)/('A.1. Conso_bâtiment_EF H1'!L116*'D.1. Facteur d''émissions'!C7)</f>
        <v>-0.50267153283643173</v>
      </c>
      <c r="W28" s="107">
        <f>-(('A.1. Conso_bâtiment_EF H1'!L116*'D.1. Facteur d''émissions'!C7)-(('A.1. Conso_bâtiment_EF H1'!K107*'D.1. Facteur d''émissions'!C15)+('A.1. Conso_bâtiment_EF H1'!J107*'D.1. Facteur d''émissions'!C8)))/('A.1. Conso_bâtiment_EF H1'!L116*'D.1. Facteur d''émissions'!C7)</f>
        <v>-0.82669805820478159</v>
      </c>
      <c r="X28" s="107">
        <f>-(('A.1. Conso_bâtiment_EF H1'!L116*'D.1. Facteur d''émissions'!C7)-(('A.1. Conso_bâtiment_EF H1'!K108*'D.1. Facteur d''émissions'!C15)+('A.1. Conso_bâtiment_EF H1'!J108*'D.1. Facteur d''émissions'!C8)))/('A.1. Conso_bâtiment_EF H1'!L116*'D.1. Facteur d''émissions'!C7)</f>
        <v>-0.62197610777330936</v>
      </c>
      <c r="Y28" s="656"/>
      <c r="Z28" s="107">
        <f>-(('A.1. Conso_bâtiment_EF H1'!L116*'D.1. Facteur d''émissions'!C7)-(('A.1. Conso_bâtiment_EF H1'!K110*'D.1. Facteur d''émissions'!C15)+('A.1. Conso_bâtiment_EF H1'!J110*'D.1. Facteur d''émissions'!C8)))/('A.1. Conso_bâtiment_EF H1'!L116*'D.1. Facteur d''émissions'!C7)</f>
        <v>-0.83816175764436429</v>
      </c>
      <c r="AA28" s="656"/>
      <c r="AB28" s="107">
        <f>-('A.1. Conso_bâtiment_EF H1'!L116*'D.1. Facteur d''émissions'!C7-'A.1. Conso_bâtiment_EF H1'!I111*'D.1. Facteur d''émissions'!C8)/('A.1. Conso_bâtiment_EF H1'!L116*'D.1. Facteur d''émissions'!C7)</f>
        <v>-0.53602972846832198</v>
      </c>
      <c r="AC28" s="107">
        <f>-(('A.1. Conso_bâtiment_EF H1'!L116*'D.1. Facteur d''émissions'!C7)-(('A.1. Conso_bâtiment_EF H1'!K122*'D.1. Facteur d''émissions'!C15)))/('A.1. Conso_bâtiment_EF H1'!L116*'D.1. Facteur d''émissions'!C7)</f>
        <v>-0.95943614044455339</v>
      </c>
    </row>
    <row r="29" spans="2:29" ht="36" customHeight="1" x14ac:dyDescent="0.35">
      <c r="B29" s="1157"/>
      <c r="D29" s="253" t="s">
        <v>197</v>
      </c>
      <c r="E29" s="659" t="s">
        <v>286</v>
      </c>
      <c r="F29" s="660">
        <f>('A.1. Conso_bâtiment_EF H1'!I104/'A.1. Conso_bâtiment_EF H1'!L117)-1</f>
        <v>0.1399060080467931</v>
      </c>
      <c r="G29" s="107">
        <f>('A.1. Conso_bâtiment_EF H1'!I106/'A.1. Conso_bâtiment_EF H1'!L117)-1</f>
        <v>-0.10112587483517599</v>
      </c>
      <c r="H29" s="107">
        <f>('A.1. Conso_bâtiment_EF H1'!J107+('A.1. Conso_bâtiment_EF H1'!K107*'D.1. Facteur d''émissions'!C47))/('A.1. Conso_bâtiment_EF H1'!L117)-1</f>
        <v>-0.17139922913074346</v>
      </c>
      <c r="I29" s="107">
        <f>(('A.1. Conso_bâtiment_EF H1'!J108)+('A.1. Conso_bâtiment_EF H1'!K108*'D.1. Facteur d''émissions'!C47))/('A.1. Conso_bâtiment_EF H1'!L117)-1</f>
        <v>-0.16426868850796217</v>
      </c>
      <c r="J29" s="656"/>
      <c r="K29" s="107">
        <f>(('A.1. Conso_bâtiment_EF H1'!J110)+('A.1. Conso_bâtiment_EF H1'!K110*'D.1. Facteur d''émissions'!C47))/('A.1. Conso_bâtiment_EF H1'!L117)-1</f>
        <v>-0.3677705649660209</v>
      </c>
      <c r="L29" s="656"/>
      <c r="M29" s="107">
        <f>('A.1. Conso_bâtiment_EF H1'!I111)/('A.1. Conso_bâtiment_EF H1'!L117)-1</f>
        <v>-0.1614176556107787</v>
      </c>
      <c r="P29" s="117"/>
      <c r="Q29" s="1157"/>
      <c r="S29" s="253" t="s">
        <v>197</v>
      </c>
      <c r="T29" s="659" t="s">
        <v>286</v>
      </c>
      <c r="U29" s="659" t="s">
        <v>286</v>
      </c>
      <c r="V29" s="107">
        <f>-('A.1. Conso_bâtiment_EF H1'!L117*'D.1. Facteur d''émissions'!C7-'A.1. Conso_bâtiment_EF H1'!I106*'D.1. Facteur d''émissions'!C8)/('A.1. Conso_bâtiment_EF H1'!L117*'D.1. Facteur d''émissions'!C7)</f>
        <v>-0.33694161754816987</v>
      </c>
      <c r="W29" s="107">
        <f>-(('A.1. Conso_bâtiment_EF H1'!L117*'D.1. Facteur d''émissions'!C7)-(('A.1. Conso_bâtiment_EF H1'!K107*'D.1. Facteur d''émissions'!C15)+('A.1. Conso_bâtiment_EF H1'!J107*'D.1. Facteur d''émissions'!C8)))/('A.1. Conso_bâtiment_EF H1'!L117*'D.1. Facteur d''émissions'!C7)</f>
        <v>-0.76894685748059988</v>
      </c>
      <c r="X29" s="107">
        <f>-(('A.1. Conso_bâtiment_EF H1'!L117*'D.1. Facteur d''émissions'!C7)-(('A.1. Conso_bâtiment_EF H1'!K108*'D.1. Facteur d''émissions'!C15)+('A.1. Conso_bâtiment_EF H1'!J108*'D.1. Facteur d''émissions'!C8)))/('A.1. Conso_bâtiment_EF H1'!L117*'D.1. Facteur d''émissions'!C7)</f>
        <v>-0.49600329147147615</v>
      </c>
      <c r="Y29" s="656"/>
      <c r="Z29" s="107">
        <f>-(('A.1. Conso_bâtiment_EF H1'!L117*'D.1. Facteur d''émissions'!C7)-(('A.1. Conso_bâtiment_EF H1'!K110*'D.1. Facteur d''émissions'!C15)+('A.1. Conso_bâtiment_EF H1'!J110*'D.1. Facteur d''émissions'!C8)))/('A.1. Conso_bâtiment_EF H1'!L117*'D.1. Facteur d''émissions'!C7)</f>
        <v>-0.7842307241988582</v>
      </c>
      <c r="AA29" s="656"/>
      <c r="AB29" s="107">
        <f>-('A.1. Conso_bâtiment_EF H1'!L117*'D.1. Facteur d''émissions'!C7-'A.1. Conso_bâtiment_EF H1'!I111*'D.1. Facteur d''émissions'!C8)/('A.1. Conso_bâtiment_EF H1'!L117*'D.1. Facteur d''émissions'!C7)</f>
        <v>-0.38141611015733368</v>
      </c>
      <c r="AC29" s="107"/>
    </row>
    <row r="30" spans="2:29" ht="36" customHeight="1" x14ac:dyDescent="0.35">
      <c r="B30" s="1157"/>
      <c r="D30" s="253" t="s">
        <v>735</v>
      </c>
      <c r="E30" s="659" t="s">
        <v>286</v>
      </c>
      <c r="F30" s="660">
        <f>('A.1. Conso_bâtiment_EF H1'!I104/'A.1. Conso_bâtiment_EF H1'!K123)-1</f>
        <v>0.81336560441038053</v>
      </c>
      <c r="G30" s="660">
        <f>('A.1. Conso_bâtiment_EF H1'!I106/'A.1. Conso_bâtiment_EF H1'!K123)-1</f>
        <v>0.42993142396127482</v>
      </c>
      <c r="H30" s="660">
        <f>('A.1. Conso_bâtiment_EF H1'!J107+('A.1. Conso_bâtiment_EF H1'!K107*'D.1. Facteur d''émissions'!C47))/('A.1. Conso_bâtiment_EF H1'!K123)-1</f>
        <v>0.31814037918515536</v>
      </c>
      <c r="I30" s="660">
        <f>(('A.1. Conso_bâtiment_EF H1'!J108)+('A.1. Conso_bâtiment_EF H1'!K108*'D.1. Facteur d''émissions'!C47))/('A.1. Conso_bâtiment_EF H1'!K123)-1</f>
        <v>0.32948366276724506</v>
      </c>
      <c r="J30" s="253"/>
      <c r="K30" s="652"/>
      <c r="L30" s="253"/>
      <c r="M30" s="652"/>
      <c r="P30" s="117"/>
      <c r="Q30" s="1157"/>
      <c r="S30" s="253" t="s">
        <v>735</v>
      </c>
      <c r="T30" s="659" t="s">
        <v>286</v>
      </c>
      <c r="U30" s="659" t="s">
        <v>286</v>
      </c>
      <c r="V30" s="660">
        <f>-('A.1. Conso_bâtiment_EF H1'!K123*'D.1. Facteur d''émissions'!C15-'A.1. Conso_bâtiment_EF H1'!I106*'D.1. Facteur d''émissions'!C8)/('A.1. Conso_bâtiment_EF H1'!K123*'D.1. Facteur d''émissions'!C15)</f>
        <v>4.8923036263231845</v>
      </c>
      <c r="W30" s="660">
        <f>-(('A.1. Conso_bâtiment_EF H1'!K123*'D.1. Facteur d''émissions'!C15)-(('A.1. Conso_bâtiment_EF H1'!K107*'D.1. Facteur d''émissions'!C15)+('A.1. Conso_bâtiment_EF H1'!J107*'D.1. Facteur d''émissions'!C8)))/('A.1. Conso_bâtiment_EF H1'!K123*'D.1. Facteur d''émissions'!C15)</f>
        <v>1.0532660555563282</v>
      </c>
      <c r="X30" s="107"/>
      <c r="Y30" s="656"/>
      <c r="Z30" s="107"/>
      <c r="AA30" s="656"/>
      <c r="AB30" s="107"/>
      <c r="AC30" s="107"/>
    </row>
    <row r="31" spans="2:29" ht="30" customHeight="1" x14ac:dyDescent="0.25">
      <c r="P31" s="117"/>
    </row>
    <row r="32" spans="2:29" x14ac:dyDescent="0.25">
      <c r="H32" s="135"/>
      <c r="P32" s="117"/>
    </row>
    <row r="33" spans="2:31" x14ac:dyDescent="0.25">
      <c r="P33" s="117"/>
    </row>
    <row r="34" spans="2:31" x14ac:dyDescent="0.25">
      <c r="P34" s="117"/>
    </row>
    <row r="35" spans="2:31" x14ac:dyDescent="0.25">
      <c r="P35" s="117"/>
    </row>
    <row r="36" spans="2:31" x14ac:dyDescent="0.25">
      <c r="P36" s="117"/>
    </row>
    <row r="37" spans="2:31" x14ac:dyDescent="0.25">
      <c r="P37" s="117"/>
    </row>
    <row r="38" spans="2:31" x14ac:dyDescent="0.25">
      <c r="P38" s="117"/>
    </row>
    <row r="39" spans="2:31" x14ac:dyDescent="0.25">
      <c r="P39" s="117"/>
      <c r="AE39" s="135"/>
    </row>
    <row r="40" spans="2:31" x14ac:dyDescent="0.25">
      <c r="P40" s="117"/>
    </row>
    <row r="41" spans="2:31" ht="26.25" x14ac:dyDescent="0.4">
      <c r="D41" s="653" t="s">
        <v>163</v>
      </c>
      <c r="P41" s="117"/>
      <c r="S41" s="653" t="s">
        <v>163</v>
      </c>
    </row>
    <row r="42" spans="2:31" x14ac:dyDescent="0.25">
      <c r="D42" s="118"/>
      <c r="P42" s="117"/>
      <c r="S42" s="118"/>
    </row>
    <row r="43" spans="2:31" ht="18.75" x14ac:dyDescent="0.3">
      <c r="E43" s="1154" t="s">
        <v>280</v>
      </c>
      <c r="F43" s="1154"/>
      <c r="G43" s="1154"/>
      <c r="H43" s="1154"/>
      <c r="I43" s="1154"/>
      <c r="J43" s="1154"/>
      <c r="K43" s="1154"/>
      <c r="L43" s="1154"/>
      <c r="M43" s="1154"/>
      <c r="N43" s="195"/>
      <c r="O43" s="195"/>
      <c r="P43" s="119"/>
      <c r="T43" s="1154" t="s">
        <v>280</v>
      </c>
      <c r="U43" s="1154"/>
      <c r="V43" s="1154"/>
      <c r="W43" s="1154"/>
      <c r="X43" s="1154"/>
      <c r="Y43" s="1154"/>
      <c r="Z43" s="1154"/>
      <c r="AA43" s="1154"/>
      <c r="AB43" s="1154"/>
      <c r="AC43" s="1086"/>
    </row>
    <row r="44" spans="2:31" x14ac:dyDescent="0.25">
      <c r="P44" s="117"/>
    </row>
    <row r="45" spans="2:31" s="105" customFormat="1" ht="55.5" customHeight="1" x14ac:dyDescent="0.25">
      <c r="E45" s="111" t="s">
        <v>182</v>
      </c>
      <c r="F45" s="111" t="s">
        <v>185</v>
      </c>
      <c r="G45" s="111" t="s">
        <v>186</v>
      </c>
      <c r="H45" s="112" t="s">
        <v>187</v>
      </c>
      <c r="I45" s="111" t="s">
        <v>282</v>
      </c>
      <c r="J45" s="112" t="s">
        <v>189</v>
      </c>
      <c r="K45" s="112" t="s">
        <v>190</v>
      </c>
      <c r="L45" s="112" t="s">
        <v>283</v>
      </c>
      <c r="M45" s="112" t="s">
        <v>191</v>
      </c>
      <c r="N45" s="196"/>
      <c r="O45" s="196"/>
      <c r="P45" s="116"/>
      <c r="T45" s="111" t="s">
        <v>182</v>
      </c>
      <c r="U45" s="111" t="s">
        <v>185</v>
      </c>
      <c r="V45" s="111" t="s">
        <v>186</v>
      </c>
      <c r="W45" s="112" t="s">
        <v>187</v>
      </c>
      <c r="X45" s="111" t="s">
        <v>282</v>
      </c>
      <c r="Y45" s="112" t="s">
        <v>189</v>
      </c>
      <c r="Z45" s="111" t="s">
        <v>190</v>
      </c>
      <c r="AA45" s="111" t="s">
        <v>283</v>
      </c>
      <c r="AB45" s="112" t="s">
        <v>191</v>
      </c>
      <c r="AC45" s="112"/>
    </row>
    <row r="46" spans="2:31" ht="37.5" customHeight="1" x14ac:dyDescent="0.35">
      <c r="B46" s="1157" t="s">
        <v>284</v>
      </c>
      <c r="D46" s="258" t="s">
        <v>182</v>
      </c>
      <c r="E46" s="658" t="s">
        <v>285</v>
      </c>
      <c r="F46" s="107">
        <f>('A.1. Conso_bâtiment_EF H1'!O104)/('A.1. Conso_bâtiment_EF H1'!O103)-1</f>
        <v>-4.9966362514124563E-2</v>
      </c>
      <c r="G46" s="107">
        <f>('A.1. Conso_bâtiment_EF H1'!O106)/('A.1. Conso_bâtiment_EF H1'!O103)-1</f>
        <v>-0.28265938616486941</v>
      </c>
      <c r="H46" s="656"/>
      <c r="I46" s="107">
        <f>(('A.1. Conso_bâtiment_EF H1'!P108)+('A.1. Conso_bâtiment_EF H1'!Q108*'D.1. Facteur d''émissions'!C47))/('A.1. Conso_bâtiment_EF H1'!O103)-1</f>
        <v>-0.3294220230824999</v>
      </c>
      <c r="J46" s="656"/>
      <c r="K46" s="656"/>
      <c r="L46" s="656"/>
      <c r="M46" s="656"/>
      <c r="P46" s="117"/>
      <c r="Q46" s="1157" t="s">
        <v>284</v>
      </c>
      <c r="S46" s="258" t="s">
        <v>182</v>
      </c>
      <c r="T46" s="109" t="s">
        <v>285</v>
      </c>
      <c r="U46" s="107">
        <f>F46</f>
        <v>-4.9966362514124563E-2</v>
      </c>
      <c r="V46" s="107">
        <f>G46</f>
        <v>-0.28265938616486941</v>
      </c>
      <c r="W46" s="120"/>
      <c r="X46" s="107">
        <f>-(('A.1. Conso_bâtiment_EF H1'!P103*'D.1. Facteur d''émissions'!C8)-(('A.1. Conso_bâtiment_EF H1'!Q108*'D.1. Facteur d''émissions'!C15)+('A.1. Conso_bâtiment_EF H1'!P108*'D.1. Facteur d''émissions'!C8)))/('A.1. Conso_bâtiment_EF H1'!P103*'D.1. Facteur d''émissions'!C8)</f>
        <v>-0.44128924392709945</v>
      </c>
      <c r="Y46" s="120"/>
      <c r="Z46" s="120"/>
      <c r="AA46" s="120"/>
      <c r="AB46" s="120"/>
      <c r="AC46" s="120"/>
    </row>
    <row r="47" spans="2:31" ht="37.5" customHeight="1" x14ac:dyDescent="0.35">
      <c r="B47" s="1157"/>
      <c r="D47" s="258" t="s">
        <v>185</v>
      </c>
      <c r="E47" s="659" t="s">
        <v>286</v>
      </c>
      <c r="F47" s="658" t="s">
        <v>285</v>
      </c>
      <c r="G47" s="107">
        <f>('A.1. Conso_bâtiment_EF H1'!O106)/('A.1. Conso_bâtiment_EF H1'!O104)-1</f>
        <v>-0.24493135239561914</v>
      </c>
      <c r="H47" s="656"/>
      <c r="I47" s="107">
        <f>(('A.1. Conso_bâtiment_EF H1'!P108)+('A.1. Conso_bâtiment_EF H1'!Q108*'D.1. Facteur d''émissions'!C47))/('A.1. Conso_bâtiment_EF H1'!O104)-1</f>
        <v>-0.29415343788027737</v>
      </c>
      <c r="J47" s="656"/>
      <c r="K47" s="656"/>
      <c r="L47" s="656"/>
      <c r="M47" s="656"/>
      <c r="P47" s="117"/>
      <c r="Q47" s="1157"/>
      <c r="S47" s="258" t="s">
        <v>185</v>
      </c>
      <c r="T47" s="109"/>
      <c r="U47" s="658" t="s">
        <v>285</v>
      </c>
      <c r="V47" s="107">
        <f>G47</f>
        <v>-0.24493135239561914</v>
      </c>
      <c r="W47" s="120"/>
      <c r="X47" s="107">
        <f>-(('A.1. Conso_bâtiment_EF H1'!P104*'D.1. Facteur d''émissions'!C8)-(('A.1. Conso_bâtiment_EF H1'!Q108*'D.1. Facteur d''émissions'!C15)+('A.1. Conso_bâtiment_EF H1'!P108*'D.1. Facteur d''émissions'!C8)))/('A.1. Conso_bâtiment_EF H1'!P104*'D.1. Facteur d''émissions'!C8)</f>
        <v>-0.41190423788420111</v>
      </c>
      <c r="Y47" s="120"/>
      <c r="Z47" s="120"/>
      <c r="AA47" s="120"/>
      <c r="AB47" s="120"/>
      <c r="AC47" s="120"/>
    </row>
    <row r="48" spans="2:31" ht="37.5" customHeight="1" x14ac:dyDescent="0.35">
      <c r="B48" s="1157"/>
      <c r="D48" s="258" t="s">
        <v>186</v>
      </c>
      <c r="E48" s="659" t="s">
        <v>286</v>
      </c>
      <c r="F48" s="659" t="s">
        <v>286</v>
      </c>
      <c r="G48" s="658" t="s">
        <v>285</v>
      </c>
      <c r="H48" s="656"/>
      <c r="I48" s="107">
        <f>(('A.1. Conso_bâtiment_EF H1'!P108)+('A.1. Conso_bâtiment_EF H1'!Q108*'D.1. Facteur d''émissions'!C47))/('A.1. Conso_bâtiment_EF H1'!O106)-1</f>
        <v>-6.5188887978365861E-2</v>
      </c>
      <c r="J48" s="656"/>
      <c r="K48" s="656"/>
      <c r="L48" s="656"/>
      <c r="M48" s="656"/>
      <c r="P48" s="117"/>
      <c r="Q48" s="1157"/>
      <c r="S48" s="258" t="s">
        <v>186</v>
      </c>
      <c r="T48" s="110" t="s">
        <v>286</v>
      </c>
      <c r="U48" s="110"/>
      <c r="V48" s="109" t="s">
        <v>285</v>
      </c>
      <c r="W48" s="120"/>
      <c r="X48" s="107">
        <f>-(('A.1. Conso_bâtiment_EF H1'!P106*'D.1. Facteur d''émissions'!C8)-(('A.1. Conso_bâtiment_EF H1'!Q108*'D.1. Facteur d''émissions'!C15)+('A.1. Conso_bâtiment_EF H1'!P108*'D.1. Facteur d''émissions'!C8)))/('A.1. Conso_bâtiment_EF H1'!P106*'D.1. Facteur d''émissions'!C8)</f>
        <v>-0.22113603315187258</v>
      </c>
      <c r="Y48" s="120"/>
      <c r="Z48" s="120"/>
      <c r="AA48" s="120"/>
      <c r="AB48" s="120"/>
      <c r="AC48" s="120"/>
    </row>
    <row r="49" spans="1:29" ht="37.5" customHeight="1" x14ac:dyDescent="0.35">
      <c r="B49" s="1157"/>
      <c r="D49" s="654" t="s">
        <v>187</v>
      </c>
      <c r="E49" s="656"/>
      <c r="F49" s="656"/>
      <c r="G49" s="656"/>
      <c r="H49" s="656"/>
      <c r="I49" s="656"/>
      <c r="J49" s="656"/>
      <c r="K49" s="656"/>
      <c r="L49" s="656"/>
      <c r="M49" s="656"/>
      <c r="P49" s="117"/>
      <c r="Q49" s="1157"/>
      <c r="S49" s="654" t="s">
        <v>187</v>
      </c>
      <c r="T49" s="120"/>
      <c r="U49" s="120"/>
      <c r="V49" s="120"/>
      <c r="W49" s="120"/>
      <c r="X49" s="120"/>
      <c r="Y49" s="120"/>
      <c r="Z49" s="120"/>
      <c r="AA49" s="120"/>
      <c r="AB49" s="120"/>
      <c r="AC49" s="120"/>
    </row>
    <row r="50" spans="1:29" ht="37.5" customHeight="1" x14ac:dyDescent="0.35">
      <c r="B50" s="1157"/>
      <c r="D50" s="258" t="s">
        <v>289</v>
      </c>
      <c r="E50" s="659" t="s">
        <v>286</v>
      </c>
      <c r="F50" s="659" t="s">
        <v>286</v>
      </c>
      <c r="G50" s="659" t="s">
        <v>286</v>
      </c>
      <c r="H50" s="656"/>
      <c r="I50" s="658" t="s">
        <v>285</v>
      </c>
      <c r="J50" s="656"/>
      <c r="K50" s="656"/>
      <c r="L50" s="656"/>
      <c r="M50" s="656"/>
      <c r="P50" s="117"/>
      <c r="Q50" s="1157"/>
      <c r="S50" s="258" t="s">
        <v>289</v>
      </c>
      <c r="T50" s="659" t="s">
        <v>286</v>
      </c>
      <c r="U50" s="659" t="s">
        <v>286</v>
      </c>
      <c r="V50" s="659" t="s">
        <v>286</v>
      </c>
      <c r="W50" s="120"/>
      <c r="X50" s="658" t="s">
        <v>285</v>
      </c>
      <c r="Y50" s="120"/>
      <c r="Z50" s="120"/>
      <c r="AA50" s="120"/>
      <c r="AB50" s="120"/>
      <c r="AC50" s="120"/>
    </row>
    <row r="51" spans="1:29" ht="37.5" customHeight="1" x14ac:dyDescent="0.35">
      <c r="B51" s="1157"/>
      <c r="D51" s="654" t="s">
        <v>189</v>
      </c>
      <c r="E51" s="656"/>
      <c r="F51" s="656"/>
      <c r="G51" s="656"/>
      <c r="H51" s="656"/>
      <c r="I51" s="656"/>
      <c r="J51" s="656"/>
      <c r="K51" s="656"/>
      <c r="L51" s="656"/>
      <c r="M51" s="656"/>
      <c r="P51" s="117"/>
      <c r="Q51" s="1157"/>
      <c r="S51" s="654" t="s">
        <v>189</v>
      </c>
      <c r="T51" s="120"/>
      <c r="U51" s="120"/>
      <c r="V51" s="120"/>
      <c r="W51" s="120"/>
      <c r="X51" s="120"/>
      <c r="Y51" s="120"/>
      <c r="Z51" s="120"/>
      <c r="AA51" s="120"/>
      <c r="AB51" s="120"/>
      <c r="AC51" s="120"/>
    </row>
    <row r="52" spans="1:29" ht="37.5" customHeight="1" x14ac:dyDescent="0.35">
      <c r="B52" s="1157"/>
      <c r="D52" s="654" t="s">
        <v>190</v>
      </c>
      <c r="E52" s="656"/>
      <c r="F52" s="656"/>
      <c r="G52" s="656"/>
      <c r="H52" s="656"/>
      <c r="I52" s="656"/>
      <c r="J52" s="656"/>
      <c r="K52" s="656"/>
      <c r="L52" s="656"/>
      <c r="M52" s="656"/>
      <c r="P52" s="117"/>
      <c r="Q52" s="1157"/>
      <c r="S52" s="654" t="s">
        <v>190</v>
      </c>
      <c r="T52" s="120"/>
      <c r="U52" s="120"/>
      <c r="V52" s="120"/>
      <c r="W52" s="120"/>
      <c r="X52" s="120"/>
      <c r="Y52" s="120"/>
      <c r="Z52" s="120"/>
      <c r="AA52" s="120"/>
      <c r="AB52" s="120"/>
      <c r="AC52" s="120"/>
    </row>
    <row r="53" spans="1:29" ht="37.5" customHeight="1" x14ac:dyDescent="0.35">
      <c r="B53" s="1157"/>
      <c r="D53" s="656" t="s">
        <v>283</v>
      </c>
      <c r="E53" s="656"/>
      <c r="F53" s="656"/>
      <c r="G53" s="656"/>
      <c r="H53" s="656"/>
      <c r="I53" s="656"/>
      <c r="J53" s="656"/>
      <c r="K53" s="656"/>
      <c r="L53" s="656"/>
      <c r="M53" s="656"/>
      <c r="P53" s="117"/>
      <c r="Q53" s="1157"/>
      <c r="S53" s="656" t="s">
        <v>283</v>
      </c>
      <c r="T53" s="120"/>
      <c r="U53" s="120"/>
      <c r="V53" s="120"/>
      <c r="W53" s="120"/>
      <c r="X53" s="120"/>
      <c r="Y53" s="120"/>
      <c r="Z53" s="120"/>
      <c r="AA53" s="120"/>
      <c r="AB53" s="120"/>
      <c r="AC53" s="120"/>
    </row>
    <row r="54" spans="1:29" ht="37.5" customHeight="1" x14ac:dyDescent="0.35">
      <c r="B54" s="1157"/>
      <c r="D54" s="654" t="s">
        <v>191</v>
      </c>
      <c r="E54" s="656"/>
      <c r="F54" s="656"/>
      <c r="G54" s="656"/>
      <c r="H54" s="656"/>
      <c r="I54" s="656"/>
      <c r="J54" s="656"/>
      <c r="K54" s="656"/>
      <c r="L54" s="656"/>
      <c r="M54" s="656"/>
      <c r="P54" s="117"/>
      <c r="Q54" s="1157"/>
      <c r="S54" s="654" t="s">
        <v>191</v>
      </c>
      <c r="T54" s="120"/>
      <c r="U54" s="120"/>
      <c r="V54" s="120"/>
      <c r="W54" s="120"/>
      <c r="X54" s="120"/>
      <c r="Y54" s="120"/>
      <c r="Z54" s="120"/>
      <c r="AA54" s="120"/>
      <c r="AB54" s="120"/>
      <c r="AC54" s="120"/>
    </row>
    <row r="55" spans="1:29" ht="27.95" customHeight="1" x14ac:dyDescent="0.35">
      <c r="P55" s="117"/>
      <c r="Q55" s="1157"/>
      <c r="S55" s="253" t="s">
        <v>735</v>
      </c>
      <c r="T55" s="659" t="s">
        <v>286</v>
      </c>
      <c r="U55" s="659" t="s">
        <v>286</v>
      </c>
      <c r="V55" s="660">
        <f>-('A.1. Conso_bâtiment_EF H1'!Q123*'D.1. Facteur d''émissions'!C15-'A.1. Conso_bâtiment_EF H1'!O106*'D.1. Facteur d''émissions'!C8)/('A.1. Conso_bâtiment_EF H1'!Q123*'D.1. Facteur d''émissions'!C15)</f>
        <v>5.9221459911993248</v>
      </c>
      <c r="W55" s="120"/>
      <c r="X55" s="660">
        <f>-('A.1. Conso_bâtiment_EF H1'!Q123*'D.1. Facteur d''émissions'!C15-'A.1. Conso_bâtiment_EF H1'!O108*'D.1. Facteur d''émissions'!C8)/('A.1. Conso_bâtiment_EF H1'!Q123*'D.1. Facteur d''émissions'!C15)</f>
        <v>4.7887814340890857</v>
      </c>
      <c r="Y55" s="656"/>
      <c r="Z55" s="120"/>
      <c r="AA55" s="120"/>
      <c r="AB55" s="120"/>
      <c r="AC55" s="120"/>
    </row>
    <row r="56" spans="1:29" ht="14.45" customHeight="1" x14ac:dyDescent="0.35">
      <c r="P56" s="117"/>
      <c r="S56" s="655"/>
    </row>
    <row r="57" spans="1:29" ht="14.45" customHeight="1" x14ac:dyDescent="0.35">
      <c r="P57" s="117"/>
      <c r="S57" s="655"/>
    </row>
    <row r="58" spans="1:29" ht="14.45" customHeight="1" x14ac:dyDescent="0.35">
      <c r="P58" s="117"/>
      <c r="S58" s="655"/>
    </row>
    <row r="59" spans="1:29" ht="14.45" customHeight="1" x14ac:dyDescent="0.25">
      <c r="P59" s="117"/>
    </row>
    <row r="60" spans="1:29" ht="26.25" x14ac:dyDescent="0.4">
      <c r="D60" s="653" t="s">
        <v>170</v>
      </c>
      <c r="P60" s="117"/>
      <c r="S60" s="653" t="s">
        <v>170</v>
      </c>
    </row>
    <row r="61" spans="1:29" ht="14.45" customHeight="1" x14ac:dyDescent="0.25">
      <c r="D61" s="118"/>
      <c r="P61" s="117"/>
      <c r="S61" s="118"/>
    </row>
    <row r="62" spans="1:29" ht="14.45" customHeight="1" x14ac:dyDescent="0.3">
      <c r="E62" s="1154" t="s">
        <v>280</v>
      </c>
      <c r="F62" s="1154"/>
      <c r="G62" s="1154"/>
      <c r="H62" s="1154"/>
      <c r="I62" s="1154"/>
      <c r="J62" s="1154"/>
      <c r="K62" s="1154"/>
      <c r="L62" s="1154"/>
      <c r="M62" s="1154"/>
      <c r="N62" s="195"/>
      <c r="O62" s="195"/>
      <c r="P62" s="119"/>
      <c r="T62" s="1154" t="s">
        <v>280</v>
      </c>
      <c r="U62" s="1154"/>
      <c r="V62" s="1154"/>
      <c r="W62" s="1154"/>
      <c r="X62" s="1154"/>
      <c r="Y62" s="1154"/>
      <c r="Z62" s="1154"/>
      <c r="AA62" s="1154"/>
      <c r="AB62" s="1154"/>
      <c r="AC62" s="1086"/>
    </row>
    <row r="63" spans="1:29" ht="14.45" customHeight="1" x14ac:dyDescent="0.25">
      <c r="P63" s="117"/>
    </row>
    <row r="64" spans="1:29" ht="75" x14ac:dyDescent="0.25">
      <c r="A64" s="105"/>
      <c r="B64" s="105"/>
      <c r="C64" s="105"/>
      <c r="D64" s="105"/>
      <c r="E64" s="111" t="s">
        <v>182</v>
      </c>
      <c r="F64" s="111" t="s">
        <v>185</v>
      </c>
      <c r="G64" s="111" t="s">
        <v>186</v>
      </c>
      <c r="H64" s="111" t="s">
        <v>187</v>
      </c>
      <c r="I64" s="112" t="s">
        <v>282</v>
      </c>
      <c r="J64" s="111" t="s">
        <v>189</v>
      </c>
      <c r="K64" s="111" t="s">
        <v>190</v>
      </c>
      <c r="L64" s="832" t="s">
        <v>283</v>
      </c>
      <c r="M64" s="111" t="s">
        <v>191</v>
      </c>
      <c r="N64" s="196"/>
      <c r="O64" s="196"/>
      <c r="P64" s="116"/>
      <c r="Q64" s="105"/>
      <c r="R64" s="105"/>
      <c r="S64" s="105"/>
      <c r="T64" s="111" t="s">
        <v>182</v>
      </c>
      <c r="U64" s="111" t="s">
        <v>185</v>
      </c>
      <c r="V64" s="111" t="s">
        <v>186</v>
      </c>
      <c r="W64" s="111" t="s">
        <v>187</v>
      </c>
      <c r="X64" s="112" t="s">
        <v>282</v>
      </c>
      <c r="Y64" s="111" t="s">
        <v>189</v>
      </c>
      <c r="Z64" s="111" t="s">
        <v>190</v>
      </c>
      <c r="AA64" s="832" t="s">
        <v>283</v>
      </c>
      <c r="AB64" s="111" t="s">
        <v>191</v>
      </c>
      <c r="AC64" s="111"/>
    </row>
    <row r="65" spans="2:29" ht="32.450000000000003" customHeight="1" x14ac:dyDescent="0.35">
      <c r="B65" s="1157" t="s">
        <v>284</v>
      </c>
      <c r="D65" s="258" t="s">
        <v>182</v>
      </c>
      <c r="E65" s="658" t="s">
        <v>285</v>
      </c>
      <c r="F65" s="107">
        <f>('A.1. Conso_bâtiment_EF H1'!T104)/('A.1. Conso_bâtiment_EF H1'!T103)-1</f>
        <v>-5.0070816011293928E-2</v>
      </c>
      <c r="G65" s="107">
        <f>('A.1. Conso_bâtiment_EF H1'!T106)/('A.1. Conso_bâtiment_EF H1'!T103)-1</f>
        <v>-0.23332615242172428</v>
      </c>
      <c r="H65" s="107">
        <f>('A.1. Conso_bâtiment_EF H1'!U107+('A.1. Conso_bâtiment_EF H1'!V107*'D.1. Facteur d''émissions'!C47))/('A.1. Conso_bâtiment_EF H1'!T103)-1</f>
        <v>-0.30726173506103016</v>
      </c>
      <c r="I65" s="656"/>
      <c r="J65" s="107">
        <f>('A.1. Conso_bâtiment_EF H1'!T109)/('A.1. Conso_bâtiment_EF H1'!T103)-1</f>
        <v>-0.44628296153017588</v>
      </c>
      <c r="K65" s="107">
        <f>('A.1. Conso_bâtiment_EF H1'!U110+'A.1. Conso_bâtiment_EF H1'!V110*'D.1. Facteur d''émissions'!C47)/('A.1. Conso_bâtiment_EF H1'!T103)-1</f>
        <v>-0.50005729450751946</v>
      </c>
      <c r="L65" s="652"/>
      <c r="M65" s="107">
        <f>('A.1. Conso_bâtiment_EF H1'!T111)/('A.1. Conso_bâtiment_EF H1'!T103)-1</f>
        <v>-0.30574182636555725</v>
      </c>
      <c r="N65" s="191"/>
      <c r="O65" s="191"/>
      <c r="P65" s="117"/>
      <c r="Q65" s="1157" t="s">
        <v>284</v>
      </c>
      <c r="S65" s="258" t="s">
        <v>182</v>
      </c>
      <c r="T65" s="658" t="s">
        <v>285</v>
      </c>
      <c r="U65" s="107">
        <f>F65</f>
        <v>-5.0070816011293928E-2</v>
      </c>
      <c r="V65" s="107">
        <f>G65</f>
        <v>-0.23332615242172428</v>
      </c>
      <c r="W65" s="107">
        <f>-(('A.1. Conso_bâtiment_EF H1'!U103*'D.1. Facteur d''émissions'!C8)-(('A.1. Conso_bâtiment_EF H1'!V107*'D.1. Facteur d''émissions'!C15)+('A.1. Conso_bâtiment_EF H1'!U107*'D.1. Facteur d''émissions'!C8)))/('A.1. Conso_bâtiment_EF H1'!U103*'D.1. Facteur d''émissions'!C8)</f>
        <v>-0.8143807928942306</v>
      </c>
      <c r="X65" s="656"/>
      <c r="Y65" s="107">
        <f>J65</f>
        <v>-0.44628296153017588</v>
      </c>
      <c r="Z65" s="107">
        <f>-(('A.1. Conso_bâtiment_EF H1'!U103*'D.1. Facteur d''émissions'!C8)-(('A.1. Conso_bâtiment_EF H1'!V110*'D.1. Facteur d''émissions'!C15)+('A.1. Conso_bâtiment_EF H1'!U110*'D.1. Facteur d''émissions'!C8)))/('A.1. Conso_bâtiment_EF H1'!U103*'D.1. Facteur d''émissions'!C8)</f>
        <v>-0.83472305676160619</v>
      </c>
      <c r="AA65" s="652"/>
      <c r="AB65" s="107">
        <f>M65</f>
        <v>-0.30574182636555725</v>
      </c>
      <c r="AC65" s="107"/>
    </row>
    <row r="66" spans="2:29" ht="32.450000000000003" customHeight="1" x14ac:dyDescent="0.35">
      <c r="B66" s="1157"/>
      <c r="D66" s="258" t="s">
        <v>185</v>
      </c>
      <c r="E66" s="659" t="s">
        <v>286</v>
      </c>
      <c r="F66" s="658" t="s">
        <v>285</v>
      </c>
      <c r="G66" s="107">
        <f>('A.1. Conso_bâtiment_EF H1'!T106)/('A.1. Conso_bâtiment_EF H1'!T104)-1</f>
        <v>-0.19291473459205677</v>
      </c>
      <c r="H66" s="107">
        <f>('A.1. Conso_bâtiment_EF H1'!U107+'A.1. Conso_bâtiment_EF H1'!V107*'D.1. Facteur d''émissions'!C47)/('A.1. Conso_bâtiment_EF H1'!T104)-1</f>
        <v>-0.2707474655845441</v>
      </c>
      <c r="I66" s="656"/>
      <c r="J66" s="107">
        <f>('A.1. Conso_bâtiment_EF H1'!T109)/('A.1. Conso_bâtiment_EF H1'!T104)-1</f>
        <v>-0.41709650803147935</v>
      </c>
      <c r="K66" s="107">
        <f>('A.1. Conso_bâtiment_EF H1'!U110+'A.1. Conso_bâtiment_EF H1'!V110*'D.1. Facteur d''émissions'!C47)/('A.1. Conso_bâtiment_EF H1'!T104)-1</f>
        <v>-0.47370528885822238</v>
      </c>
      <c r="L66" s="652"/>
      <c r="M66" s="107">
        <f>('A.1. Conso_bâtiment_EF H1'!T111)/('A.1. Conso_bâtiment_EF H1'!T104)-1</f>
        <v>-0.26914744242377453</v>
      </c>
      <c r="N66" s="191"/>
      <c r="O66" s="191"/>
      <c r="P66" s="117"/>
      <c r="Q66" s="1157"/>
      <c r="S66" s="258" t="s">
        <v>185</v>
      </c>
      <c r="T66" s="659" t="s">
        <v>286</v>
      </c>
      <c r="U66" s="658" t="s">
        <v>285</v>
      </c>
      <c r="V66" s="107">
        <f>G66</f>
        <v>-0.19291473459205677</v>
      </c>
      <c r="W66" s="107">
        <f>-(('A.1. Conso_bâtiment_EF H1'!U104*'D.1. Facteur d''émissions'!C8)-(('A.1. Conso_bâtiment_EF H1'!V107*'D.1. Facteur d''émissions'!C15)+('A.1. Conso_bâtiment_EF H1'!U107*'D.1. Facteur d''émissions'!C8)))/('A.1. Conso_bâtiment_EF H1'!U104*'D.1. Facteur d''émissions'!C8)</f>
        <v>-0.80459679496700642</v>
      </c>
      <c r="X66" s="656"/>
      <c r="Y66" s="107">
        <f>J66</f>
        <v>-0.41709650803147935</v>
      </c>
      <c r="Z66" s="107">
        <f>-(('A.1. Conso_bâtiment_EF H1'!U104*'D.1. Facteur d''émissions'!C8)-(('A.1. Conso_bâtiment_EF H1'!V110*'D.1. Facteur d''émissions'!C15)+('A.1. Conso_bâtiment_EF H1'!U110*'D.1. Facteur d''émissions'!C8)))/('A.1. Conso_bâtiment_EF H1'!U104*'D.1. Facteur d''émissions'!C8)</f>
        <v>-0.82601130060621575</v>
      </c>
      <c r="AA66" s="652"/>
      <c r="AB66" s="107"/>
      <c r="AC66" s="107"/>
    </row>
    <row r="67" spans="2:29" ht="32.450000000000003" customHeight="1" x14ac:dyDescent="0.35">
      <c r="B67" s="1157"/>
      <c r="D67" s="258" t="s">
        <v>186</v>
      </c>
      <c r="E67" s="659" t="s">
        <v>286</v>
      </c>
      <c r="F67" s="659" t="s">
        <v>286</v>
      </c>
      <c r="G67" s="658" t="s">
        <v>285</v>
      </c>
      <c r="H67" s="107">
        <f>('A.1. Conso_bâtiment_EF H1'!U107+'A.1. Conso_bâtiment_EF H1'!V107*'D.1. Facteur d''émissions'!C47)/('A.1. Conso_bâtiment_EF H1'!T106)-1</f>
        <v>-9.6436813219662132E-2</v>
      </c>
      <c r="I67" s="656"/>
      <c r="J67" s="107">
        <f>('A.1. Conso_bâtiment_EF H1'!T109)/('A.1. Conso_bâtiment_EF H1'!T106)-1</f>
        <v>-0.27776714933100577</v>
      </c>
      <c r="K67" s="107">
        <f>('A.1. Conso_bâtiment_EF H1'!U110+'A.1. Conso_bâtiment_EF H1'!V110*'D.1. Facteur d''émissions'!C47)/('A.1. Conso_bâtiment_EF H1'!T106)-1</f>
        <v>-0.34790692669161705</v>
      </c>
      <c r="L67" s="652"/>
      <c r="M67" s="107">
        <f>('A.1. Conso_bâtiment_EF H1'!T111)/('A.1. Conso_bâtiment_EF H1'!T106)-1</f>
        <v>-9.4454342185500972E-2</v>
      </c>
      <c r="N67" s="191"/>
      <c r="O67" s="191"/>
      <c r="P67" s="117"/>
      <c r="Q67" s="1157"/>
      <c r="S67" s="258" t="s">
        <v>186</v>
      </c>
      <c r="T67" s="659" t="s">
        <v>286</v>
      </c>
      <c r="U67" s="659" t="s">
        <v>286</v>
      </c>
      <c r="V67" s="658" t="s">
        <v>285</v>
      </c>
      <c r="W67" s="107">
        <f>-(('A.1. Conso_bâtiment_EF H1'!U106*'D.1. Facteur d''émissions'!C8)-(('A.1. Conso_bâtiment_EF H1'!V107*'D.1. Facteur d''émissions'!C15)+('A.1. Conso_bâtiment_EF H1'!U107*'D.1. Facteur d''émissions'!C8)))/('A.1. Conso_bâtiment_EF H1'!U106*'D.1. Facteur d''émissions'!C8)</f>
        <v>-0.75789025842984947</v>
      </c>
      <c r="X67" s="656"/>
      <c r="Y67" s="107">
        <f>J67</f>
        <v>-0.27776714933100577</v>
      </c>
      <c r="Z67" s="107">
        <f>-(('A.1. Conso_bâtiment_EF H1'!U106*'D.1. Facteur d''émissions'!C8)-(('A.1. Conso_bâtiment_EF H1'!V110*'D.1. Facteur d''émissions'!C15)+('A.1. Conso_bâtiment_EF H1'!U110*'D.1. Facteur d''émissions'!C8)))/('A.1. Conso_bâtiment_EF H1'!U106*'D.1. Facteur d''émissions'!C8)</f>
        <v>-0.78442339756278268</v>
      </c>
      <c r="AA67" s="652"/>
      <c r="AB67" s="107">
        <f>M67</f>
        <v>-9.4454342185500972E-2</v>
      </c>
      <c r="AC67" s="107"/>
    </row>
    <row r="68" spans="2:29" ht="32.450000000000003" customHeight="1" x14ac:dyDescent="0.35">
      <c r="B68" s="1157"/>
      <c r="D68" s="258" t="s">
        <v>288</v>
      </c>
      <c r="E68" s="659" t="s">
        <v>286</v>
      </c>
      <c r="F68" s="659" t="s">
        <v>286</v>
      </c>
      <c r="G68" s="659" t="s">
        <v>286</v>
      </c>
      <c r="H68" s="658" t="s">
        <v>285</v>
      </c>
      <c r="I68" s="656"/>
      <c r="J68" s="659" t="s">
        <v>286</v>
      </c>
      <c r="K68" s="107">
        <f>('A.1. Conso_bâtiment_EF H1'!U110+'A.1. Conso_bâtiment_EF H1'!V110*'D.1. Facteur d''émissions'!C47)/('A.1. Conso_bâtiment_EF H1'!U107+'A.1. Conso_bâtiment_EF H1'!V107*'D.1. Facteur d''émissions'!C47)-1</f>
        <v>-0.2783093835064453</v>
      </c>
      <c r="L68" s="671"/>
      <c r="M68" s="659" t="s">
        <v>286</v>
      </c>
      <c r="N68" s="192"/>
      <c r="O68" s="192"/>
      <c r="P68" s="117"/>
      <c r="Q68" s="1157"/>
      <c r="S68" s="258" t="s">
        <v>187</v>
      </c>
      <c r="T68" s="659" t="s">
        <v>286</v>
      </c>
      <c r="U68" s="659" t="s">
        <v>286</v>
      </c>
      <c r="V68" s="659" t="s">
        <v>286</v>
      </c>
      <c r="W68" s="658" t="s">
        <v>285</v>
      </c>
      <c r="X68" s="656"/>
      <c r="Y68" s="659" t="s">
        <v>286</v>
      </c>
      <c r="Z68" s="107">
        <f>-((('A.1. Conso_bâtiment_EF H1'!V107*'D.1. Facteur d''émissions'!C15)+('A.1. Conso_bâtiment_EF H1'!U107*'D.1. Facteur d''émissions'!C8))-(('A.1. Conso_bâtiment_EF H1'!V110*'D.1. Facteur d''émissions'!C15)+('A.1. Conso_bâtiment_EF H1'!U110*'D.1. Facteur d''émissions'!C8)))/(('A.1. Conso_bâtiment_EF H1'!V107*'D.1. Facteur d''émissions'!C15)+('A.1. Conso_bâtiment_EF H1'!U107*'D.1. Facteur d''émissions'!C8))</f>
        <v>-0.10959137356827642</v>
      </c>
      <c r="AA68" s="671"/>
      <c r="AB68" s="659" t="s">
        <v>286</v>
      </c>
      <c r="AC68" s="659"/>
    </row>
    <row r="69" spans="2:29" ht="32.450000000000003" customHeight="1" x14ac:dyDescent="0.35">
      <c r="B69" s="1157"/>
      <c r="D69" s="654" t="s">
        <v>289</v>
      </c>
      <c r="E69" s="656"/>
      <c r="F69" s="656"/>
      <c r="G69" s="656"/>
      <c r="H69" s="656"/>
      <c r="I69" s="656"/>
      <c r="J69" s="656"/>
      <c r="K69" s="656"/>
      <c r="L69" s="253"/>
      <c r="M69" s="656"/>
      <c r="N69" s="192"/>
      <c r="O69" s="192"/>
      <c r="P69" s="117"/>
      <c r="Q69" s="1157"/>
      <c r="S69" s="654" t="s">
        <v>289</v>
      </c>
      <c r="T69" s="656"/>
      <c r="U69" s="656"/>
      <c r="V69" s="656"/>
      <c r="W69" s="656"/>
      <c r="X69" s="656"/>
      <c r="Y69" s="656"/>
      <c r="Z69" s="656"/>
      <c r="AA69" s="656"/>
      <c r="AB69" s="656"/>
      <c r="AC69" s="656"/>
    </row>
    <row r="70" spans="2:29" ht="32.450000000000003" customHeight="1" x14ac:dyDescent="0.35">
      <c r="B70" s="1157"/>
      <c r="D70" s="258" t="s">
        <v>189</v>
      </c>
      <c r="E70" s="659" t="s">
        <v>286</v>
      </c>
      <c r="F70" s="659" t="s">
        <v>286</v>
      </c>
      <c r="G70" s="659" t="s">
        <v>286</v>
      </c>
      <c r="H70" s="553">
        <f>('A.1. Conso_bâtiment_EF H1'!U107+'A.1. Conso_bâtiment_EF H1'!V107*'D.1. Facteur d''émissions'!C47)/('A.1. Conso_bâtiment_EF H1'!T109)-1</f>
        <v>0.25106907826662805</v>
      </c>
      <c r="I70" s="656"/>
      <c r="J70" s="658" t="s">
        <v>285</v>
      </c>
      <c r="K70" s="107">
        <f>('A.1. Conso_bâtiment_EF H1'!U110+'A.1. Conso_bâtiment_EF H1'!V110*'D.1. Facteur d''émissions'!C47)/('A.1. Conso_bâtiment_EF H1'!T109)-1</f>
        <v>-9.711518562973398E-2</v>
      </c>
      <c r="L70" s="658"/>
      <c r="M70" s="659" t="s">
        <v>286</v>
      </c>
      <c r="N70" s="1155" t="s">
        <v>290</v>
      </c>
      <c r="O70" s="1156"/>
      <c r="P70" s="117"/>
      <c r="Q70" s="1157"/>
      <c r="S70" s="258" t="s">
        <v>189</v>
      </c>
      <c r="T70" s="659" t="s">
        <v>286</v>
      </c>
      <c r="U70" s="659" t="s">
        <v>286</v>
      </c>
      <c r="V70" s="659" t="s">
        <v>286</v>
      </c>
      <c r="W70" s="107">
        <f>-(('A.1. Conso_bâtiment_EF H1'!U109*'D.1. Facteur d''émissions'!C8)-(('A.1. Conso_bâtiment_EF H1'!V107*'D.1. Facteur d''émissions'!C15)+('A.1. Conso_bâtiment_EF H1'!U107*'D.1. Facteur d''émissions'!C8)))/('A.1. Conso_bâtiment_EF H1'!U109*'D.1. Facteur d''émissions'!C8)</f>
        <v>-0.66477606031643721</v>
      </c>
      <c r="X70" s="656"/>
      <c r="Y70" s="658" t="s">
        <v>285</v>
      </c>
      <c r="Z70" s="107">
        <f>-(('A.1. Conso_bâtiment_EF H1'!U109*'D.1. Facteur d''émissions'!C8)-(('A.1. Conso_bâtiment_EF H1'!V110*'D.1. Facteur d''émissions'!C15)+('A.1. Conso_bâtiment_EF H1'!U110*'D.1. Facteur d''émissions'!C8)))/('A.1. Conso_bâtiment_EF H1'!U109*'D.1. Facteur d''émissions'!C8)</f>
        <v>-0.70151371231932791</v>
      </c>
      <c r="AA70" s="658"/>
      <c r="AB70" s="659" t="s">
        <v>286</v>
      </c>
      <c r="AC70" s="659"/>
    </row>
    <row r="71" spans="2:29" ht="32.450000000000003" customHeight="1" x14ac:dyDescent="0.35">
      <c r="B71" s="1157"/>
      <c r="D71" s="258" t="s">
        <v>190</v>
      </c>
      <c r="E71" s="659" t="s">
        <v>286</v>
      </c>
      <c r="F71" s="659" t="s">
        <v>286</v>
      </c>
      <c r="G71" s="659" t="s">
        <v>286</v>
      </c>
      <c r="H71" s="659" t="s">
        <v>286</v>
      </c>
      <c r="I71" s="656"/>
      <c r="J71" s="553">
        <f>('A.1. Conso_bâtiment_EF H1'!T109*'D.1. Facteur d''émissions'!C37)/('A.1. Conso_bâtiment_EF H1'!U110*'D.1. Facteur d''émissions'!C37+'A.1. Conso_bâtiment_EF H1'!V110*2.3)-1</f>
        <v>0.19706516544944463</v>
      </c>
      <c r="K71" s="658" t="s">
        <v>285</v>
      </c>
      <c r="L71" s="658"/>
      <c r="M71" s="671"/>
      <c r="N71" s="1155"/>
      <c r="O71" s="1156"/>
      <c r="P71" s="117"/>
      <c r="Q71" s="1157"/>
      <c r="S71" s="258" t="s">
        <v>190</v>
      </c>
      <c r="T71" s="659" t="s">
        <v>286</v>
      </c>
      <c r="U71" s="659" t="s">
        <v>286</v>
      </c>
      <c r="V71" s="659" t="s">
        <v>286</v>
      </c>
      <c r="W71" s="659" t="s">
        <v>286</v>
      </c>
      <c r="X71" s="656"/>
      <c r="Y71" s="659" t="s">
        <v>286</v>
      </c>
      <c r="Z71" s="658" t="s">
        <v>285</v>
      </c>
      <c r="AA71" s="658"/>
      <c r="AB71" s="671"/>
      <c r="AC71" s="671"/>
    </row>
    <row r="72" spans="2:29" ht="32.450000000000003" customHeight="1" x14ac:dyDescent="0.35">
      <c r="B72" s="1157"/>
      <c r="D72" s="258" t="s">
        <v>283</v>
      </c>
      <c r="E72" s="659" t="s">
        <v>286</v>
      </c>
      <c r="F72" s="659" t="s">
        <v>286</v>
      </c>
      <c r="G72" s="659" t="s">
        <v>286</v>
      </c>
      <c r="H72" s="652"/>
      <c r="I72" s="656"/>
      <c r="J72" s="658"/>
      <c r="K72" s="658"/>
      <c r="L72" s="658" t="s">
        <v>285</v>
      </c>
      <c r="M72" s="671"/>
      <c r="N72" s="1155"/>
      <c r="O72" s="1156"/>
      <c r="P72" s="117"/>
      <c r="Q72" s="1157"/>
      <c r="S72" s="672" t="s">
        <v>283</v>
      </c>
      <c r="T72" s="659" t="s">
        <v>286</v>
      </c>
      <c r="U72" s="659" t="s">
        <v>286</v>
      </c>
      <c r="V72" s="659" t="s">
        <v>286</v>
      </c>
      <c r="W72" s="652"/>
      <c r="X72" s="656"/>
      <c r="Y72" s="658"/>
      <c r="Z72" s="658"/>
      <c r="AA72" s="658" t="s">
        <v>285</v>
      </c>
      <c r="AB72" s="671"/>
      <c r="AC72" s="671"/>
    </row>
    <row r="73" spans="2:29" ht="32.450000000000003" customHeight="1" x14ac:dyDescent="0.35">
      <c r="B73" s="1157"/>
      <c r="D73" s="258" t="s">
        <v>191</v>
      </c>
      <c r="E73" s="659" t="s">
        <v>286</v>
      </c>
      <c r="F73" s="659" t="s">
        <v>286</v>
      </c>
      <c r="G73" s="659" t="s">
        <v>286</v>
      </c>
      <c r="H73" s="107">
        <f>('A.1. Conso_bâtiment_EF H1'!U107+'A.1. Conso_bâtiment_EF H1'!V107*'D.1. Facteur d''émissions'!C47)/('A.1. Conso_bâtiment_EF H1'!T111)-1</f>
        <v>-2.1892557454760153E-3</v>
      </c>
      <c r="I73" s="656"/>
      <c r="J73" s="107">
        <f>('A.1. Conso_bâtiment_EF H1'!T109)/('A.1. Conso_bâtiment_EF H1'!T111)-1</f>
        <v>-0.20243353337690717</v>
      </c>
      <c r="K73" s="107">
        <f>('A.1. Conso_bâtiment_EF H1'!U110+'A.1. Conso_bâtiment_EF H1'!V110*'D.1. Facteur d''émissions'!C47)/('A.1. Conso_bâtiment_EF H1'!T111)-1</f>
        <v>-0.27988934883505989</v>
      </c>
      <c r="L73" s="652"/>
      <c r="M73" s="658" t="s">
        <v>285</v>
      </c>
      <c r="N73" s="1155"/>
      <c r="O73" s="1156"/>
      <c r="P73" s="117"/>
      <c r="Q73" s="1157"/>
      <c r="S73" s="258" t="s">
        <v>191</v>
      </c>
      <c r="T73" s="659" t="s">
        <v>286</v>
      </c>
      <c r="U73" s="659" t="s">
        <v>286</v>
      </c>
      <c r="V73" s="659" t="s">
        <v>286</v>
      </c>
      <c r="W73" s="107">
        <f>-(('A.1. Conso_bâtiment_EF H1'!U111*'D.1. Facteur d''émissions'!C8)-(('A.1. Conso_bâtiment_EF H1'!V107*'D.1. Facteur d''émissions'!C15)+('A.1. Conso_bâtiment_EF H1'!U107*'D.1. Facteur d''émissions'!C8)))/('A.1. Conso_bâtiment_EF H1'!U111*'D.1. Facteur d''émissions'!C8)</f>
        <v>-0.73263662689910802</v>
      </c>
      <c r="X73" s="656"/>
      <c r="Y73" s="107">
        <f>J73</f>
        <v>-0.20243353337690717</v>
      </c>
      <c r="Z73" s="107">
        <f>-(('A.1. Conso_bâtiment_EF H1'!U111*'D.1. Facteur d''émissions'!C8)-(('A.1. Conso_bâtiment_EF H1'!V110*'D.1. Facteur d''émissions'!C15)+('A.1. Conso_bâtiment_EF H1'!U110*'D.1. Facteur d''émissions'!C8)))/('A.1. Conso_bâtiment_EF H1'!U111*'D.1. Facteur d''émissions'!C8)</f>
        <v>-0.76193734619908238</v>
      </c>
      <c r="AA73" s="652"/>
      <c r="AB73" s="658" t="s">
        <v>285</v>
      </c>
      <c r="AC73" s="658"/>
    </row>
    <row r="74" spans="2:29" ht="36.6" customHeight="1" x14ac:dyDescent="0.35">
      <c r="B74" s="1157"/>
      <c r="D74" s="253" t="s">
        <v>196</v>
      </c>
      <c r="E74" s="659" t="s">
        <v>286</v>
      </c>
      <c r="F74" s="659" t="s">
        <v>286</v>
      </c>
      <c r="G74" s="107">
        <f>('A.1. Conso_bâtiment_EF H1'!T106)/('A.1. Conso_bâtiment_EF H1'!W116)-1</f>
        <v>-0.24912350007407036</v>
      </c>
      <c r="H74" s="107">
        <f>('A.1. Conso_bâtiment_EF H1'!U107+('A.1. Conso_bâtiment_EF H1'!V107*'D.1. Facteur d''émissions'!C47))/('A.1. Conso_bâtiment_EF H1'!W116)-1</f>
        <v>-0.32153563684846098</v>
      </c>
      <c r="I74" s="656"/>
      <c r="J74" s="107">
        <f>('A.1. Conso_bâtiment_EF H1'!T109)/('A.1. Conso_bâtiment_EF H1'!W116)-1</f>
        <v>-0.45769232495813905</v>
      </c>
      <c r="K74" s="107">
        <f>('A.1. Conso_bâtiment_EF H1'!U110+'A.1. Conso_bâtiment_EF H1'!V110*'D.1. Facteur d''émissions'!C47)/('A.1. Conso_bâtiment_EF H1'!W116)-1</f>
        <v>-0.51035863548825877</v>
      </c>
      <c r="L74" s="699"/>
      <c r="M74" s="107">
        <f>('A.1. Conso_bâtiment_EF H1'!T111)/('A.1. Conso_bâtiment_EF H1'!W116)-1</f>
        <v>-0.32004704593712541</v>
      </c>
      <c r="P74" s="117"/>
      <c r="Q74" s="1157"/>
      <c r="S74" s="253" t="s">
        <v>196</v>
      </c>
      <c r="T74" s="659" t="s">
        <v>286</v>
      </c>
      <c r="U74" s="659" t="s">
        <v>286</v>
      </c>
      <c r="V74" s="107">
        <f>-('A.1. Conso_bâtiment_EF H1'!W116*'D.1. Facteur d''émissions'!C7-'A.1. Conso_bâtiment_EF H1'!T106*'D.1. Facteur d''émissions'!C8)/('A.1. Conso_bâtiment_EF H1'!W116*'D.1. Facteur d''émissions'!C7)</f>
        <v>-0.44611270530155189</v>
      </c>
      <c r="W74" s="107">
        <f>-(('A.1. Conso_bâtiment_EF H1'!W116*'D.1. Facteur d''émissions'!C7)-(('A.1. Conso_bâtiment_EF H1'!V107*'D.1. Facteur d''émissions'!C15)+('A.1. Conso_bâtiment_EF H1'!U107*'D.1. Facteur d''émissions'!C8)))/('A.1. Conso_bâtiment_EF H1'!W116*'D.1. Facteur d''émissions'!C7)</f>
        <v>-0.86589849022156884</v>
      </c>
      <c r="X74" s="656"/>
      <c r="Y74" s="107">
        <f>-('A.1. Conso_bâtiment_EF H1'!W116*'D.1. Facteur d''émissions'!C7-'A.1. Conso_bâtiment_EF H1'!T109*'D.1. Facteur d''émissions'!C8)/('A.1. Conso_bâtiment_EF H1'!W116*'D.1. Facteur d''émissions'!C7)</f>
        <v>-0.5999644002006026</v>
      </c>
      <c r="Z74" s="107">
        <f>-(('A.1. Conso_bâtiment_EF H1'!W116*'D.1. Facteur d''émissions'!C7)-(('A.1. Conso_bâtiment_EF H1'!V110*'D.1. Facteur d''émissions'!C15)+('A.1. Conso_bâtiment_EF H1'!U110*'D.1. Facteur d''émissions'!C8)))/('A.1. Conso_bâtiment_EF H1'!W116*'D.1. Facteur d''émissions'!C7)</f>
        <v>-0.88059485887576683</v>
      </c>
      <c r="AA74" s="699"/>
      <c r="AB74" s="699"/>
      <c r="AC74" s="699"/>
    </row>
    <row r="75" spans="2:29" ht="36.6" customHeight="1" x14ac:dyDescent="0.35">
      <c r="B75" s="1157"/>
      <c r="D75" s="253" t="s">
        <v>197</v>
      </c>
      <c r="E75" s="659" t="s">
        <v>286</v>
      </c>
      <c r="F75" s="659" t="s">
        <v>286</v>
      </c>
      <c r="G75" s="107">
        <f>('A.1. Conso_bâtiment_EF H1'!T106)/('A.1. Conso_bâtiment_EF H1'!W117)-1</f>
        <v>-2.1063412635706436E-2</v>
      </c>
      <c r="H75" s="107">
        <f>('A.1. Conso_bâtiment_EF H1'!U107+('A.1. Conso_bâtiment_EF H1'!V107*'D.1. Facteur d''émissions'!C47))/('A.1. Conso_bâtiment_EF H1'!W117)-1</f>
        <v>-0.11546893746525033</v>
      </c>
      <c r="I75" s="656"/>
      <c r="J75" s="107">
        <f>('A.1. Conso_bâtiment_EF H1'!T109)/('A.1. Conso_bâtiment_EF H1'!W117)-1</f>
        <v>-0.2929798378837094</v>
      </c>
      <c r="K75" s="107">
        <f>('A.1. Conso_bâtiment_EF H1'!U110+'A.1. Conso_bâtiment_EF H1'!V110*'D.1. Facteur d''émissions'!C47)/('A.1. Conso_bâtiment_EF H1'!W117)-1</f>
        <v>-0.36164223217159752</v>
      </c>
      <c r="L75" s="699"/>
      <c r="M75" s="107">
        <f>('A.1. Conso_bâtiment_EF H1'!T111)/('A.1. Conso_bâtiment_EF H1'!W117)-1</f>
        <v>-0.11352822403652008</v>
      </c>
      <c r="P75" s="117"/>
      <c r="Q75" s="1157"/>
      <c r="S75" s="253" t="s">
        <v>197</v>
      </c>
      <c r="T75" s="659" t="s">
        <v>286</v>
      </c>
      <c r="U75" s="659" t="s">
        <v>286</v>
      </c>
      <c r="V75" s="107">
        <f>-('A.1. Conso_bâtiment_EF H1'!W117*'D.1. Facteur d''émissions'!C7-'A.1. Conso_bâtiment_EF H1'!T106*'D.1. Facteur d''émissions'!C8)/('A.1. Conso_bâtiment_EF H1'!W117*'D.1. Facteur d''émissions'!C7)</f>
        <v>-0.27788319635782049</v>
      </c>
      <c r="W75" s="107">
        <f>-(('A.1. Conso_bâtiment_EF H1'!W117*'D.1. Facteur d''émissions'!C7)-(('A.1. Conso_bâtiment_EF H1'!V107*'D.1. Facteur d''émissions'!C15)+('A.1. Conso_bâtiment_EF H1'!U107*'D.1. Facteur d''émissions'!C8)))/('A.1. Conso_bâtiment_EF H1'!W117*'D.1. Facteur d''émissions'!C7)</f>
        <v>-0.82516848728672887</v>
      </c>
      <c r="X75" s="656"/>
      <c r="Y75" s="107">
        <f>-('A.1. Conso_bâtiment_EF H1'!W117*'D.1. Facteur d''émissions'!C7-'A.1. Conso_bâtiment_EF H1'!T109*'D.1. Facteur d''émissions'!C8)/('A.1. Conso_bâtiment_EF H1'!W117*'D.1. Facteur d''émissions'!C7)</f>
        <v>-0.47846352238952639</v>
      </c>
      <c r="Z75" s="107">
        <f>-(('A.1. Conso_bâtiment_EF H1'!W117*'D.1. Facteur d''émissions'!C7)-(('A.1. Conso_bâtiment_EF H1'!V110*'D.1. Facteur d''émissions'!C15)+('A.1. Conso_bâtiment_EF H1'!U110*'D.1. Facteur d''émissions'!C8)))/('A.1. Conso_bâtiment_EF H1'!W117*'D.1. Facteur d''émissions'!C7)</f>
        <v>-0.84432851290799582</v>
      </c>
      <c r="AA75" s="699"/>
      <c r="AB75" s="699"/>
      <c r="AC75" s="699"/>
    </row>
    <row r="76" spans="2:29" ht="14.45" customHeight="1" x14ac:dyDescent="0.25">
      <c r="P76" s="117"/>
    </row>
    <row r="77" spans="2:29" ht="14.45" customHeight="1" x14ac:dyDescent="0.25">
      <c r="P77" s="117"/>
    </row>
    <row r="78" spans="2:29" ht="29.45" customHeight="1" x14ac:dyDescent="0.4">
      <c r="D78" s="653" t="s">
        <v>165</v>
      </c>
      <c r="P78" s="117"/>
      <c r="S78" s="653" t="s">
        <v>165</v>
      </c>
    </row>
    <row r="79" spans="2:29" ht="14.45" customHeight="1" x14ac:dyDescent="0.25">
      <c r="D79" s="118"/>
      <c r="P79" s="117"/>
      <c r="S79" s="118"/>
    </row>
    <row r="80" spans="2:29" ht="14.45" customHeight="1" x14ac:dyDescent="0.3">
      <c r="E80" s="1154" t="s">
        <v>280</v>
      </c>
      <c r="F80" s="1154"/>
      <c r="G80" s="1154"/>
      <c r="H80" s="1154"/>
      <c r="I80" s="1154"/>
      <c r="J80" s="1154"/>
      <c r="K80" s="1154"/>
      <c r="L80" s="1154"/>
      <c r="M80" s="1154"/>
      <c r="P80" s="117"/>
      <c r="T80" s="1154" t="s">
        <v>280</v>
      </c>
      <c r="U80" s="1154"/>
      <c r="V80" s="1154"/>
      <c r="W80" s="1154"/>
      <c r="X80" s="1154"/>
      <c r="Y80" s="1154"/>
      <c r="Z80" s="1154"/>
      <c r="AA80" s="1154"/>
      <c r="AB80" s="1154"/>
      <c r="AC80" s="1086"/>
    </row>
    <row r="81" spans="2:29" ht="14.45" customHeight="1" x14ac:dyDescent="0.25">
      <c r="P81" s="117"/>
    </row>
    <row r="82" spans="2:29" ht="68.099999999999994" customHeight="1" x14ac:dyDescent="0.25">
      <c r="B82" s="105"/>
      <c r="C82" s="105"/>
      <c r="D82" s="105"/>
      <c r="E82" s="111" t="s">
        <v>182</v>
      </c>
      <c r="F82" s="111" t="s">
        <v>185</v>
      </c>
      <c r="G82" s="111" t="s">
        <v>186</v>
      </c>
      <c r="H82" s="111" t="s">
        <v>187</v>
      </c>
      <c r="I82" s="111" t="s">
        <v>282</v>
      </c>
      <c r="J82" s="111" t="s">
        <v>189</v>
      </c>
      <c r="K82" s="111" t="s">
        <v>190</v>
      </c>
      <c r="L82" s="832" t="s">
        <v>283</v>
      </c>
      <c r="M82" s="111" t="s">
        <v>191</v>
      </c>
      <c r="P82" s="117"/>
      <c r="Q82" s="105"/>
      <c r="R82" s="105"/>
      <c r="S82" s="105"/>
      <c r="T82" s="111" t="s">
        <v>182</v>
      </c>
      <c r="U82" s="111" t="s">
        <v>185</v>
      </c>
      <c r="V82" s="111" t="s">
        <v>186</v>
      </c>
      <c r="W82" s="111" t="s">
        <v>187</v>
      </c>
      <c r="X82" s="111" t="s">
        <v>282</v>
      </c>
      <c r="Y82" s="111" t="s">
        <v>189</v>
      </c>
      <c r="Z82" s="111" t="s">
        <v>190</v>
      </c>
      <c r="AA82" s="832" t="s">
        <v>283</v>
      </c>
      <c r="AB82" s="111" t="s">
        <v>191</v>
      </c>
      <c r="AC82" s="111"/>
    </row>
    <row r="83" spans="2:29" ht="32.450000000000003" customHeight="1" x14ac:dyDescent="0.35">
      <c r="B83" s="1157" t="s">
        <v>284</v>
      </c>
      <c r="D83" s="258" t="s">
        <v>182</v>
      </c>
      <c r="E83" s="658" t="s">
        <v>285</v>
      </c>
      <c r="F83" s="107">
        <f>('A.1. Conso_bâtiment_EF H1'!Y104)/('A.1. Conso_bâtiment_EF H1'!Y103)-1</f>
        <v>-5.0941942501472881E-2</v>
      </c>
      <c r="G83" s="107">
        <f>('A.1. Conso_bâtiment_EF H1'!Y106)/('A.1. Conso_bâtiment_EF H1'!Y103)-1</f>
        <v>-0.24465829720161747</v>
      </c>
      <c r="H83" s="107">
        <f>(('A.1. Conso_bâtiment_EF H1'!Z107+'A.1. Conso_bâtiment_EF H1'!AA107*'D.1. Facteur d''émissions'!C47)/('A.1. Conso_bâtiment_EF H1'!Y103))-1</f>
        <v>-0.31764990255767223</v>
      </c>
      <c r="I83" s="107">
        <f>('A.1. Conso_bâtiment_EF H1'!Z108*'D.1. Facteur d''émissions'!C37+'A.1. Conso_bâtiment_EF H1'!AA108*2.3)/('A.1. Conso_bâtiment_EF H1'!Y103*'D.1. Facteur d''émissions'!C37)-1</f>
        <v>-0.40382329139807449</v>
      </c>
      <c r="J83" s="107">
        <f>(('A.1. Conso_bâtiment_EF H1'!Y109)/('A.1. Conso_bâtiment_EF H1'!Y103))-1</f>
        <v>-0.45077777609918479</v>
      </c>
      <c r="K83" s="107">
        <f>('A.1. Conso_bâtiment_EF H1'!Z110+'A.1. Conso_bâtiment_EF H1'!AA110*'D.1. Facteur d''émissions'!C47)/('A.1. Conso_bâtiment_EF H1'!Y103)-1</f>
        <v>-0.50579265682675412</v>
      </c>
      <c r="L83" s="652"/>
      <c r="M83" s="107">
        <f>('A.1. Conso_bâtiment_EF H1'!Y111)/('A.1. Conso_bâtiment_EF H1'!Y103)-1</f>
        <v>-0.28635454907115054</v>
      </c>
      <c r="P83" s="117"/>
      <c r="Q83" s="1157" t="s">
        <v>284</v>
      </c>
      <c r="S83" s="258" t="s">
        <v>182</v>
      </c>
      <c r="T83" s="658" t="s">
        <v>285</v>
      </c>
      <c r="U83" s="107">
        <f>F83</f>
        <v>-5.0941942501472881E-2</v>
      </c>
      <c r="V83" s="107">
        <f>G83</f>
        <v>-0.24465829720161747</v>
      </c>
      <c r="W83" s="107">
        <f>-(('A.1. Conso_bâtiment_EF H1'!Z103*'D.1. Facteur d''émissions'!C8)-(('A.1. Conso_bâtiment_EF H1'!AA107*'D.1. Facteur d''émissions'!C15)+('A.1. Conso_bâtiment_EF H1'!Z107*'D.1. Facteur d''émissions'!C8)))/('A.1. Conso_bâtiment_EF H1'!Z103*'D.1. Facteur d''émissions'!C8)</f>
        <v>-0.8111900745171009</v>
      </c>
      <c r="X83" s="107">
        <f>-(('A.1. Conso_bâtiment_EF H1'!Z103*'D.1. Facteur d''émissions'!C8)-(('A.1. Conso_bâtiment_EF H1'!AA108*'D.1. Facteur d''émissions'!C15)+('A.1. Conso_bâtiment_EF H1'!Z108*'D.1. Facteur d''émissions'!C8)))/('A.1. Conso_bâtiment_EF H1'!Z103*'D.1. Facteur d''émissions'!C8)</f>
        <v>-0.66942283923089452</v>
      </c>
      <c r="Y83" s="107">
        <f>J83</f>
        <v>-0.45077777609918479</v>
      </c>
      <c r="Z83" s="107">
        <f>-(('A.1. Conso_bâtiment_EF H1'!Y103*'D.1. Facteur d''émissions'!C8)-(('A.1. Conso_bâtiment_EF H1'!Z110*'D.1. Facteur d''émissions'!C15)+('A.1. Conso_bâtiment_EF H1'!AA110*'D.1. Facteur d''émissions'!C8)))/('A.1. Conso_bâtiment_EF H1'!Y103*'D.1. Facteur d''émissions'!C8)</f>
        <v>-0.81021475575596402</v>
      </c>
      <c r="AA83" s="107"/>
      <c r="AB83" s="107">
        <f>M83</f>
        <v>-0.28635454907115054</v>
      </c>
      <c r="AC83" s="107"/>
    </row>
    <row r="84" spans="2:29" ht="32.450000000000003" customHeight="1" x14ac:dyDescent="0.35">
      <c r="B84" s="1157"/>
      <c r="D84" s="258" t="s">
        <v>185</v>
      </c>
      <c r="E84" s="659" t="s">
        <v>286</v>
      </c>
      <c r="F84" s="658" t="s">
        <v>285</v>
      </c>
      <c r="G84" s="107">
        <f>('A.1. Conso_bâtiment_EF H1'!Y106)/('A.1. Conso_bâtiment_EF H1'!Y104)-1</f>
        <v>-0.20411433543984769</v>
      </c>
      <c r="H84" s="107">
        <f>(('A.1. Conso_bâtiment_EF H1'!Z107+'A.1. Conso_bâtiment_EF H1'!AA107*'D.1. Facteur d''émissions'!C47)/('A.1. Conso_bâtiment_EF H1'!Y104))-1</f>
        <v>-0.28102386144760516</v>
      </c>
      <c r="I84" s="107">
        <f>('A.1. Conso_bâtiment_EF H1'!Z108*'D.1. Facteur d''émissions'!C37+'A.1. Conso_bâtiment_EF H1'!AA108*2.3)/('A.1. Conso_bâtiment_EF H1'!Y104*'D.1. Facteur d''émissions'!C37)-1</f>
        <v>-0.37182272054747223</v>
      </c>
      <c r="J84" s="107">
        <f>(('A.1. Conso_bâtiment_EF H1'!Y109)/('A.1. Conso_bâtiment_EF H1'!Y104))-1</f>
        <v>-0.42129754912104778</v>
      </c>
      <c r="K84" s="107">
        <f>('A.1. Conso_bâtiment_EF H1'!Z110+'A.1. Conso_bâtiment_EF H1'!AA110*'D.1. Facteur d''émissions'!C47)/('A.1. Conso_bâtiment_EF H1'!Y104)-1</f>
        <v>-0.47926542610485878</v>
      </c>
      <c r="L84" s="652"/>
      <c r="M84" s="107">
        <f>('A.1. Conso_bâtiment_EF H1'!Y111)/('A.1. Conso_bâtiment_EF H1'!Y104)-1</f>
        <v>-0.24804868860200679</v>
      </c>
      <c r="P84" s="117"/>
      <c r="Q84" s="1157"/>
      <c r="S84" s="258" t="s">
        <v>185</v>
      </c>
      <c r="T84" s="659" t="s">
        <v>286</v>
      </c>
      <c r="U84" s="658" t="s">
        <v>285</v>
      </c>
      <c r="V84" s="107">
        <f>G84</f>
        <v>-0.20411433543984769</v>
      </c>
      <c r="W84" s="107">
        <f>-(('A.1. Conso_bâtiment_EF H1'!Z104*'D.1. Facteur d''émissions'!C8)-(('A.1. Conso_bâtiment_EF H1'!AA107*'D.1. Facteur d''émissions'!C15)+('A.1. Conso_bâtiment_EF H1'!Z107*'D.1. Facteur d''émissions'!C8)))/('A.1. Conso_bâtiment_EF H1'!Z104*'D.1. Facteur d''émissions'!C8)</f>
        <v>-0.80105545283440982</v>
      </c>
      <c r="X84" s="107">
        <f>-(('A.1. Conso_bâtiment_EF H1'!Z104*'D.1. Facteur d''émissions'!C8)-(('A.1. Conso_bâtiment_EF H1'!AA108*'D.1. Facteur d''émissions'!C15)+('A.1. Conso_bâtiment_EF H1'!Z108*'D.1. Facteur d''émissions'!C8)))/('A.1. Conso_bâtiment_EF H1'!Z104*'D.1. Facteur d''émissions'!C8)</f>
        <v>-0.65167867428424575</v>
      </c>
      <c r="Y84" s="107">
        <f>J84</f>
        <v>-0.42129754912104778</v>
      </c>
      <c r="Z84" s="107">
        <f>-(('A.1. Conso_bâtiment_EF H1'!Y104*'D.1. Facteur d''émissions'!C8)-(('A.1. Conso_bâtiment_EF H1'!Z110*'D.1. Facteur d''émissions'!C15)+('A.1. Conso_bâtiment_EF H1'!AA110*'D.1. Facteur d''émissions'!C8)))/('A.1. Conso_bâtiment_EF H1'!Y104*'D.1. Facteur d''émissions'!C8)</f>
        <v>-0.80002778255288087</v>
      </c>
      <c r="AA84" s="107"/>
      <c r="AB84" s="107">
        <f>M84</f>
        <v>-0.24804868860200679</v>
      </c>
      <c r="AC84" s="107"/>
    </row>
    <row r="85" spans="2:29" ht="32.450000000000003" customHeight="1" x14ac:dyDescent="0.35">
      <c r="B85" s="1157"/>
      <c r="D85" s="258" t="s">
        <v>186</v>
      </c>
      <c r="E85" s="659" t="s">
        <v>286</v>
      </c>
      <c r="F85" s="659" t="s">
        <v>286</v>
      </c>
      <c r="G85" s="658" t="s">
        <v>285</v>
      </c>
      <c r="H85" s="107">
        <f>(('A.1. Conso_bâtiment_EF H1'!Z107+'A.1. Conso_bâtiment_EF H1'!AA107*'D.1. Facteur d''émissions'!C47)/('A.1. Conso_bâtiment_EF H1'!Y106))-1</f>
        <v>-9.663388779625981E-2</v>
      </c>
      <c r="I85" s="107">
        <f>('A.1. Conso_bâtiment_EF H1'!Z108*'D.1. Facteur d''émissions'!C37+'A.1. Conso_bâtiment_EF H1'!AA108*2.3)/('A.1. Conso_bâtiment_EF H1'!Y106*'D.1. Facteur d''émissions'!C37)-1</f>
        <v>-0.21071919319002785</v>
      </c>
      <c r="J85" s="107">
        <f>('A.1. Conso_bâtiment_EF H1'!Y109)/('A.1. Conso_bâtiment_EF H1'!Y106)-1</f>
        <v>-0.27288242941431384</v>
      </c>
      <c r="K85" s="107">
        <f>('A.1. Conso_bâtiment_EF H1'!Z110+'A.1. Conso_bâtiment_EF H1'!AA110*'D.1. Facteur d''émissions'!C47)/('A.1. Conso_bâtiment_EF H1'!Y106)-1</f>
        <v>-0.34571685722857426</v>
      </c>
      <c r="L85" s="652"/>
      <c r="M85" s="107">
        <f>('A.1. Conso_bâtiment_EF H1'!Y111)/('A.1. Conso_bâtiment_EF H1'!Y106)-1</f>
        <v>-5.5201840061335439E-2</v>
      </c>
      <c r="P85" s="117"/>
      <c r="Q85" s="1157"/>
      <c r="S85" s="258" t="s">
        <v>186</v>
      </c>
      <c r="T85" s="659" t="s">
        <v>286</v>
      </c>
      <c r="U85" s="659" t="s">
        <v>286</v>
      </c>
      <c r="V85" s="658" t="s">
        <v>285</v>
      </c>
      <c r="W85" s="107" t="e">
        <f>-(('A.1. Conso_bâtiment_EF H1'!Z106*'D.1. Facteur d''émissions'!C8)-(('A.1. Conso_bâtiment_EF H1'!AA107*'D.1. Facteur d''émissions'!#REF!)+('A.1. Conso_bâtiment_EF H1'!Z107*'D.1. Facteur d''émissions'!C8)))/('A.1. Conso_bâtiment_EF H1'!Z106*'D.1. Facteur d''émissions'!C8)</f>
        <v>#REF!</v>
      </c>
      <c r="X85" s="107">
        <f>-(('A.1. Conso_bâtiment_EF H1'!Z106*'D.1. Facteur d''émissions'!C8)-(('A.1. Conso_bâtiment_EF H1'!AA108*'D.1. Facteur d''émissions'!C15)+('A.1. Conso_bâtiment_EF H1'!Z108*'D.1. Facteur d''émissions'!C8)))/('A.1. Conso_bâtiment_EF H1'!Z106*'D.1. Facteur d''émissions'!C8)</f>
        <v>-0.56234753152859629</v>
      </c>
      <c r="Y85" s="107">
        <f>J85</f>
        <v>-0.27288242941431384</v>
      </c>
      <c r="Z85" s="107">
        <f>-(('A.1. Conso_bâtiment_EF H1'!Y106*'D.1. Facteur d''émissions'!C8)-(('A.1. Conso_bâtiment_EF H1'!Z110*'D.1. Facteur d''émissions'!C15)+('A.1. Conso_bâtiment_EF H1'!AA110*'D.1. Facteur d''émissions'!C8)))/('A.1. Conso_bâtiment_EF H1'!Y106*'D.1. Facteur d''émissions'!C8)</f>
        <v>-0.74874253130613411</v>
      </c>
      <c r="AA85" s="107"/>
      <c r="AB85" s="107">
        <f>M85</f>
        <v>-5.5201840061335439E-2</v>
      </c>
      <c r="AC85" s="107"/>
    </row>
    <row r="86" spans="2:29" ht="32.450000000000003" customHeight="1" x14ac:dyDescent="0.35">
      <c r="B86" s="1157"/>
      <c r="D86" s="258" t="s">
        <v>187</v>
      </c>
      <c r="E86" s="659" t="s">
        <v>286</v>
      </c>
      <c r="F86" s="659" t="s">
        <v>286</v>
      </c>
      <c r="G86" s="659" t="s">
        <v>286</v>
      </c>
      <c r="H86" s="658" t="s">
        <v>285</v>
      </c>
      <c r="I86" s="107">
        <f>('A.1. Conso_bâtiment_EF H1'!Z108*'D.1. Facteur d''émissions'!C37+'A.1. Conso_bâtiment_EF H1'!AA108*2.3)/('A.1. Conso_bâtiment_EF H1'!Z107*'D.1. Facteur d''émissions'!C37+'A.1. Conso_bâtiment_EF H1'!AA107*2.3)-1</f>
        <v>-4.9499583256741198E-2</v>
      </c>
      <c r="J86" s="659" t="s">
        <v>286</v>
      </c>
      <c r="K86" s="107">
        <f>('A.1. Conso_bâtiment_EF H1'!Z110+'A.1. Conso_bâtiment_EF H1'!AA110*'D.1. Facteur d''émissions'!C47)/('A.1. Conso_bâtiment_EF H1'!Z107+'A.1. Conso_bâtiment_EF H1'!AA107*'D.1. Facteur d''émissions'!C47)-1</f>
        <v>-0.27572759932812008</v>
      </c>
      <c r="L86" s="671"/>
      <c r="M86" s="659" t="s">
        <v>286</v>
      </c>
      <c r="P86" s="117"/>
      <c r="Q86" s="1157"/>
      <c r="S86" s="258" t="s">
        <v>187</v>
      </c>
      <c r="T86" s="659" t="s">
        <v>286</v>
      </c>
      <c r="U86" s="659" t="s">
        <v>286</v>
      </c>
      <c r="V86" s="659" t="s">
        <v>286</v>
      </c>
      <c r="W86" s="658" t="s">
        <v>285</v>
      </c>
      <c r="X86" s="553">
        <f>-((('A.1. Conso_bâtiment_EF H1'!AA107*'D.1. Facteur d''émissions'!C15)+('A.1. Conso_bâtiment_EF H1'!Z107*'D.1. Facteur d''émissions'!C8))-(('A.1. Conso_bâtiment_EF H1'!AA108*'D.1. Facteur d''émissions'!C15)+('A.1. Conso_bâtiment_EF H1'!Z108*'D.1. Facteur d''émissions'!C8)))/(('A.1. Conso_bâtiment_EF H1'!AA107*'D.1. Facteur d''émissions'!C15)+('A.1. Conso_bâtiment_EF H1'!Z107*'D.1. Facteur d''émissions'!C8))</f>
        <v>0.75084630706581434</v>
      </c>
      <c r="Y86" s="659" t="s">
        <v>286</v>
      </c>
      <c r="Z86" s="107">
        <f>-((('A.1. Conso_bâtiment_EF H1'!Z107*'D.1. Facteur d''émissions'!C15)+('A.1. Conso_bâtiment_EF H1'!AA107*'D.1. Facteur d''émissions'!C8))-(('A.1. Conso_bâtiment_EF H1'!Z110*'D.1. Facteur d''émissions'!C15)+('A.1. Conso_bâtiment_EF H1'!AA110*'D.1. Facteur d''émissions'!C8)))/(('A.1. Conso_bâtiment_EF H1'!Z107*'D.1. Facteur d''émissions'!C15)+('A.1. Conso_bâtiment_EF H1'!AA107*'D.1. Facteur d''émissions'!C8))</f>
        <v>-0.30119764808765165</v>
      </c>
      <c r="AA86" s="671"/>
      <c r="AB86" s="659" t="s">
        <v>286</v>
      </c>
      <c r="AC86" s="659"/>
    </row>
    <row r="87" spans="2:29" ht="32.450000000000003" customHeight="1" x14ac:dyDescent="0.35">
      <c r="B87" s="1157"/>
      <c r="D87" s="258" t="s">
        <v>289</v>
      </c>
      <c r="E87" s="659" t="s">
        <v>286</v>
      </c>
      <c r="F87" s="659" t="s">
        <v>286</v>
      </c>
      <c r="G87" s="659" t="s">
        <v>286</v>
      </c>
      <c r="H87" s="553">
        <f>(('A.1. Conso_bâtiment_EF H1'!Z107+'A.1. Conso_bâtiment_EF H1'!AA107*'D.1. Facteur d''émissions'!C47)/('A.1. Conso_bâtiment_EF H1'!Z108+'A.1. Conso_bâtiment_EF H1'!AA108*'D.1. Facteur d''émissions'!C47))-1</f>
        <v>8.3829787234042552E-2</v>
      </c>
      <c r="I87" s="658" t="s">
        <v>285</v>
      </c>
      <c r="J87" s="107">
        <f>('A.1. Conso_bâtiment_EF H1'!Y109)/('A.1. Conso_bâtiment_EF H1'!Z108+'A.1. Conso_bâtiment_EF H1'!AA108*'D.1. Facteur d''émissions'!C47)-1</f>
        <v>-0.12762757958726612</v>
      </c>
      <c r="K87" s="107">
        <f>('A.1. Conso_bâtiment_EF H1'!Z110+'A.1. Conso_bâtiment_EF H1'!AA110*'D.1. Facteur d''émissions'!C47)/('A.1. Conso_bâtiment_EF H1'!Z108+'A.1. Conso_bâtiment_EF H1'!AA108*'D.1. Facteur d''émissions'!C47)-1</f>
        <v>-0.21501199808030724</v>
      </c>
      <c r="L87" s="671"/>
      <c r="M87" s="659"/>
      <c r="P87" s="117"/>
      <c r="Q87" s="1157"/>
      <c r="S87" s="258" t="s">
        <v>289</v>
      </c>
      <c r="T87" s="659" t="s">
        <v>286</v>
      </c>
      <c r="U87" s="659" t="s">
        <v>286</v>
      </c>
      <c r="V87" s="659" t="s">
        <v>286</v>
      </c>
      <c r="W87" s="658"/>
      <c r="X87" s="658" t="s">
        <v>285</v>
      </c>
      <c r="Y87" s="659"/>
      <c r="Z87" s="107">
        <f>-((('A.1. Conso_bâtiment_EF H1'!Z108*'D.1. Facteur d''émissions'!C15)+('A.1. Conso_bâtiment_EF H1'!AA108*'D.1. Facteur d''émissions'!C8))-(('A.1. Conso_bâtiment_EF H1'!Z110*'D.1. Facteur d''émissions'!C15)+('A.1. Conso_bâtiment_EF H1'!AA110*'D.1. Facteur d''émissions'!C8)))/(('A.1. Conso_bâtiment_EF H1'!Z108*'D.1. Facteur d''émissions'!C15)+('A.1. Conso_bâtiment_EF H1'!AA108*'D.1. Facteur d''émissions'!C8))</f>
        <v>-0.12540286340823417</v>
      </c>
      <c r="AA87" s="671"/>
      <c r="AB87" s="659" t="s">
        <v>286</v>
      </c>
      <c r="AC87" s="659"/>
    </row>
    <row r="88" spans="2:29" ht="32.450000000000003" customHeight="1" x14ac:dyDescent="0.35">
      <c r="B88" s="1157"/>
      <c r="D88" s="258" t="s">
        <v>189</v>
      </c>
      <c r="E88" s="659" t="s">
        <v>286</v>
      </c>
      <c r="F88" s="659" t="s">
        <v>286</v>
      </c>
      <c r="G88" s="659" t="s">
        <v>286</v>
      </c>
      <c r="H88" s="553">
        <f>('A.1. Conso_bâtiment_EF H1'!Z107+'A.1. Conso_bâtiment_EF H1'!AA107*'D.1. Facteur d''émissions'!C47)/('A.1. Conso_bâtiment_EF H1'!Y109)-1</f>
        <v>0.24239345705273996</v>
      </c>
      <c r="I88" s="553">
        <f>('A.1. Conso_bâtiment_EF H1'!Z108*'D.1. Facteur d''émissions'!C37+'A.1. Conso_bâtiment_EF H1'!AA108*2.3)/('A.1. Conso_bâtiment_EF H1'!Y109*'D.1. Facteur d''émissions'!C37)-1</f>
        <v>8.5492688856650734E-2</v>
      </c>
      <c r="J88" s="658" t="s">
        <v>285</v>
      </c>
      <c r="K88" s="107">
        <f>('A.1. Conso_bâtiment_EF H1'!Z110+'A.1. Conso_bâtiment_EF H1'!AA110*'D.1. Facteur d''émissions'!C47)/('A.1. Conso_bâtiment_EF H1'!Y109)-1</f>
        <v>-0.10016870828137603</v>
      </c>
      <c r="L88" s="658"/>
      <c r="M88" s="659" t="s">
        <v>286</v>
      </c>
      <c r="N88" s="1155" t="s">
        <v>290</v>
      </c>
      <c r="O88" s="1156"/>
      <c r="P88" s="117"/>
      <c r="Q88" s="1157"/>
      <c r="S88" s="258" t="s">
        <v>189</v>
      </c>
      <c r="T88" s="659" t="s">
        <v>286</v>
      </c>
      <c r="U88" s="659" t="s">
        <v>286</v>
      </c>
      <c r="V88" s="659" t="s">
        <v>286</v>
      </c>
      <c r="W88" s="107" t="e">
        <f>-(('A.1. Conso_bâtiment_EF H1'!Z109*'D.1. Facteur d''émissions'!C8)-(('A.1. Conso_bâtiment_EF H1'!AA107*'D.1. Facteur d''émissions'!#REF!)+('A.1. Conso_bâtiment_EF H1'!Z107*'D.1. Facteur d''émissions'!C8)))/('A.1. Conso_bâtiment_EF H1'!Z109*'D.1. Facteur d''émissions'!C8)</f>
        <v>#REF!</v>
      </c>
      <c r="X88" s="107">
        <f>-(('A.1. Conso_bâtiment_EF H1'!Z109*'D.1. Facteur d''émissions'!C8)-(('A.1. Conso_bâtiment_EF H1'!AA108*'D.1. Facteur d''émissions'!C15)+('A.1. Conso_bâtiment_EF H1'!Z108*'D.1. Facteur d''émissions'!C8)))/('A.1. Conso_bâtiment_EF H1'!Z109*'D.1. Facteur d''émissions'!C8)</f>
        <v>-0.39809944612000098</v>
      </c>
      <c r="Y88" s="658" t="s">
        <v>285</v>
      </c>
      <c r="Z88" s="107">
        <f>-(('A.1. Conso_bâtiment_EF H1'!Y109*'D.1. Facteur d''émissions'!C8)-(('A.1. Conso_bâtiment_EF H1'!Z110*'D.1. Facteur d''émissions'!C15)+('A.1. Conso_bâtiment_EF H1'!AA110*'D.1. Facteur d''émissions'!C8)))/('A.1. Conso_bâtiment_EF H1'!Y109*'D.1. Facteur d''émissions'!C8)</f>
        <v>-0.65444726017075849</v>
      </c>
      <c r="AA88" s="658"/>
      <c r="AB88" s="659" t="s">
        <v>286</v>
      </c>
      <c r="AC88" s="659"/>
    </row>
    <row r="89" spans="2:29" ht="32.450000000000003" customHeight="1" x14ac:dyDescent="0.35">
      <c r="B89" s="1157"/>
      <c r="D89" s="258" t="s">
        <v>190</v>
      </c>
      <c r="E89" s="659" t="s">
        <v>286</v>
      </c>
      <c r="F89" s="659" t="s">
        <v>286</v>
      </c>
      <c r="G89" s="659" t="s">
        <v>286</v>
      </c>
      <c r="H89" s="553">
        <f>(('A.1. Conso_bâtiment_EF H1'!Z107+'A.1. Conso_bâtiment_EF H1'!AA107*'D.1. Facteur d''émissions'!C47)/('A.1. Conso_bâtiment_EF H1'!Z110+'A.1. Conso_bâtiment_EF H1'!AA110*'D.1. Facteur d''émissions'!C47))-1</f>
        <v>0.38069599100053808</v>
      </c>
      <c r="I89" s="553">
        <f>('A.1. Conso_bâtiment_EF H1'!Z108*'D.1. Facteur d''émissions'!C37+'A.1. Conso_bâtiment_EF H1'!AA108*2.3)/('A.1. Conso_bâtiment_EF H1'!Y110*'D.1. Facteur d''émissions'!C37)-1</f>
        <v>1.0651381481232534</v>
      </c>
      <c r="J89" s="553">
        <f>('A.1. Conso_bâtiment_EF H1'!Y109)/('A.1. Conso_bâtiment_EF H1'!Z110+'A.1. Conso_bâtiment_EF H1'!AA110*'D.1. Facteur d''émissions'!C47)-1</f>
        <v>0.11131943199047867</v>
      </c>
      <c r="K89" s="658" t="s">
        <v>285</v>
      </c>
      <c r="L89" s="658"/>
      <c r="M89" s="659"/>
      <c r="N89" s="1155"/>
      <c r="O89" s="1156"/>
      <c r="P89" s="117"/>
      <c r="Q89" s="1157"/>
      <c r="S89" s="258" t="s">
        <v>190</v>
      </c>
      <c r="T89" s="659" t="s">
        <v>286</v>
      </c>
      <c r="U89" s="659" t="s">
        <v>286</v>
      </c>
      <c r="V89" s="659" t="s">
        <v>286</v>
      </c>
      <c r="W89" s="659" t="s">
        <v>286</v>
      </c>
      <c r="X89" s="553" t="e">
        <f>-((('A.1. Conso_bâtiment_EF H1'!AA110*'D.1. Facteur d''émissions'!#REF!)+('A.1. Conso_bâtiment_EF H1'!Z110*'D.1. Facteur d''émissions'!C8))-(('A.1. Conso_bâtiment_EF H1'!AA108*'D.1. Facteur d''émissions'!C15)+('A.1. Conso_bâtiment_EF H1'!Z108*'D.1. Facteur d''émissions'!C8)))/(('A.1. Conso_bâtiment_EF H1'!AA110*'D.1. Facteur d''émissions'!#REF!)+('A.1. Conso_bâtiment_EF H1'!Z110*'D.1. Facteur d''émissions'!C8))</f>
        <v>#REF!</v>
      </c>
      <c r="Y89" s="658"/>
      <c r="Z89" s="658" t="s">
        <v>285</v>
      </c>
      <c r="AA89" s="658"/>
      <c r="AB89" s="659" t="s">
        <v>286</v>
      </c>
      <c r="AC89" s="659"/>
    </row>
    <row r="90" spans="2:29" ht="32.450000000000003" customHeight="1" x14ac:dyDescent="0.35">
      <c r="B90" s="1157"/>
      <c r="D90" s="672" t="s">
        <v>283</v>
      </c>
      <c r="E90" s="659" t="s">
        <v>286</v>
      </c>
      <c r="F90" s="659" t="s">
        <v>286</v>
      </c>
      <c r="G90" s="659" t="s">
        <v>286</v>
      </c>
      <c r="H90" s="652"/>
      <c r="I90" s="652"/>
      <c r="J90" s="658"/>
      <c r="K90" s="658"/>
      <c r="L90" s="658" t="s">
        <v>285</v>
      </c>
      <c r="M90" s="659"/>
      <c r="N90" s="1155"/>
      <c r="O90" s="1156"/>
      <c r="P90" s="117"/>
      <c r="Q90" s="1157"/>
      <c r="S90" s="672" t="s">
        <v>283</v>
      </c>
      <c r="T90" s="659" t="s">
        <v>286</v>
      </c>
      <c r="U90" s="659" t="s">
        <v>286</v>
      </c>
      <c r="V90" s="659" t="s">
        <v>286</v>
      </c>
      <c r="W90" s="652"/>
      <c r="X90" s="652"/>
      <c r="Y90" s="658"/>
      <c r="Z90" s="658"/>
      <c r="AA90" s="658" t="s">
        <v>285</v>
      </c>
      <c r="AB90" s="659" t="s">
        <v>286</v>
      </c>
      <c r="AC90" s="659"/>
    </row>
    <row r="91" spans="2:29" ht="32.450000000000003" customHeight="1" x14ac:dyDescent="0.35">
      <c r="B91" s="1157"/>
      <c r="D91" s="258" t="s">
        <v>191</v>
      </c>
      <c r="E91" s="659" t="s">
        <v>286</v>
      </c>
      <c r="F91" s="659" t="s">
        <v>286</v>
      </c>
      <c r="G91" s="659" t="s">
        <v>286</v>
      </c>
      <c r="H91" s="107">
        <f>('A.1. Conso_bâtiment_EF H1'!Z107+'A.1. Conso_bâtiment_EF H1'!AA107*'D.1. Facteur d''émissions'!C47)/('A.1. Conso_bâtiment_EF H1'!Y111)-1</f>
        <v>-4.3852803161274267E-2</v>
      </c>
      <c r="I91" s="107">
        <f>('A.1. Conso_bâtiment_EF H1'!Z108+'A.1. Conso_bâtiment_EF H1'!AA108*'D.1. Facteur d''émissions'!C47)/('A.1. Conso_bâtiment_EF H1'!Y111)-1</f>
        <v>-0.11780686589281297</v>
      </c>
      <c r="J91" s="107">
        <f>('A.1. Conso_bâtiment_EF H1'!Y109)/('A.1. Conso_bâtiment_EF H1'!Y111)-1</f>
        <v>-0.23039904032741776</v>
      </c>
      <c r="K91" s="107">
        <f>('A.1. Conso_bâtiment_EF H1'!Z110+'A.1. Conso_bâtiment_EF H1'!AA110*'D.1. Facteur d''émissions'!C47)/('A.1. Conso_bâtiment_EF H1'!Y111)-1</f>
        <v>-0.30748897434992772</v>
      </c>
      <c r="L91" s="658"/>
      <c r="M91" s="658" t="s">
        <v>285</v>
      </c>
      <c r="N91" s="1155"/>
      <c r="O91" s="1156"/>
      <c r="P91" s="117"/>
      <c r="Q91" s="1157"/>
      <c r="S91" s="258" t="s">
        <v>191</v>
      </c>
      <c r="T91" s="659" t="s">
        <v>286</v>
      </c>
      <c r="U91" s="659" t="s">
        <v>286</v>
      </c>
      <c r="V91" s="659" t="s">
        <v>286</v>
      </c>
      <c r="W91" s="107" t="e">
        <f>-(('A.1. Conso_bâtiment_EF H1'!Z111*'D.1. Facteur d''émissions'!C8)-(('A.1. Conso_bâtiment_EF H1'!AA107*'D.1. Facteur d''émissions'!#REF!)+('A.1. Conso_bâtiment_EF H1'!Z107*'D.1. Facteur d''émissions'!C8)))/('A.1. Conso_bâtiment_EF H1'!Z111*'D.1. Facteur d''émissions'!C8)</f>
        <v>#REF!</v>
      </c>
      <c r="X91" s="107">
        <f>-(('A.1. Conso_bâtiment_EF H1'!Z111*'D.1. Facteur d''émissions'!C8)-(('A.1. Conso_bâtiment_EF H1'!AA108*'D.1. Facteur d''émissions'!C15)+('A.1. Conso_bâtiment_EF H1'!Z108*'D.1. Facteur d''émissions'!C8)))/('A.1. Conso_bâtiment_EF H1'!Z111*'D.1. Facteur d''émissions'!C8)</f>
        <v>-0.536776756106494</v>
      </c>
      <c r="Y91" s="107">
        <f>J91</f>
        <v>-0.23039904032741776</v>
      </c>
      <c r="Z91" s="107">
        <f>-(('A.1. Conso_bâtiment_EF H1'!Z111*'D.1. Facteur d''émissions'!C8)-(('A.1. Conso_bâtiment_EF H1'!Z110*'D.1. Facteur d''émissions'!C15)+('A.1. Conso_bâtiment_EF H1'!AA110*'D.1. Facteur d''émissions'!C8)))/('A.1. Conso_bâtiment_EF H1'!Z111*'D.1. Facteur d''émissions'!C8)</f>
        <v>-0.73406227980992544</v>
      </c>
      <c r="AA91" s="107"/>
      <c r="AB91" s="658" t="s">
        <v>285</v>
      </c>
      <c r="AC91" s="658"/>
    </row>
    <row r="92" spans="2:29" ht="36" customHeight="1" x14ac:dyDescent="0.35">
      <c r="D92" s="253" t="s">
        <v>196</v>
      </c>
      <c r="E92" s="659" t="s">
        <v>286</v>
      </c>
      <c r="F92" s="553">
        <f>('A.1. Conso_bâtiment_EF H1'!Y104)/('A.1. Conso_bâtiment_EF H1'!AB116)-1</f>
        <v>0.11749986658523426</v>
      </c>
      <c r="G92" s="107">
        <f>('A.1. Conso_bâtiment_EF H1'!Y106)/('A.1. Conso_bâtiment_EF H1'!AB116)-1</f>
        <v>-0.11059787603692928</v>
      </c>
      <c r="H92" s="107">
        <f>('A.1. Conso_bâtiment_EF H1'!Z107+'A.1. Conso_bâtiment_EF H1'!AA107*'D.1. Facteur d''émissions'!C47)/('A.1. Conso_bâtiment_EF H1'!AB116)-1</f>
        <v>-0.19654426108973178</v>
      </c>
      <c r="I92" s="107">
        <f>('A.1. Conso_bâtiment_EF H1'!Z108+'A.1. Conso_bâtiment_EF H1'!AA108*'D.1. Facteur d''émissions'!C47)/('A.1. Conso_bâtiment_EF H1'!AB116)-1</f>
        <v>-0.25868826602311334</v>
      </c>
      <c r="J92" s="107">
        <f>(('A.1. Conso_bâtiment_EF H1'!Y109)/('A.1. Conso_bâtiment_EF H1'!AB116))-1</f>
        <v>-0.35330008835022275</v>
      </c>
      <c r="K92" s="107">
        <f>('A.1. Conso_bâtiment_EF H1'!Z110+'A.1. Conso_bâtiment_EF H1'!AA110*'D.1. Facteur d''émissions'!C47)/('A.1. Conso_bâtiment_EF H1'!AB116)-1</f>
        <v>-0.4180791831458609</v>
      </c>
      <c r="L92" s="652"/>
      <c r="M92" s="107">
        <f>('A.1. Conso_bâtiment_EF H1'!Y111)/('A.1. Conso_bâtiment_EF H1'!AB116)-1</f>
        <v>-0.15969450983415068</v>
      </c>
      <c r="P92" s="117"/>
      <c r="Q92" s="1157"/>
      <c r="S92" s="253" t="s">
        <v>196</v>
      </c>
      <c r="T92" s="659" t="s">
        <v>286</v>
      </c>
      <c r="U92" s="659" t="s">
        <v>286</v>
      </c>
      <c r="V92" s="107">
        <f>-('A.1. Conso_bâtiment_EF H1'!AB116*'D.1. Facteur d''émissions'!C7-'A.1. Conso_bâtiment_EF H1'!Z106*'D.1. Facteur d''émissions'!C8)/('A.1. Conso_bâtiment_EF H1'!AB116*'D.1. Facteur d''émissions'!C7)</f>
        <v>-0.34392868016304362</v>
      </c>
      <c r="W92" s="107" t="e">
        <f>-(('A.1. Conso_bâtiment_EF H1'!AB116*'D.1. Facteur d''émissions'!C7)-(('A.1. Conso_bâtiment_EF H1'!AA107*'D.1. Facteur d''émissions'!#REF!)+('A.1. Conso_bâtiment_EF H1'!Z107*'D.1. Facteur d''émissions'!C8)))/('A.1. Conso_bâtiment_EF H1'!AB116*'D.1. Facteur d''émissions'!C7)</f>
        <v>#REF!</v>
      </c>
      <c r="X92" s="107">
        <f>-(('A.1. Conso_bâtiment_EF H1'!AB116*'D.1. Facteur d''émissions'!C7)-(('A.1. Conso_bâtiment_EF H1'!AA108*'D.1. Facteur d''émissions'!C15)+('A.1. Conso_bâtiment_EF H1'!Z108*'D.1. Facteur d''émissions'!C8)))/('A.1. Conso_bâtiment_EF H1'!AB116*'D.1. Facteur d''émissions'!C7)</f>
        <v>-0.71286876738006422</v>
      </c>
      <c r="Y92" s="107">
        <f>-('A.1. Conso_bâtiment_EF H1'!AB116*'D.1. Facteur d''émissions'!C7-'A.1. Conso_bâtiment_EF H1'!Z109*'D.1. Facteur d''émissions'!C8)/('A.1. Conso_bâtiment_EF H1'!AB116*'D.1. Facteur d''émissions'!C7)</f>
        <v>-0.52295901578920756</v>
      </c>
      <c r="Z92" s="107">
        <f>-(('A.1. Conso_bâtiment_EF H1'!AB116*'D.1. Facteur d''émissions'!C7)-(('A.1. Conso_bâtiment_EF H1'!Z110*'D.1. Facteur d''émissions'!C15)+('A.1. Conso_bâtiment_EF H1'!AA110*'D.1. Facteur d''émissions'!C8)))/('A.1. Conso_bâtiment_EF H1'!AB116*'D.1. Facteur d''émissions'!C7)</f>
        <v>-0.8351571808951227</v>
      </c>
      <c r="AA92" s="107"/>
      <c r="AB92" s="107">
        <f>-('A.1. Conso_bâtiment_EF H1'!AB116*'D.1. Facteur d''émissions'!C7-'A.1. Conso_bâtiment_EF H1'!Z111*'D.1. Facteur d''émissions'!C8)/('A.1. Conso_bâtiment_EF H1'!AB116*'D.1. Facteur d''émissions'!C7)</f>
        <v>-0.38014502422951252</v>
      </c>
      <c r="AC92" s="107"/>
    </row>
    <row r="93" spans="2:29" ht="36" customHeight="1" x14ac:dyDescent="0.35">
      <c r="D93" s="253" t="s">
        <v>197</v>
      </c>
      <c r="E93" s="659" t="s">
        <v>286</v>
      </c>
      <c r="F93" s="553">
        <f>('A.1. Conso_bâtiment_EF H1'!Y104)/('A.1. Conso_bâtiment_EF H1'!AB117)-1</f>
        <v>0.48582083080392002</v>
      </c>
      <c r="G93" s="553">
        <f>('A.1. Conso_bâtiment_EF H1'!Y106)/('A.1. Conso_bâtiment_EF H1'!AB117)-1</f>
        <v>0.18254349934169545</v>
      </c>
      <c r="H93" s="553">
        <f>('A.1. Conso_bâtiment_EF H1'!Z107+'A.1. Conso_bâtiment_EF H1'!AA107*'D.1. Facteur d''émissions'!C47)/('A.1. Conso_bâtiment_EF H1'!AB117)-1</f>
        <v>6.8269723512113689E-2</v>
      </c>
      <c r="I93" s="107">
        <f>('A.1. Conso_bâtiment_EF H1'!Z108+'A.1. Conso_bâtiment_EF H1'!AA108*'D.1. Facteur d''émissions'!C47)/('A.1. Conso_bâtiment_EF H1'!AB117)-1</f>
        <v>-1.4356556633896012E-2</v>
      </c>
      <c r="J93" s="107">
        <f>(('A.1. Conso_bâtiment_EF H1'!Y109)/('A.1. Conso_bâtiment_EF H1'!AB117))-1</f>
        <v>-0.14015184364677047</v>
      </c>
      <c r="K93" s="107">
        <f>('A.1. Conso_bâtiment_EF H1'!Z110+'A.1. Conso_bâtiment_EF H1'!AA110*'D.1. Facteur d''émissions'!C47)/('A.1. Conso_bâtiment_EF H1'!AB117)-1</f>
        <v>-0.22628172278679615</v>
      </c>
      <c r="L93" s="652"/>
      <c r="M93" s="553">
        <f>('A.1. Conso_bâtiment_EF H1'!Y111)/('A.1. Conso_bâtiment_EF H1'!AB117)-1</f>
        <v>0.11726492222546336</v>
      </c>
      <c r="P93" s="117"/>
      <c r="Q93" s="1157"/>
      <c r="S93" s="253" t="s">
        <v>197</v>
      </c>
      <c r="T93" s="659" t="s">
        <v>286</v>
      </c>
      <c r="U93" s="659" t="s">
        <v>286</v>
      </c>
      <c r="V93" s="107">
        <f>-('A.1. Conso_bâtiment_EF H1'!AB117*'D.1. Facteur d''émissions'!C7-'A.1. Conso_bâtiment_EF H1'!Z106*'D.1. Facteur d''émissions'!C8)/('A.1. Conso_bâtiment_EF H1'!AB117*'D.1. Facteur d''émissions'!C7)</f>
        <v>-0.12769167795473707</v>
      </c>
      <c r="W93" s="107" t="e">
        <f>-(('A.1. Conso_bâtiment_EF H1'!AB117*'D.1. Facteur d''émissions'!C7)-(('A.1. Conso_bâtiment_EF H1'!AA107*'D.1. Facteur d''émissions'!#REF!)+('A.1. Conso_bâtiment_EF H1'!Z107*'D.1. Facteur d''émissions'!C8)))/('A.1. Conso_bâtiment_EF H1'!AB117*'D.1. Facteur d''émissions'!C7)</f>
        <v>#REF!</v>
      </c>
      <c r="X93" s="107">
        <f>-(('A.1. Conso_bâtiment_EF H1'!AB117*'D.1. Facteur d''émissions'!C7)-(('A.1. Conso_bâtiment_EF H1'!AA108*'D.1. Facteur d''émissions'!C15)+('A.1. Conso_bâtiment_EF H1'!Z108*'D.1. Facteur d''émissions'!C8)))/('A.1. Conso_bâtiment_EF H1'!AB117*'D.1. Facteur d''émissions'!C7)</f>
        <v>-0.61823210958874242</v>
      </c>
      <c r="Y93" s="107">
        <f>-('A.1. Conso_bâtiment_EF H1'!AB117*'D.1. Facteur d''émissions'!C7-'A.1. Conso_bâtiment_EF H1'!Z109*'D.1. Facteur d''émissions'!C8)/('A.1. Conso_bâtiment_EF H1'!AB117*'D.1. Facteur d''émissions'!C7)</f>
        <v>-0.36572929207277211</v>
      </c>
      <c r="Z93" s="107">
        <f>-(('A.1. Conso_bâtiment_EF H1'!AB117*'D.1. Facteur d''émissions'!C7)-(('A.1. Conso_bâtiment_EF H1'!Z110*'D.1. Facteur d''émissions'!C15)+('A.1. Conso_bâtiment_EF H1'!AA110*'D.1. Facteur d''émissions'!C8)))/('A.1. Conso_bâtiment_EF H1'!AB117*'D.1. Facteur d''émissions'!C7)</f>
        <v>-0.78082601908231364</v>
      </c>
      <c r="AA93" s="107"/>
      <c r="AB93" s="107">
        <f>-('A.1. Conso_bâtiment_EF H1'!AB117*'D.1. Facteur d''émissions'!C7-'A.1. Conso_bâtiment_EF H1'!Z111*'D.1. Facteur d''émissions'!C8)/('A.1. Conso_bâtiment_EF H1'!AB117*'D.1. Facteur d''émissions'!C7)</f>
        <v>-0.17584470243245157</v>
      </c>
      <c r="AC93" s="107"/>
    </row>
    <row r="94" spans="2:29" ht="14.45" customHeight="1" x14ac:dyDescent="0.25">
      <c r="P94" s="117"/>
    </row>
    <row r="95" spans="2:29" ht="14.45" customHeight="1" x14ac:dyDescent="0.25">
      <c r="P95" s="117"/>
      <c r="W95" s="135"/>
      <c r="X95" s="135"/>
    </row>
    <row r="96" spans="2:29" ht="14.45" customHeight="1" x14ac:dyDescent="0.25">
      <c r="P96" s="117"/>
    </row>
    <row r="97" spans="2:19" ht="14.45" customHeight="1" x14ac:dyDescent="0.25">
      <c r="P97" s="117"/>
      <c r="S97" s="135"/>
    </row>
    <row r="98" spans="2:19" ht="24.6" customHeight="1" x14ac:dyDescent="0.4">
      <c r="D98" s="554"/>
      <c r="P98" s="117"/>
    </row>
    <row r="99" spans="2:19" ht="14.45" customHeight="1" x14ac:dyDescent="0.25">
      <c r="P99" s="117"/>
    </row>
    <row r="100" spans="2:19" ht="14.45" customHeight="1" x14ac:dyDescent="0.25">
      <c r="P100" s="117"/>
    </row>
    <row r="101" spans="2:19" ht="14.45" customHeight="1" x14ac:dyDescent="0.25">
      <c r="E101" s="1158"/>
      <c r="F101" s="1158"/>
      <c r="G101" s="1158"/>
      <c r="H101" s="1158"/>
      <c r="I101" s="1158"/>
      <c r="J101" s="1158"/>
      <c r="K101" s="1158"/>
      <c r="L101" s="1158"/>
      <c r="M101" s="1158"/>
      <c r="N101" s="195"/>
      <c r="O101" s="195"/>
      <c r="P101" s="117"/>
    </row>
    <row r="102" spans="2:19" ht="14.45" customHeight="1" x14ac:dyDescent="0.25">
      <c r="P102" s="117"/>
    </row>
    <row r="103" spans="2:19" ht="87.6" customHeight="1" x14ac:dyDescent="0.25">
      <c r="B103" s="105"/>
      <c r="C103" s="105"/>
      <c r="D103" s="105"/>
      <c r="E103" s="196"/>
      <c r="F103" s="196"/>
      <c r="G103" s="196"/>
      <c r="H103" s="311"/>
      <c r="I103" s="311"/>
      <c r="J103" s="196"/>
      <c r="K103" s="196"/>
      <c r="L103" s="196"/>
      <c r="M103" s="196"/>
      <c r="N103" s="196"/>
      <c r="O103" s="196"/>
      <c r="P103" s="117"/>
    </row>
    <row r="104" spans="2:19" ht="40.5" customHeight="1" x14ac:dyDescent="0.3">
      <c r="B104" s="1159"/>
      <c r="D104" s="271"/>
      <c r="E104" s="190"/>
      <c r="F104" s="190"/>
      <c r="G104" s="191"/>
      <c r="H104" s="191"/>
      <c r="I104" s="191"/>
      <c r="J104" s="191"/>
      <c r="K104" s="191"/>
      <c r="L104" s="191"/>
      <c r="M104" s="191"/>
      <c r="N104" s="191"/>
      <c r="O104" s="191"/>
      <c r="P104" s="117"/>
    </row>
    <row r="105" spans="2:19" ht="40.5" customHeight="1" x14ac:dyDescent="0.3">
      <c r="B105" s="1159"/>
      <c r="D105" s="271"/>
      <c r="E105" s="192"/>
      <c r="F105" s="192"/>
      <c r="G105" s="192"/>
      <c r="H105" s="191"/>
      <c r="I105" s="191"/>
      <c r="J105" s="190"/>
      <c r="K105" s="190"/>
      <c r="L105" s="190"/>
      <c r="M105" s="192"/>
      <c r="N105" s="192"/>
      <c r="O105" s="192"/>
      <c r="P105" s="117"/>
    </row>
    <row r="106" spans="2:19" ht="40.5" customHeight="1" x14ac:dyDescent="0.3">
      <c r="B106" s="1159"/>
      <c r="D106" s="271"/>
      <c r="E106" s="192"/>
      <c r="F106" s="192"/>
      <c r="G106" s="192"/>
      <c r="H106" s="191"/>
      <c r="I106" s="191"/>
      <c r="J106" s="191"/>
      <c r="K106" s="191"/>
      <c r="L106" s="191"/>
      <c r="M106" s="190"/>
      <c r="N106" s="192"/>
      <c r="O106" s="190"/>
      <c r="P106" s="117"/>
    </row>
    <row r="107" spans="2:19" x14ac:dyDescent="0.25">
      <c r="P107" s="117"/>
    </row>
    <row r="108" spans="2:19" x14ac:dyDescent="0.25">
      <c r="P108" s="117"/>
    </row>
    <row r="109" spans="2:19" x14ac:dyDescent="0.25">
      <c r="P109" s="117"/>
    </row>
    <row r="110" spans="2:19" x14ac:dyDescent="0.25">
      <c r="P110" s="117"/>
    </row>
    <row r="111" spans="2:19" x14ac:dyDescent="0.25">
      <c r="P111" s="117"/>
    </row>
    <row r="112" spans="2:19" x14ac:dyDescent="0.25">
      <c r="P112" s="117"/>
    </row>
    <row r="113" spans="16:16" x14ac:dyDescent="0.25">
      <c r="P113" s="117"/>
    </row>
    <row r="114" spans="16:16" x14ac:dyDescent="0.25">
      <c r="P114" s="117"/>
    </row>
    <row r="115" spans="16:16" x14ac:dyDescent="0.25">
      <c r="P115" s="117"/>
    </row>
    <row r="116" spans="16:16" x14ac:dyDescent="0.25">
      <c r="P116" s="117"/>
    </row>
    <row r="117" spans="16:16" x14ac:dyDescent="0.25">
      <c r="P117" s="117"/>
    </row>
    <row r="118" spans="16:16" x14ac:dyDescent="0.25">
      <c r="P118" s="117"/>
    </row>
  </sheetData>
  <mergeCells count="20">
    <mergeCell ref="E16:M16"/>
    <mergeCell ref="T16:AB16"/>
    <mergeCell ref="B19:B30"/>
    <mergeCell ref="Q19:Q30"/>
    <mergeCell ref="E43:M43"/>
    <mergeCell ref="T43:AB43"/>
    <mergeCell ref="B46:B54"/>
    <mergeCell ref="Q46:Q55"/>
    <mergeCell ref="E62:M62"/>
    <mergeCell ref="T62:AB62"/>
    <mergeCell ref="B65:B75"/>
    <mergeCell ref="Q65:Q75"/>
    <mergeCell ref="N70:O73"/>
    <mergeCell ref="B104:B106"/>
    <mergeCell ref="E80:M80"/>
    <mergeCell ref="T80:AB80"/>
    <mergeCell ref="B83:B91"/>
    <mergeCell ref="Q83:Q93"/>
    <mergeCell ref="N88:O91"/>
    <mergeCell ref="E101:M10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537F8-4136-467D-B2E4-02C7DDCF8A62}">
  <sheetPr>
    <tabColor theme="5" tint="0.79998168889431442"/>
  </sheetPr>
  <dimension ref="A3:AE118"/>
  <sheetViews>
    <sheetView showGridLines="0" topLeftCell="P19" zoomScale="55" zoomScaleNormal="55" workbookViewId="0">
      <selection activeCell="V56" sqref="V56"/>
    </sheetView>
  </sheetViews>
  <sheetFormatPr baseColWidth="10" defaultColWidth="11" defaultRowHeight="15" x14ac:dyDescent="0.25"/>
  <cols>
    <col min="1" max="1" width="13.875" style="104" customWidth="1"/>
    <col min="2" max="2" width="3.625" style="104" customWidth="1"/>
    <col min="3" max="3" width="1.875" style="104" customWidth="1"/>
    <col min="4" max="4" width="53.375" style="104" customWidth="1"/>
    <col min="5" max="6" width="17.875" style="104" customWidth="1"/>
    <col min="7" max="7" width="20.375" style="104" customWidth="1"/>
    <col min="8" max="16" width="16.25" style="104" customWidth="1"/>
    <col min="17" max="17" width="4" style="104" customWidth="1"/>
    <col min="18" max="18" width="3.25" style="104" customWidth="1"/>
    <col min="19" max="19" width="52.5" style="104" customWidth="1"/>
    <col min="20" max="21" width="19.375" style="104" customWidth="1"/>
    <col min="22" max="22" width="18.375" style="104" customWidth="1"/>
    <col min="23" max="24" width="23.375" style="104" customWidth="1"/>
    <col min="25" max="25" width="18.625" style="104" bestFit="1" customWidth="1"/>
    <col min="26" max="27" width="18.625" style="104" customWidth="1"/>
    <col min="28" max="29" width="22.75" style="104" customWidth="1"/>
    <col min="30" max="16384" width="11" style="104"/>
  </cols>
  <sheetData>
    <row r="3" spans="4:30" ht="26.25" x14ac:dyDescent="0.4">
      <c r="D3" s="668" t="s">
        <v>275</v>
      </c>
    </row>
    <row r="4" spans="4:30" x14ac:dyDescent="0.25">
      <c r="S4" s="151"/>
      <c r="T4" s="152"/>
      <c r="U4" s="152"/>
    </row>
    <row r="5" spans="4:30" x14ac:dyDescent="0.25">
      <c r="T5" s="152"/>
      <c r="U5" s="152"/>
    </row>
    <row r="6" spans="4:30" x14ac:dyDescent="0.25">
      <c r="T6" s="152"/>
      <c r="U6" s="152"/>
    </row>
    <row r="7" spans="4:30" x14ac:dyDescent="0.25">
      <c r="S7" s="151"/>
      <c r="T7" s="152"/>
      <c r="U7" s="152"/>
    </row>
    <row r="8" spans="4:30" ht="24" x14ac:dyDescent="0.4">
      <c r="D8" s="669" t="s">
        <v>276</v>
      </c>
      <c r="S8" s="669" t="s">
        <v>277</v>
      </c>
      <c r="T8" s="152"/>
      <c r="U8" s="152"/>
    </row>
    <row r="11" spans="4:30" x14ac:dyDescent="0.25">
      <c r="P11" s="117"/>
    </row>
    <row r="12" spans="4:30" ht="24" x14ac:dyDescent="0.4">
      <c r="D12" s="670" t="s">
        <v>278</v>
      </c>
      <c r="P12" s="117"/>
      <c r="S12" s="670" t="s">
        <v>279</v>
      </c>
      <c r="AD12" s="121"/>
    </row>
    <row r="13" spans="4:30" x14ac:dyDescent="0.25">
      <c r="P13" s="117"/>
    </row>
    <row r="14" spans="4:30" ht="26.25" x14ac:dyDescent="0.4">
      <c r="D14" s="653" t="s">
        <v>162</v>
      </c>
      <c r="P14" s="117"/>
      <c r="S14" s="653" t="s">
        <v>162</v>
      </c>
    </row>
    <row r="15" spans="4:30" x14ac:dyDescent="0.25">
      <c r="P15" s="117"/>
    </row>
    <row r="16" spans="4:30" ht="18.75" x14ac:dyDescent="0.3">
      <c r="D16" s="96"/>
      <c r="E16" s="1154" t="s">
        <v>280</v>
      </c>
      <c r="F16" s="1154"/>
      <c r="G16" s="1154"/>
      <c r="H16" s="1154"/>
      <c r="I16" s="1154"/>
      <c r="J16" s="1154"/>
      <c r="K16" s="1154"/>
      <c r="L16" s="1154"/>
      <c r="M16" s="1154"/>
      <c r="N16" s="193"/>
      <c r="O16" s="193"/>
      <c r="P16" s="113"/>
      <c r="S16" s="96"/>
      <c r="T16" s="1154" t="s">
        <v>280</v>
      </c>
      <c r="U16" s="1154"/>
      <c r="V16" s="1154"/>
      <c r="W16" s="1154"/>
      <c r="X16" s="1154"/>
      <c r="Y16" s="1154"/>
      <c r="Z16" s="1154"/>
      <c r="AA16" s="1154"/>
      <c r="AB16" s="1154"/>
      <c r="AC16" s="1086"/>
    </row>
    <row r="17" spans="2:29" ht="15.75" x14ac:dyDescent="0.25">
      <c r="D17" s="96"/>
      <c r="E17" s="96"/>
      <c r="F17" s="96"/>
      <c r="G17" s="96"/>
      <c r="H17" s="96"/>
      <c r="I17" s="96"/>
      <c r="J17" s="96"/>
      <c r="K17" s="96"/>
      <c r="L17" s="96"/>
      <c r="M17" s="96"/>
      <c r="N17" s="96"/>
      <c r="O17" s="96"/>
      <c r="P17" s="114"/>
      <c r="S17" s="96"/>
      <c r="T17" s="96"/>
      <c r="U17" s="96"/>
      <c r="V17" s="96"/>
      <c r="W17" s="96"/>
      <c r="X17" s="96"/>
      <c r="Y17" s="96"/>
      <c r="Z17" s="96"/>
      <c r="AA17" s="96"/>
      <c r="AB17" s="96"/>
      <c r="AC17" s="96"/>
    </row>
    <row r="18" spans="2:29" ht="75" x14ac:dyDescent="0.25">
      <c r="B18" s="105"/>
      <c r="C18" s="105"/>
      <c r="D18" s="106"/>
      <c r="E18" s="111" t="s">
        <v>182</v>
      </c>
      <c r="F18" s="111" t="s">
        <v>185</v>
      </c>
      <c r="G18" s="111" t="s">
        <v>186</v>
      </c>
      <c r="H18" s="111" t="s">
        <v>281</v>
      </c>
      <c r="I18" s="111" t="s">
        <v>282</v>
      </c>
      <c r="J18" s="657" t="s">
        <v>189</v>
      </c>
      <c r="K18" s="111" t="s">
        <v>190</v>
      </c>
      <c r="L18" s="112" t="s">
        <v>283</v>
      </c>
      <c r="M18" s="111" t="s">
        <v>191</v>
      </c>
      <c r="N18" s="194"/>
      <c r="O18" s="194"/>
      <c r="P18" s="115"/>
      <c r="Q18" s="105"/>
      <c r="R18" s="105"/>
      <c r="S18" s="106"/>
      <c r="T18" s="111" t="s">
        <v>182</v>
      </c>
      <c r="U18" s="111" t="s">
        <v>185</v>
      </c>
      <c r="V18" s="111" t="s">
        <v>186</v>
      </c>
      <c r="W18" s="111" t="s">
        <v>281</v>
      </c>
      <c r="X18" s="111" t="s">
        <v>282</v>
      </c>
      <c r="Y18" s="657" t="s">
        <v>189</v>
      </c>
      <c r="Z18" s="111" t="s">
        <v>190</v>
      </c>
      <c r="AA18" s="112" t="s">
        <v>283</v>
      </c>
      <c r="AB18" s="111" t="s">
        <v>191</v>
      </c>
      <c r="AC18" s="111" t="s">
        <v>734</v>
      </c>
    </row>
    <row r="19" spans="2:29" ht="30.95" customHeight="1" x14ac:dyDescent="0.35">
      <c r="B19" s="1157" t="s">
        <v>284</v>
      </c>
      <c r="D19" s="258" t="s">
        <v>182</v>
      </c>
      <c r="E19" s="658" t="s">
        <v>285</v>
      </c>
      <c r="F19" s="107">
        <f>('A.1. Conso_bâtiment_EF H3'!I104/'A.1. Conso_bâtiment_EF H3'!I103)-1</f>
        <v>-4.9419587512678942E-2</v>
      </c>
      <c r="G19" s="107">
        <f>('A.1. Conso_bâtiment_EF H3'!I106/('A.1. Conso_bâtiment_EF H3'!I103)-1)</f>
        <v>-0.25200045080581546</v>
      </c>
      <c r="H19" s="107">
        <f>('A.1. Conso_bâtiment_EF H3'!J107+('A.1. Conso_bâtiment_EF H3'!K107*'D.1. Facteur d''émissions'!C47))/('A.1. Conso_bâtiment_EF H3'!I103)-1</f>
        <v>-0.30686915361208178</v>
      </c>
      <c r="I19" s="107">
        <f>(('A.1. Conso_bâtiment_EF H3'!J108)+('A.1. Conso_bâtiment_EF H3'!K108*'D.1. Facteur d''émissions'!C47))/('A.1. Conso_bâtiment_EF H3'!I103)-1</f>
        <v>-0.30130170179195315</v>
      </c>
      <c r="J19" s="656"/>
      <c r="K19" s="107">
        <f>(('A.1. Conso_bâtiment_EF H3'!J110)+('A.1. Conso_bâtiment_EF H3'!K110*'D.1. Facteur d''émissions'!C47))/('A.1. Conso_bâtiment_EF H3'!I103)-1</f>
        <v>-0.4601938465006199</v>
      </c>
      <c r="L19" s="656"/>
      <c r="M19" s="107">
        <f>('A.1. Conso_bâtiment_EF H3'!I111)/('A.1. Conso_bâtiment_EF H3'!I103)-1</f>
        <v>-0.31178857207257993</v>
      </c>
      <c r="N19" s="706"/>
      <c r="O19" s="191"/>
      <c r="P19" s="114"/>
      <c r="Q19" s="1157" t="s">
        <v>284</v>
      </c>
      <c r="S19" s="258" t="s">
        <v>182</v>
      </c>
      <c r="T19" s="658" t="s">
        <v>285</v>
      </c>
      <c r="U19" s="107">
        <f>F19</f>
        <v>-4.9419587512678942E-2</v>
      </c>
      <c r="V19" s="107">
        <f>G19</f>
        <v>-0.25200045080581546</v>
      </c>
      <c r="W19" s="107">
        <f>-(('A.1. Conso_bâtiment_EF H3'!J103*'D.1. Facteur d''émissions'!C8)-(('A.1. Conso_bâtiment_EF H3'!K107*'D.1. Facteur d''émissions'!C15)+('A.1. Conso_bâtiment_EF H3'!J107*'D.1. Facteur d''émissions'!C8)))/('A.1. Conso_bâtiment_EF H3'!J103*'D.1. Facteur d''émissions'!C8)</f>
        <v>-0.70926773762912931</v>
      </c>
      <c r="X19" s="107">
        <f>-(('A.1. Conso_bâtiment_EF H3'!J103*'D.1. Facteur d''émissions'!C8)-(('A.1. Conso_bâtiment_EF H3'!K108*'D.1. Facteur d''émissions'!C15)+('A.1. Conso_bâtiment_EF H3'!J108*'D.1. Facteur d''émissions'!C8)))/('A.1. Conso_bâtiment_EF H3'!J103*'D.1. Facteur d''émissions'!C8)</f>
        <v>-0.42036345511534934</v>
      </c>
      <c r="Y19" s="656"/>
      <c r="Z19" s="107">
        <f>-(('A.1. Conso_bâtiment_EF H3'!J103*'D.1. Facteur d''émissions'!C8)-(('A.1. Conso_bâtiment_EF H3'!K110*'D.1. Facteur d''émissions'!C15)+('A.1. Conso_bâtiment_EF H3'!J110*'D.1. Facteur d''émissions'!C8)))/('A.1. Conso_bâtiment_EF H3'!J103*'D.1. Facteur d''émissions'!C8)</f>
        <v>-0.7254453475755277</v>
      </c>
      <c r="AA19" s="656"/>
      <c r="AB19" s="107">
        <f>M19</f>
        <v>-0.31178857207257993</v>
      </c>
      <c r="AC19" s="107">
        <f>-(('A.1. Conso_bâtiment_EF H3'!J103*'D.1. Facteur d''émissions'!C8)-(('A.1. Conso_bâtiment_EF H3'!K122*'D.1. Facteur d''émissions'!C15)))/('A.1. Conso_bâtiment_EF H3'!J103*'D.1. Facteur d''émissions'!C8)</f>
        <v>-0.94275614942043628</v>
      </c>
    </row>
    <row r="20" spans="2:29" ht="30.95" customHeight="1" x14ac:dyDescent="0.35">
      <c r="B20" s="1157"/>
      <c r="D20" s="258" t="s">
        <v>185</v>
      </c>
      <c r="E20" s="659" t="s">
        <v>286</v>
      </c>
      <c r="F20" s="658" t="s">
        <v>287</v>
      </c>
      <c r="G20" s="107">
        <f>('A.1. Conso_bâtiment_EF H3'!I106*'D.1. Facteur d''émissions'!C37)/('A.1. Conso_bâtiment_EF H3'!I104*'D.1. Facteur d''émissions'!C37)-1</f>
        <v>-0.21311281048076369</v>
      </c>
      <c r="H20" s="107">
        <f>(('A.1. Conso_bâtiment_EF H3'!J107)+('A.1. Conso_bâtiment_EF H3'!K107*'D.1. Facteur d''émissions'!C47))/('A.1. Conso_bâtiment_EF H3'!I104)-1</f>
        <v>-0.27083407433754236</v>
      </c>
      <c r="I20" s="107">
        <f>(('A.1. Conso_bâtiment_EF H3'!J108)+('A.1. Conso_bâtiment_EF H3'!K108*'D.1. Facteur d''émissions'!C47))/('A.1. Conso_bâtiment_EF H3'!I104)-1</f>
        <v>-0.26497717707036583</v>
      </c>
      <c r="J20" s="656"/>
      <c r="K20" s="107">
        <f>(('A.1. Conso_bâtiment_EF H3'!J110)+('A.1. Conso_bâtiment_EF H3'!K110*'D.1. Facteur d''émissions'!C47))/('A.1. Conso_bâtiment_EF H3'!I104)-1</f>
        <v>-0.43212994249807346</v>
      </c>
      <c r="L20" s="656"/>
      <c r="M20" s="107">
        <f>('A.1. Conso_bâtiment_EF H3'!I111)/('A.1. Conso_bâtiment_EF H3'!I104)-1</f>
        <v>-0.27600924773252722</v>
      </c>
      <c r="N20" s="706"/>
      <c r="O20" s="706"/>
      <c r="P20" s="114"/>
      <c r="Q20" s="1157"/>
      <c r="S20" s="258" t="s">
        <v>185</v>
      </c>
      <c r="T20" s="659" t="s">
        <v>286</v>
      </c>
      <c r="U20" s="658" t="s">
        <v>287</v>
      </c>
      <c r="V20" s="107">
        <f>G20</f>
        <v>-0.21311281048076369</v>
      </c>
      <c r="W20" s="107">
        <f>-(('A.1. Conso_bâtiment_EF H3'!J104*'D.1. Facteur d''émissions'!C8)-(('A.1. Conso_bâtiment_EF H3'!K107*'D.1. Facteur d''émissions'!C15)+('A.1. Conso_bâtiment_EF H3'!J107*'D.1. Facteur d''émissions'!C8)))/('A.1. Conso_bâtiment_EF H3'!J104*'D.1. Facteur d''émissions'!C8)</f>
        <v>-0.69415290011064845</v>
      </c>
      <c r="X20" s="107">
        <f>-(('A.1. Conso_bâtiment_EF H3'!J104*'D.1. Facteur d''émissions'!C8)-(('A.1. Conso_bâtiment_EF H3'!K108*'D.1. Facteur d''émissions'!C15)+('A.1. Conso_bâtiment_EF H3'!J108*'D.1. Facteur d''émissions'!C8)))/('A.1. Conso_bâtiment_EF H3'!J104*'D.1. Facteur d''émissions'!C8)</f>
        <v>-0.39022881465866321</v>
      </c>
      <c r="Y20" s="656"/>
      <c r="Z20" s="107">
        <f>-(('A.1. Conso_bâtiment_EF H3'!J104*'D.1. Facteur d''émissions'!C8)-(('A.1. Conso_bâtiment_EF H3'!K110*'D.1. Facteur d''émissions'!C15)+('A.1. Conso_bâtiment_EF H3'!J110*'D.1. Facteur d''émissions'!C8)))/('A.1. Conso_bâtiment_EF H3'!J104*'D.1. Facteur d''émissions'!C8)</f>
        <v>-0.71117156547959659</v>
      </c>
      <c r="AA20" s="656"/>
      <c r="AB20" s="107">
        <f>M20</f>
        <v>-0.27600924773252722</v>
      </c>
      <c r="AC20" s="107"/>
    </row>
    <row r="21" spans="2:29" ht="30.95" customHeight="1" x14ac:dyDescent="0.35">
      <c r="B21" s="1157"/>
      <c r="D21" s="258" t="s">
        <v>186</v>
      </c>
      <c r="E21" s="659" t="s">
        <v>286</v>
      </c>
      <c r="F21" s="659" t="s">
        <v>286</v>
      </c>
      <c r="G21" s="658" t="s">
        <v>285</v>
      </c>
      <c r="H21" s="108">
        <f>('A.1. Conso_bâtiment_EF H3'!J107+'A.1. Conso_bâtiment_EF H3'!K107*'D.1. Facteur d''émissions'!C47)/('A.1. Conso_bâtiment_EF H3'!I106)-1</f>
        <v>-7.335392496609916E-2</v>
      </c>
      <c r="I21" s="108">
        <f>(('A.1. Conso_bâtiment_EF H3'!J108)+('A.1. Conso_bâtiment_EF H3'!K108*'D.1. Facteur d''émissions'!C47))/('A.1. Conso_bâtiment_EF H3'!I106)-1</f>
        <v>-6.5910803073677804E-2</v>
      </c>
      <c r="J21" s="656"/>
      <c r="K21" s="107">
        <f>(('A.1. Conso_bâtiment_EF H3'!J110)+('A.1. Conso_bâtiment_EF H3'!K110*'D.1. Facteur d''émissions'!C47))/('A.1. Conso_bâtiment_EF H3'!I106)-1</f>
        <v>-0.27833358445080603</v>
      </c>
      <c r="L21" s="656"/>
      <c r="M21" s="107">
        <f>('A.1. Conso_bâtiment_EF H3'!I111)/('A.1. Conso_bâtiment_EF H3'!I106)-1</f>
        <v>-7.9930691577520085E-2</v>
      </c>
      <c r="N21" s="191"/>
      <c r="O21" s="191"/>
      <c r="P21" s="114"/>
      <c r="Q21" s="1157"/>
      <c r="S21" s="258" t="s">
        <v>186</v>
      </c>
      <c r="T21" s="659" t="s">
        <v>286</v>
      </c>
      <c r="U21" s="659" t="s">
        <v>286</v>
      </c>
      <c r="V21" s="658" t="s">
        <v>285</v>
      </c>
      <c r="W21" s="108">
        <f>-(('A.1. Conso_bâtiment_EF H3'!J106*'D.1. Facteur d''émissions'!C8)-(('A.1. Conso_bâtiment_EF H3'!K107*'D.1. Facteur d''émissions'!C15)+('A.1. Conso_bâtiment_EF H3'!J107*'D.1. Facteur d''émissions'!C8)))/('A.1. Conso_bâtiment_EF H3'!J106*'D.1. Facteur d''émissions'!C8)</f>
        <v>-0.61132027060166694</v>
      </c>
      <c r="X21" s="108">
        <f>-(('A.1. Conso_bâtiment_EF H3'!J106*'D.1. Facteur d''émissions'!C8)-(('A.1. Conso_bâtiment_EF H3'!K108*'D.1. Facteur d''émissions'!C15)+('A.1. Conso_bâtiment_EF H3'!J108*'D.1. Facteur d''émissions'!C8)))/('A.1. Conso_bâtiment_EF H3'!J106*'D.1. Facteur d''émissions'!C8)</f>
        <v>-0.22508436601453877</v>
      </c>
      <c r="Y21" s="656"/>
      <c r="Z21" s="107">
        <f>-(('A.1. Conso_bâtiment_EF H3'!J106*'D.1. Facteur d''émissions'!C8)-(('A.1. Conso_bâtiment_EF H3'!K110*'D.1. Facteur d''émissions'!C15)+('A.1. Conso_bâtiment_EF H3'!J110*'D.1. Facteur d''émissions'!C8)))/('A.1. Conso_bâtiment_EF H3'!J106*'D.1. Facteur d''émissions'!C8)</f>
        <v>-0.63294810442031901</v>
      </c>
      <c r="AA21" s="656"/>
      <c r="AB21" s="107">
        <f>M21</f>
        <v>-7.9930691577520085E-2</v>
      </c>
      <c r="AC21" s="107"/>
    </row>
    <row r="22" spans="2:29" ht="30.95" customHeight="1" x14ac:dyDescent="0.35">
      <c r="B22" s="1157"/>
      <c r="D22" s="258" t="s">
        <v>288</v>
      </c>
      <c r="E22" s="659" t="s">
        <v>286</v>
      </c>
      <c r="F22" s="659" t="s">
        <v>286</v>
      </c>
      <c r="G22" s="659" t="s">
        <v>286</v>
      </c>
      <c r="H22" s="658" t="s">
        <v>285</v>
      </c>
      <c r="I22" s="658" t="s">
        <v>285</v>
      </c>
      <c r="J22" s="656"/>
      <c r="K22" s="107">
        <f>(('A.1. Conso_bâtiment_EF H3'!J110)+('A.1. Conso_bâtiment_EF H3'!K110*'D.1. Facteur d''émissions'!C47))/('A.1. Conso_bâtiment_EF H3'!J107+'A.1. Conso_bâtiment_EF H3'!K107*'D.1. Facteur d''émissions'!C47)-1</f>
        <v>-0.22120598684584925</v>
      </c>
      <c r="L22" s="656"/>
      <c r="M22" s="659" t="s">
        <v>286</v>
      </c>
      <c r="N22" s="192"/>
      <c r="O22" s="192"/>
      <c r="P22" s="114"/>
      <c r="Q22" s="1157"/>
      <c r="S22" s="258" t="s">
        <v>288</v>
      </c>
      <c r="T22" s="659" t="s">
        <v>286</v>
      </c>
      <c r="U22" s="659" t="s">
        <v>286</v>
      </c>
      <c r="V22" s="659" t="s">
        <v>286</v>
      </c>
      <c r="W22" s="658" t="s">
        <v>285</v>
      </c>
      <c r="X22" s="658" t="s">
        <v>285</v>
      </c>
      <c r="Y22" s="656"/>
      <c r="Z22" s="659"/>
      <c r="AA22" s="656"/>
      <c r="AB22" s="659" t="s">
        <v>286</v>
      </c>
      <c r="AC22" s="659"/>
    </row>
    <row r="23" spans="2:29" ht="30.95" customHeight="1" x14ac:dyDescent="0.35">
      <c r="B23" s="1157"/>
      <c r="D23" s="258" t="s">
        <v>289</v>
      </c>
      <c r="E23" s="659" t="s">
        <v>286</v>
      </c>
      <c r="F23" s="659" t="s">
        <v>286</v>
      </c>
      <c r="G23" s="659" t="s">
        <v>286</v>
      </c>
      <c r="H23" s="659" t="s">
        <v>286</v>
      </c>
      <c r="I23" s="658" t="s">
        <v>287</v>
      </c>
      <c r="J23" s="656"/>
      <c r="K23" s="659" t="s">
        <v>286</v>
      </c>
      <c r="L23" s="656"/>
      <c r="M23" s="659" t="s">
        <v>286</v>
      </c>
      <c r="N23" s="192"/>
      <c r="O23" s="192"/>
      <c r="P23" s="114"/>
      <c r="Q23" s="1157"/>
      <c r="S23" s="258" t="s">
        <v>289</v>
      </c>
      <c r="T23" s="659"/>
      <c r="U23" s="659"/>
      <c r="V23" s="659"/>
      <c r="W23" s="658" t="s">
        <v>285</v>
      </c>
      <c r="X23" s="658" t="s">
        <v>285</v>
      </c>
      <c r="Y23" s="656"/>
      <c r="Z23" s="659" t="s">
        <v>286</v>
      </c>
      <c r="AA23" s="656"/>
      <c r="AB23" s="659" t="s">
        <v>286</v>
      </c>
      <c r="AC23" s="659"/>
    </row>
    <row r="24" spans="2:29" ht="30.95" customHeight="1" x14ac:dyDescent="0.35">
      <c r="B24" s="1157"/>
      <c r="D24" s="656" t="s">
        <v>189</v>
      </c>
      <c r="E24" s="656"/>
      <c r="F24" s="656"/>
      <c r="G24" s="656"/>
      <c r="H24" s="656"/>
      <c r="I24" s="656"/>
      <c r="J24" s="656"/>
      <c r="K24" s="656"/>
      <c r="L24" s="656"/>
      <c r="M24" s="656"/>
      <c r="N24" s="96"/>
      <c r="O24" s="96"/>
      <c r="P24" s="114"/>
      <c r="Q24" s="1157"/>
      <c r="S24" s="656" t="s">
        <v>189</v>
      </c>
      <c r="T24" s="656"/>
      <c r="U24" s="656"/>
      <c r="V24" s="656"/>
      <c r="W24" s="656"/>
      <c r="X24" s="656"/>
      <c r="Y24" s="656"/>
      <c r="Z24" s="656"/>
      <c r="AA24" s="656"/>
      <c r="AB24" s="656"/>
      <c r="AC24" s="656"/>
    </row>
    <row r="25" spans="2:29" ht="30.95" customHeight="1" x14ac:dyDescent="0.35">
      <c r="B25" s="1157"/>
      <c r="D25" s="258" t="s">
        <v>190</v>
      </c>
      <c r="E25" s="659" t="s">
        <v>286</v>
      </c>
      <c r="F25" s="659" t="s">
        <v>286</v>
      </c>
      <c r="G25" s="659" t="s">
        <v>286</v>
      </c>
      <c r="H25" s="660">
        <f>('A.1. Conso_bâtiment_EF H3'!J107+'A.1. Conso_bâtiment_EF H3'!K107*'D.1. Facteur d''émissions'!C47)/('A.1. Conso_bâtiment_EF H3'!J110+'A.1. Conso_bâtiment_EF H3'!K110*'D.1. Facteur d''émissions'!C47)-1</f>
        <v>0.28403657849134589</v>
      </c>
      <c r="I25" s="660">
        <f>(('A.1. Conso_bâtiment_EF H3'!J108)+('A.1. Conso_bâtiment_EF H3'!K108*'D.1. Facteur d''émissions'!C47))/(('A.1. Conso_bâtiment_EF H3'!J110)+('A.1. Conso_bâtiment_EF H3'!K110*'D.1. Facteur d''émissions'!C47))-1</f>
        <v>0.29435037685032461</v>
      </c>
      <c r="J25" s="656"/>
      <c r="K25" s="658" t="s">
        <v>287</v>
      </c>
      <c r="L25" s="656"/>
      <c r="M25" s="659" t="s">
        <v>286</v>
      </c>
      <c r="N25" s="96"/>
      <c r="O25" s="96"/>
      <c r="P25" s="114"/>
      <c r="Q25" s="1157"/>
      <c r="S25" s="258" t="s">
        <v>190</v>
      </c>
      <c r="T25" s="659" t="s">
        <v>286</v>
      </c>
      <c r="U25" s="659" t="s">
        <v>286</v>
      </c>
      <c r="V25" s="659" t="s">
        <v>286</v>
      </c>
      <c r="W25" s="659" t="s">
        <v>286</v>
      </c>
      <c r="X25" s="659" t="s">
        <v>286</v>
      </c>
      <c r="Y25" s="656"/>
      <c r="Z25" s="658" t="s">
        <v>285</v>
      </c>
      <c r="AA25" s="656"/>
      <c r="AB25" s="253"/>
      <c r="AC25" s="253"/>
    </row>
    <row r="26" spans="2:29" ht="30.95" customHeight="1" x14ac:dyDescent="0.35">
      <c r="B26" s="1157"/>
      <c r="D26" s="656" t="s">
        <v>283</v>
      </c>
      <c r="E26" s="656"/>
      <c r="F26" s="656"/>
      <c r="G26" s="656"/>
      <c r="H26" s="656"/>
      <c r="I26" s="656"/>
      <c r="J26" s="656"/>
      <c r="K26" s="656"/>
      <c r="L26" s="656"/>
      <c r="M26" s="656"/>
      <c r="N26" s="96"/>
      <c r="O26" s="96"/>
      <c r="P26" s="114"/>
      <c r="Q26" s="1157"/>
      <c r="S26" s="656" t="s">
        <v>283</v>
      </c>
      <c r="T26" s="656"/>
      <c r="U26" s="656"/>
      <c r="V26" s="656"/>
      <c r="W26" s="656"/>
      <c r="X26" s="656"/>
      <c r="Y26" s="656"/>
      <c r="Z26" s="656"/>
      <c r="AA26" s="656"/>
      <c r="AB26" s="656"/>
      <c r="AC26" s="656"/>
    </row>
    <row r="27" spans="2:29" ht="30.95" customHeight="1" x14ac:dyDescent="0.35">
      <c r="B27" s="1157"/>
      <c r="D27" s="258" t="s">
        <v>191</v>
      </c>
      <c r="E27" s="659" t="s">
        <v>286</v>
      </c>
      <c r="F27" s="659" t="s">
        <v>286</v>
      </c>
      <c r="G27" s="659" t="s">
        <v>286</v>
      </c>
      <c r="H27" s="107">
        <f>('A.1. Conso_bâtiment_EF H3'!J107+'A.1. Conso_bâtiment_EF H3'!K107*'D.1. Facteur d''émissions'!C47)/('A.1. Conso_bâtiment_EF H3'!I111)-1</f>
        <v>7.148120854826967E-3</v>
      </c>
      <c r="I27" s="107">
        <f>('A.1. Conso_bâtiment_EF H3'!J108+'A.1. Conso_bâtiment_EF H3'!K108*'D.1. Facteur d''émissions'!C47)/('A.1. Conso_bâtiment_EF H3'!I111)-1</f>
        <v>1.5237861295341215E-2</v>
      </c>
      <c r="J27" s="656"/>
      <c r="K27" s="107">
        <f>(('A.1. Conso_bâtiment_EF H3'!J110)+('A.1. Conso_bâtiment_EF H3'!K110*'D.1. Facteur d''émissions'!C47))/('A.1. Conso_bâtiment_EF H3'!I111)-1</f>
        <v>-0.2156390731188077</v>
      </c>
      <c r="L27" s="656"/>
      <c r="M27" s="658" t="s">
        <v>285</v>
      </c>
      <c r="N27" s="190"/>
      <c r="O27" s="190"/>
      <c r="P27" s="114"/>
      <c r="Q27" s="1157"/>
      <c r="S27" s="258" t="s">
        <v>191</v>
      </c>
      <c r="T27" s="659" t="s">
        <v>286</v>
      </c>
      <c r="U27" s="659" t="s">
        <v>286</v>
      </c>
      <c r="V27" s="659" t="s">
        <v>286</v>
      </c>
      <c r="W27" s="107">
        <f>-(('A.1. Conso_bâtiment_EF H3'!J111*'D.1. Facteur d''émissions'!C8)-(('A.1. Conso_bâtiment_EF H3'!K107*'D.1. Facteur d''émissions'!C15)+('A.1. Conso_bâtiment_EF H3'!J107*'D.1. Facteur d''émissions'!C8)))/('A.1. Conso_bâtiment_EF H3'!J111*'D.1. Facteur d''émissions'!C8)</f>
        <v>-0.57755385834492157</v>
      </c>
      <c r="X27" s="652"/>
      <c r="Y27" s="656"/>
      <c r="Z27" s="253"/>
      <c r="AA27" s="656"/>
      <c r="AB27" s="658" t="s">
        <v>285</v>
      </c>
      <c r="AC27" s="658"/>
    </row>
    <row r="28" spans="2:29" ht="41.45" customHeight="1" x14ac:dyDescent="0.35">
      <c r="B28" s="1157"/>
      <c r="D28" s="253" t="s">
        <v>196</v>
      </c>
      <c r="E28" s="659" t="s">
        <v>286</v>
      </c>
      <c r="F28" s="107">
        <f>('A.1. Conso_bâtiment_EF H3'!I104/'A.1. Conso_bâtiment_EF H3'!L116)-1</f>
        <v>-0.1404331210191081</v>
      </c>
      <c r="G28" s="107">
        <f>('A.1. Conso_bâtiment_EF H3'!I106/'A.1. Conso_bâtiment_EF H3'!L116)-1</f>
        <v>-0.32361783439490444</v>
      </c>
      <c r="H28" s="107">
        <f>('A.1. Conso_bâtiment_EF H3'!J107+('A.1. Conso_bâtiment_EF H3'!K107*'D.1. Facteur d''émissions'!C47))/('A.1. Conso_bâtiment_EF H3'!L116)-1</f>
        <v>-0.37323312101910833</v>
      </c>
      <c r="I28" s="107">
        <f>(('A.1. Conso_bâtiment_EF H3'!J108)+('A.1. Conso_bâtiment_EF H3'!K108*'D.1. Facteur d''émissions'!C47))/('A.1. Conso_bâtiment_EF H3'!L116)-1</f>
        <v>-0.36819872611464965</v>
      </c>
      <c r="J28" s="656"/>
      <c r="K28" s="107">
        <f>(('A.1. Conso_bâtiment_EF H3'!J110)+('A.1. Conso_bâtiment_EF H3'!K110*'D.1. Facteur d''émissions'!C47))/('A.1. Conso_bâtiment_EF H3'!L116)-1</f>
        <v>-0.51187770700636936</v>
      </c>
      <c r="L28" s="656"/>
      <c r="M28" s="107">
        <f>('A.1. Conso_bâtiment_EF H3'!I111)/('A.1. Conso_bâtiment_EF H3'!L116)-1</f>
        <v>-0.37768152866242044</v>
      </c>
      <c r="P28" s="117"/>
      <c r="Q28" s="1157"/>
      <c r="S28" s="253" t="s">
        <v>196</v>
      </c>
      <c r="T28" s="659" t="s">
        <v>286</v>
      </c>
      <c r="U28" s="659" t="s">
        <v>286</v>
      </c>
      <c r="V28" s="107">
        <f>-('A.1. Conso_bâtiment_EF H3'!L116*'D.1. Facteur d''émissions'!C7-'A.1. Conso_bâtiment_EF H3'!I106*'D.1. Facteur d''émissions'!C8)/('A.1. Conso_bâtiment_EF H3'!L116*'D.1. Facteur d''émissions'!C7)</f>
        <v>-0.50106377290241411</v>
      </c>
      <c r="W28" s="107">
        <f>-(('A.1. Conso_bâtiment_EF H3'!L116*'D.1. Facteur d''émissions'!C7)-(('A.1. Conso_bâtiment_EF H3'!K107*'D.1. Facteur d''émissions'!C15)+('A.1. Conso_bâtiment_EF H3'!J107*'D.1. Facteur d''émissions'!C8)))/('A.1. Conso_bâtiment_EF H3'!L116*'D.1. Facteur d''émissions'!C7)</f>
        <v>-0.80607360226468505</v>
      </c>
      <c r="X28" s="107">
        <f>-(('A.1. Conso_bâtiment_EF H3'!L116*'D.1. Facteur d''émissions'!C7)-(('A.1. Conso_bâtiment_EF H3'!K108*'D.1. Facteur d''émissions'!C15)+('A.1. Conso_bâtiment_EF H3'!J108*'D.1. Facteur d''émissions'!C8)))/('A.1. Conso_bâtiment_EF H3'!L116*'D.1. Facteur d''émissions'!C7)</f>
        <v>-0.61336651726036018</v>
      </c>
      <c r="Y28" s="656"/>
      <c r="Z28" s="107">
        <f>-(('A.1. Conso_bâtiment_EF H3'!L116*'D.1. Facteur d''émissions'!C7)-(('A.1. Conso_bâtiment_EF H3'!K110*'D.1. Facteur d''émissions'!C15)+('A.1. Conso_bâtiment_EF H3'!J110*'D.1. Facteur d''émissions'!C8)))/('A.1. Conso_bâtiment_EF H3'!L116*'D.1. Facteur d''émissions'!C7)</f>
        <v>-0.81686451207045685</v>
      </c>
      <c r="AA28" s="656"/>
      <c r="AB28" s="107">
        <f>-('A.1. Conso_bâtiment_EF H3'!L116*'D.1. Facteur d''émissions'!C7-'A.1. Conso_bâtiment_EF H3'!I111*'D.1. Facteur d''émissions'!C8)/('A.1. Conso_bâtiment_EF H3'!L116*'D.1. Facteur d''émissions'!C7)</f>
        <v>-0.54094409058740278</v>
      </c>
      <c r="AC28" s="107">
        <f>-(('A.1. Conso_bâtiment_EF H3'!L116*'D.1. Facteur d''émissions'!C7)-(('A.1. Conso_bâtiment_EF H3'!K122*'D.1. Facteur d''émissions'!C15)))/('A.1. Conso_bâtiment_EF H3'!L116*'D.1. Facteur d''émissions'!C7)</f>
        <v>-0.96181678068726895</v>
      </c>
    </row>
    <row r="29" spans="2:29" ht="36" customHeight="1" x14ac:dyDescent="0.35">
      <c r="B29" s="1157"/>
      <c r="D29" s="253" t="s">
        <v>197</v>
      </c>
      <c r="E29" s="659" t="s">
        <v>286</v>
      </c>
      <c r="F29" s="660">
        <f>('A.1. Conso_bâtiment_EF H3'!I104/'A.1. Conso_bâtiment_EF H3'!L117)-1</f>
        <v>0.14809773361464651</v>
      </c>
      <c r="G29" s="107">
        <f>('A.1. Conso_bâtiment_EF H3'!I106/'A.1. Conso_bâtiment_EF H3'!L117)-1</f>
        <v>-9.6576601102565829E-2</v>
      </c>
      <c r="H29" s="107">
        <f>('A.1. Conso_bâtiment_EF H3'!J107+('A.1. Conso_bâtiment_EF H3'!K107*'D.1. Facteur d''émissions'!C47))/('A.1. Conso_bâtiment_EF H3'!L117)-1</f>
        <v>-0.16284625331790648</v>
      </c>
      <c r="I29" s="107">
        <f>(('A.1. Conso_bâtiment_EF H3'!J108)+('A.1. Conso_bâtiment_EF H3'!K108*'D.1. Facteur d''émissions'!C47))/('A.1. Conso_bâtiment_EF H3'!L117)-1</f>
        <v>-0.15612196283944735</v>
      </c>
      <c r="J29" s="656"/>
      <c r="K29" s="107">
        <f>(('A.1. Conso_bâtiment_EF H3'!J110)+('A.1. Conso_bâtiment_EF H3'!K110*'D.1. Facteur d''émissions'!C47))/('A.1. Conso_bâtiment_EF H3'!L117)-1</f>
        <v>-0.34802967399441909</v>
      </c>
      <c r="L29" s="656"/>
      <c r="M29" s="107">
        <f>('A.1. Conso_bâtiment_EF H3'!I111)/('A.1. Conso_bâtiment_EF H3'!L117)-1</f>
        <v>-0.16878785816375153</v>
      </c>
      <c r="P29" s="117"/>
      <c r="Q29" s="1157"/>
      <c r="S29" s="253" t="s">
        <v>197</v>
      </c>
      <c r="T29" s="659" t="s">
        <v>286</v>
      </c>
      <c r="U29" s="659" t="s">
        <v>286</v>
      </c>
      <c r="V29" s="107">
        <f>-('A.1. Conso_bâtiment_EF H3'!L117*'D.1. Facteur d''émissions'!C7-'A.1. Conso_bâtiment_EF H3'!I106*'D.1. Facteur d''émissions'!C8)/('A.1. Conso_bâtiment_EF H3'!L117*'D.1. Facteur d''émissions'!C7)</f>
        <v>-0.33358582612195453</v>
      </c>
      <c r="W29" s="107">
        <f>-(('A.1. Conso_bâtiment_EF H3'!L117*'D.1. Facteur d''émissions'!C7)-(('A.1. Conso_bâtiment_EF H3'!K107*'D.1. Facteur d''émissions'!C15)+('A.1. Conso_bâtiment_EF H3'!J107*'D.1. Facteur d''émissions'!C8)))/('A.1. Conso_bâtiment_EF H3'!L117*'D.1. Facteur d''émissions'!C7)</f>
        <v>-0.74097831922986768</v>
      </c>
      <c r="X29" s="107">
        <f>-(('A.1. Conso_bâtiment_EF H3'!L117*'D.1. Facteur d''émissions'!C7)-(('A.1. Conso_bâtiment_EF H3'!K108*'D.1. Facteur d''émissions'!C15)+('A.1. Conso_bâtiment_EF H3'!J108*'D.1. Facteur d''émissions'!C8)))/('A.1. Conso_bâtiment_EF H3'!L117*'D.1. Facteur d''émissions'!C7)</f>
        <v>-0.483585237952397</v>
      </c>
      <c r="Y29" s="656"/>
      <c r="Z29" s="107">
        <f>-(('A.1. Conso_bâtiment_EF H3'!L117*'D.1. Facteur d''émissions'!C7)-(('A.1. Conso_bâtiment_EF H3'!K110*'D.1. Facteur d''émissions'!C15)+('A.1. Conso_bâtiment_EF H3'!J110*'D.1. Facteur d''émissions'!C8)))/('A.1. Conso_bâtiment_EF H3'!L117*'D.1. Facteur d''émissions'!C7)</f>
        <v>-0.75539141423689626</v>
      </c>
      <c r="AA29" s="656"/>
      <c r="AB29" s="107">
        <f>-('A.1. Conso_bâtiment_EF H3'!L117*'D.1. Facteur d''émissions'!C7-'A.1. Conso_bâtiment_EF H3'!I111*'D.1. Facteur d''émissions'!C8)/('A.1. Conso_bâtiment_EF H3'!L117*'D.1. Facteur d''émissions'!C7)</f>
        <v>-0.38685277191708839</v>
      </c>
      <c r="AC29" s="107"/>
    </row>
    <row r="30" spans="2:29" ht="36" customHeight="1" x14ac:dyDescent="0.35">
      <c r="B30" s="1157"/>
      <c r="D30" s="253" t="s">
        <v>735</v>
      </c>
      <c r="E30" s="659" t="s">
        <v>286</v>
      </c>
      <c r="F30" s="660">
        <f>('A.1. Conso_bâtiment_EF H3'!I104/'A.1. Conso_bâtiment_EF H3'!K123)-1</f>
        <v>0.9367393800229622</v>
      </c>
      <c r="G30" s="660">
        <f>('A.1. Conso_bâtiment_EF H3'!I106/'A.1. Conso_bâtiment_EF H3'!K123)-1</f>
        <v>0.52399540757749707</v>
      </c>
      <c r="H30" s="660">
        <f>('A.1. Conso_bâtiment_EF H3'!J107+('A.1. Conso_bâtiment_EF H3'!K107*'D.1. Facteur d''émissions'!C47))/('A.1. Conso_bâtiment_EF H3'!K123)-1</f>
        <v>0.41220436280137762</v>
      </c>
      <c r="I30" s="660">
        <f>(('A.1. Conso_bâtiment_EF H3'!J108)+('A.1. Conso_bâtiment_EF H3'!K108*'D.1. Facteur d''émissions'!C47))/('A.1. Conso_bâtiment_EF H3'!K123)-1</f>
        <v>0.42354764638346731</v>
      </c>
      <c r="J30" s="253"/>
      <c r="K30" s="652"/>
      <c r="L30" s="253"/>
      <c r="M30" s="652"/>
      <c r="P30" s="117"/>
      <c r="Q30" s="1157"/>
      <c r="S30" s="253" t="s">
        <v>735</v>
      </c>
      <c r="T30" s="659" t="s">
        <v>286</v>
      </c>
      <c r="U30" s="659" t="s">
        <v>286</v>
      </c>
      <c r="V30" s="660">
        <f>-('A.1. Conso_bâtiment_EF H3'!K123*'D.1. Facteur d''émissions'!C15-'A.1. Conso_bâtiment_EF H3'!I106*'D.1. Facteur d''émissions'!C8)/('A.1. Conso_bâtiment_EF H3'!K123*'D.1. Facteur d''émissions'!C15)</f>
        <v>5.2799121105348581</v>
      </c>
      <c r="W30" s="660">
        <f>-(('A.1. Conso_bâtiment_EF H3'!K123*'D.1. Facteur d''émissions'!C15)-(('A.1. Conso_bâtiment_EF H3'!K107*'D.1. Facteur d''émissions'!C15)+('A.1. Conso_bâtiment_EF H3'!J107*'D.1. Facteur d''émissions'!C8)))/('A.1. Conso_bâtiment_EF H3'!K123*'D.1. Facteur d''émissions'!C15)</f>
        <v>1.4408745397680029</v>
      </c>
      <c r="X30" s="107"/>
      <c r="Y30" s="656"/>
      <c r="Z30" s="107"/>
      <c r="AA30" s="656"/>
      <c r="AB30" s="107"/>
      <c r="AC30" s="107"/>
    </row>
    <row r="31" spans="2:29" ht="30" customHeight="1" x14ac:dyDescent="0.25">
      <c r="P31" s="117"/>
    </row>
    <row r="32" spans="2:29" x14ac:dyDescent="0.25">
      <c r="H32" s="135"/>
      <c r="P32" s="117"/>
    </row>
    <row r="33" spans="2:31" x14ac:dyDescent="0.25">
      <c r="P33" s="117"/>
    </row>
    <row r="34" spans="2:31" x14ac:dyDescent="0.25">
      <c r="P34" s="117"/>
    </row>
    <row r="35" spans="2:31" x14ac:dyDescent="0.25">
      <c r="P35" s="117"/>
    </row>
    <row r="36" spans="2:31" x14ac:dyDescent="0.25">
      <c r="P36" s="117"/>
    </row>
    <row r="37" spans="2:31" x14ac:dyDescent="0.25">
      <c r="P37" s="117"/>
    </row>
    <row r="38" spans="2:31" x14ac:dyDescent="0.25">
      <c r="P38" s="117"/>
    </row>
    <row r="39" spans="2:31" x14ac:dyDescent="0.25">
      <c r="P39" s="117"/>
      <c r="AE39" s="135"/>
    </row>
    <row r="40" spans="2:31" x14ac:dyDescent="0.25">
      <c r="P40" s="117"/>
    </row>
    <row r="41" spans="2:31" ht="26.25" x14ac:dyDescent="0.4">
      <c r="D41" s="653" t="s">
        <v>163</v>
      </c>
      <c r="P41" s="117"/>
      <c r="S41" s="653" t="s">
        <v>163</v>
      </c>
    </row>
    <row r="42" spans="2:31" x14ac:dyDescent="0.25">
      <c r="D42" s="118"/>
      <c r="P42" s="117"/>
      <c r="S42" s="118"/>
    </row>
    <row r="43" spans="2:31" ht="18.75" x14ac:dyDescent="0.3">
      <c r="E43" s="1154" t="s">
        <v>280</v>
      </c>
      <c r="F43" s="1154"/>
      <c r="G43" s="1154"/>
      <c r="H43" s="1154"/>
      <c r="I43" s="1154"/>
      <c r="J43" s="1154"/>
      <c r="K43" s="1154"/>
      <c r="L43" s="1154"/>
      <c r="M43" s="1154"/>
      <c r="N43" s="195"/>
      <c r="O43" s="195"/>
      <c r="P43" s="119"/>
      <c r="T43" s="1154" t="s">
        <v>280</v>
      </c>
      <c r="U43" s="1154"/>
      <c r="V43" s="1154"/>
      <c r="W43" s="1154"/>
      <c r="X43" s="1154"/>
      <c r="Y43" s="1154"/>
      <c r="Z43" s="1154"/>
      <c r="AA43" s="1154"/>
      <c r="AB43" s="1154"/>
      <c r="AC43" s="1086"/>
    </row>
    <row r="44" spans="2:31" x14ac:dyDescent="0.25">
      <c r="P44" s="117"/>
    </row>
    <row r="45" spans="2:31" s="105" customFormat="1" ht="55.5" customHeight="1" x14ac:dyDescent="0.25">
      <c r="E45" s="111" t="s">
        <v>182</v>
      </c>
      <c r="F45" s="111" t="s">
        <v>185</v>
      </c>
      <c r="G45" s="111" t="s">
        <v>186</v>
      </c>
      <c r="H45" s="112" t="s">
        <v>187</v>
      </c>
      <c r="I45" s="111" t="s">
        <v>282</v>
      </c>
      <c r="J45" s="112" t="s">
        <v>189</v>
      </c>
      <c r="K45" s="112" t="s">
        <v>190</v>
      </c>
      <c r="L45" s="112" t="s">
        <v>283</v>
      </c>
      <c r="M45" s="112" t="s">
        <v>191</v>
      </c>
      <c r="N45" s="196"/>
      <c r="O45" s="196"/>
      <c r="P45" s="116"/>
      <c r="T45" s="111" t="s">
        <v>182</v>
      </c>
      <c r="U45" s="111" t="s">
        <v>185</v>
      </c>
      <c r="V45" s="111" t="s">
        <v>186</v>
      </c>
      <c r="W45" s="112" t="s">
        <v>187</v>
      </c>
      <c r="X45" s="111" t="s">
        <v>282</v>
      </c>
      <c r="Y45" s="112" t="s">
        <v>189</v>
      </c>
      <c r="Z45" s="111" t="s">
        <v>190</v>
      </c>
      <c r="AA45" s="111" t="s">
        <v>283</v>
      </c>
      <c r="AB45" s="112" t="s">
        <v>191</v>
      </c>
      <c r="AC45" s="112"/>
    </row>
    <row r="46" spans="2:31" ht="37.5" customHeight="1" x14ac:dyDescent="0.35">
      <c r="B46" s="1157" t="s">
        <v>284</v>
      </c>
      <c r="D46" s="258" t="s">
        <v>182</v>
      </c>
      <c r="E46" s="658" t="s">
        <v>285</v>
      </c>
      <c r="F46" s="107">
        <f>('A.1. Conso_bâtiment_EF H3'!O104)/('A.1. Conso_bâtiment_EF H3'!O103)-1</f>
        <v>-4.9954356425601087E-2</v>
      </c>
      <c r="G46" s="107">
        <f>('A.1. Conso_bâtiment_EF H3'!O106)/('A.1. Conso_bâtiment_EF H3'!O103)-1</f>
        <v>-0.28263515569530373</v>
      </c>
      <c r="H46" s="656"/>
      <c r="I46" s="107">
        <f>(('A.1. Conso_bâtiment_EF H3'!P108)+('A.1. Conso_bâtiment_EF H3'!Q108*'D.1. Facteur d''émissions'!C47))/('A.1. Conso_bâtiment_EF H3'!O103)-1</f>
        <v>-0.32515975251039664</v>
      </c>
      <c r="J46" s="656"/>
      <c r="K46" s="656"/>
      <c r="L46" s="656"/>
      <c r="M46" s="656"/>
      <c r="P46" s="117"/>
      <c r="Q46" s="1157" t="s">
        <v>284</v>
      </c>
      <c r="S46" s="258" t="s">
        <v>182</v>
      </c>
      <c r="T46" s="109" t="s">
        <v>285</v>
      </c>
      <c r="U46" s="107">
        <f>F46</f>
        <v>-4.9954356425601087E-2</v>
      </c>
      <c r="V46" s="107">
        <f>G46</f>
        <v>-0.28263515569530373</v>
      </c>
      <c r="W46" s="120"/>
      <c r="X46" s="107">
        <f>-(('A.1. Conso_bâtiment_EF H3'!P103*'D.1. Facteur d''émissions'!C8)-(('A.1. Conso_bâtiment_EF H3'!Q108*'D.1. Facteur d''émissions'!C15)+('A.1. Conso_bâtiment_EF H3'!P108*'D.1. Facteur d''émissions'!C8)))/('A.1. Conso_bâtiment_EF H3'!P103*'D.1. Facteur d''émissions'!C8)</f>
        <v>-0.42688858511709654</v>
      </c>
      <c r="Y46" s="120"/>
      <c r="Z46" s="120"/>
      <c r="AA46" s="120"/>
      <c r="AB46" s="120"/>
      <c r="AC46" s="120"/>
    </row>
    <row r="47" spans="2:31" ht="37.5" customHeight="1" x14ac:dyDescent="0.35">
      <c r="B47" s="1157"/>
      <c r="D47" s="258" t="s">
        <v>185</v>
      </c>
      <c r="E47" s="659" t="s">
        <v>286</v>
      </c>
      <c r="F47" s="658" t="s">
        <v>285</v>
      </c>
      <c r="G47" s="107">
        <f>('A.1. Conso_bâtiment_EF H3'!O106)/('A.1. Conso_bâtiment_EF H3'!O104)-1</f>
        <v>-0.24491538995355777</v>
      </c>
      <c r="H47" s="656"/>
      <c r="I47" s="107">
        <f>(('A.1. Conso_bâtiment_EF H3'!P108)+('A.1. Conso_bâtiment_EF H3'!Q108*'D.1. Facteur d''émissions'!C47))/('A.1. Conso_bâtiment_EF H3'!O104)-1</f>
        <v>-0.28967597288207969</v>
      </c>
      <c r="J47" s="656"/>
      <c r="K47" s="656"/>
      <c r="L47" s="656"/>
      <c r="M47" s="656"/>
      <c r="P47" s="117"/>
      <c r="Q47" s="1157"/>
      <c r="S47" s="258" t="s">
        <v>185</v>
      </c>
      <c r="T47" s="109"/>
      <c r="U47" s="658" t="s">
        <v>285</v>
      </c>
      <c r="V47" s="107">
        <f>G47</f>
        <v>-0.24491538995355777</v>
      </c>
      <c r="W47" s="120"/>
      <c r="X47" s="107">
        <f>-(('A.1. Conso_bâtiment_EF H3'!P104*'D.1. Facteur d''émissions'!C8)-(('A.1. Conso_bâtiment_EF H3'!Q108*'D.1. Facteur d''émissions'!C15)+('A.1. Conso_bâtiment_EF H3'!P108*'D.1. Facteur d''émissions'!C8)))/('A.1. Conso_bâtiment_EF H3'!P104*'D.1. Facteur d''émissions'!C8)</f>
        <v>-0.39675380992574116</v>
      </c>
      <c r="Y47" s="120"/>
      <c r="Z47" s="120"/>
      <c r="AA47" s="120"/>
      <c r="AB47" s="120"/>
      <c r="AC47" s="120"/>
    </row>
    <row r="48" spans="2:31" ht="37.5" customHeight="1" x14ac:dyDescent="0.35">
      <c r="B48" s="1157"/>
      <c r="D48" s="258" t="s">
        <v>186</v>
      </c>
      <c r="E48" s="659" t="s">
        <v>286</v>
      </c>
      <c r="F48" s="659" t="s">
        <v>286</v>
      </c>
      <c r="G48" s="658" t="s">
        <v>285</v>
      </c>
      <c r="H48" s="656"/>
      <c r="I48" s="107">
        <f>(('A.1. Conso_bâtiment_EF H3'!P108)+('A.1. Conso_bâtiment_EF H3'!Q108*'D.1. Facteur d''émissions'!C47))/('A.1. Conso_bâtiment_EF H3'!O106)-1</f>
        <v>-5.927889713679757E-2</v>
      </c>
      <c r="J48" s="656"/>
      <c r="K48" s="656"/>
      <c r="L48" s="656"/>
      <c r="M48" s="656"/>
      <c r="P48" s="117"/>
      <c r="Q48" s="1157"/>
      <c r="S48" s="258" t="s">
        <v>186</v>
      </c>
      <c r="T48" s="110" t="s">
        <v>286</v>
      </c>
      <c r="U48" s="110"/>
      <c r="V48" s="109" t="s">
        <v>285</v>
      </c>
      <c r="W48" s="120"/>
      <c r="X48" s="107">
        <f>-(('A.1. Conso_bâtiment_EF H3'!P106*'D.1. Facteur d''émissions'!C8)-(('A.1. Conso_bâtiment_EF H3'!Q108*'D.1. Facteur d''émissions'!C15)+('A.1. Conso_bâtiment_EF H3'!P108*'D.1. Facteur d''émissions'!C8)))/('A.1. Conso_bâtiment_EF H3'!P106*'D.1. Facteur d''émissions'!C8)</f>
        <v>-0.20108795484898631</v>
      </c>
      <c r="Y48" s="120"/>
      <c r="Z48" s="120"/>
      <c r="AA48" s="120"/>
      <c r="AB48" s="120"/>
      <c r="AC48" s="120"/>
    </row>
    <row r="49" spans="1:29" ht="37.5" customHeight="1" x14ac:dyDescent="0.35">
      <c r="B49" s="1157"/>
      <c r="D49" s="654" t="s">
        <v>187</v>
      </c>
      <c r="E49" s="656"/>
      <c r="F49" s="656"/>
      <c r="G49" s="656"/>
      <c r="H49" s="656"/>
      <c r="I49" s="656"/>
      <c r="J49" s="656"/>
      <c r="K49" s="656"/>
      <c r="L49" s="656"/>
      <c r="M49" s="656"/>
      <c r="P49" s="117"/>
      <c r="Q49" s="1157"/>
      <c r="S49" s="654" t="s">
        <v>187</v>
      </c>
      <c r="T49" s="120"/>
      <c r="U49" s="120"/>
      <c r="V49" s="120"/>
      <c r="W49" s="120"/>
      <c r="X49" s="120"/>
      <c r="Y49" s="120"/>
      <c r="Z49" s="120"/>
      <c r="AA49" s="120"/>
      <c r="AB49" s="120"/>
      <c r="AC49" s="120"/>
    </row>
    <row r="50" spans="1:29" ht="37.5" customHeight="1" x14ac:dyDescent="0.35">
      <c r="B50" s="1157"/>
      <c r="D50" s="258" t="s">
        <v>289</v>
      </c>
      <c r="E50" s="659" t="s">
        <v>286</v>
      </c>
      <c r="F50" s="659" t="s">
        <v>286</v>
      </c>
      <c r="G50" s="659" t="s">
        <v>286</v>
      </c>
      <c r="H50" s="656"/>
      <c r="I50" s="658" t="s">
        <v>285</v>
      </c>
      <c r="J50" s="656"/>
      <c r="K50" s="656"/>
      <c r="L50" s="656"/>
      <c r="M50" s="656"/>
      <c r="P50" s="117"/>
      <c r="Q50" s="1157"/>
      <c r="S50" s="258" t="s">
        <v>289</v>
      </c>
      <c r="T50" s="659" t="s">
        <v>286</v>
      </c>
      <c r="U50" s="659" t="s">
        <v>286</v>
      </c>
      <c r="V50" s="659" t="s">
        <v>286</v>
      </c>
      <c r="W50" s="120"/>
      <c r="X50" s="658" t="s">
        <v>285</v>
      </c>
      <c r="Y50" s="120"/>
      <c r="Z50" s="120"/>
      <c r="AA50" s="120"/>
      <c r="AB50" s="120"/>
      <c r="AC50" s="120"/>
    </row>
    <row r="51" spans="1:29" ht="37.5" customHeight="1" x14ac:dyDescent="0.35">
      <c r="B51" s="1157"/>
      <c r="D51" s="654" t="s">
        <v>189</v>
      </c>
      <c r="E51" s="656"/>
      <c r="F51" s="656"/>
      <c r="G51" s="656"/>
      <c r="H51" s="656"/>
      <c r="I51" s="656"/>
      <c r="J51" s="656"/>
      <c r="K51" s="656"/>
      <c r="L51" s="656"/>
      <c r="M51" s="656"/>
      <c r="P51" s="117"/>
      <c r="Q51" s="1157"/>
      <c r="S51" s="654" t="s">
        <v>189</v>
      </c>
      <c r="T51" s="120"/>
      <c r="U51" s="120"/>
      <c r="V51" s="120"/>
      <c r="W51" s="120"/>
      <c r="X51" s="120"/>
      <c r="Y51" s="120"/>
      <c r="Z51" s="120"/>
      <c r="AA51" s="120"/>
      <c r="AB51" s="120"/>
      <c r="AC51" s="120"/>
    </row>
    <row r="52" spans="1:29" ht="37.5" customHeight="1" x14ac:dyDescent="0.35">
      <c r="B52" s="1157"/>
      <c r="D52" s="654" t="s">
        <v>190</v>
      </c>
      <c r="E52" s="656"/>
      <c r="F52" s="656"/>
      <c r="G52" s="656"/>
      <c r="H52" s="656"/>
      <c r="I52" s="656"/>
      <c r="J52" s="656"/>
      <c r="K52" s="656"/>
      <c r="L52" s="656"/>
      <c r="M52" s="656"/>
      <c r="P52" s="117"/>
      <c r="Q52" s="1157"/>
      <c r="S52" s="654" t="s">
        <v>190</v>
      </c>
      <c r="T52" s="120"/>
      <c r="U52" s="120"/>
      <c r="V52" s="120"/>
      <c r="W52" s="120"/>
      <c r="X52" s="120"/>
      <c r="Y52" s="120"/>
      <c r="Z52" s="120"/>
      <c r="AA52" s="120"/>
      <c r="AB52" s="120"/>
      <c r="AC52" s="120"/>
    </row>
    <row r="53" spans="1:29" ht="37.5" customHeight="1" x14ac:dyDescent="0.35">
      <c r="B53" s="1157"/>
      <c r="D53" s="656" t="s">
        <v>283</v>
      </c>
      <c r="E53" s="656"/>
      <c r="F53" s="656"/>
      <c r="G53" s="656"/>
      <c r="H53" s="656"/>
      <c r="I53" s="656"/>
      <c r="J53" s="656"/>
      <c r="K53" s="656"/>
      <c r="L53" s="656"/>
      <c r="M53" s="656"/>
      <c r="P53" s="117"/>
      <c r="Q53" s="1157"/>
      <c r="S53" s="656" t="s">
        <v>283</v>
      </c>
      <c r="T53" s="120"/>
      <c r="U53" s="120"/>
      <c r="V53" s="120"/>
      <c r="W53" s="120"/>
      <c r="X53" s="120"/>
      <c r="Y53" s="120"/>
      <c r="Z53" s="120"/>
      <c r="AA53" s="120"/>
      <c r="AB53" s="120"/>
      <c r="AC53" s="120"/>
    </row>
    <row r="54" spans="1:29" ht="37.5" customHeight="1" x14ac:dyDescent="0.35">
      <c r="B54" s="1157"/>
      <c r="D54" s="654" t="s">
        <v>191</v>
      </c>
      <c r="E54" s="656"/>
      <c r="F54" s="656"/>
      <c r="G54" s="656"/>
      <c r="H54" s="656"/>
      <c r="I54" s="656"/>
      <c r="J54" s="656"/>
      <c r="K54" s="656"/>
      <c r="L54" s="656"/>
      <c r="M54" s="656"/>
      <c r="P54" s="117"/>
      <c r="Q54" s="1157"/>
      <c r="S54" s="654" t="s">
        <v>191</v>
      </c>
      <c r="T54" s="120"/>
      <c r="U54" s="120"/>
      <c r="V54" s="120"/>
      <c r="W54" s="120"/>
      <c r="X54" s="120"/>
      <c r="Y54" s="120"/>
      <c r="Z54" s="120"/>
      <c r="AA54" s="120"/>
      <c r="AB54" s="120"/>
      <c r="AC54" s="120"/>
    </row>
    <row r="55" spans="1:29" ht="27.95" customHeight="1" x14ac:dyDescent="0.35">
      <c r="P55" s="117"/>
      <c r="Q55" s="1157"/>
      <c r="S55" s="253" t="s">
        <v>735</v>
      </c>
      <c r="T55" s="659" t="s">
        <v>286</v>
      </c>
      <c r="U55" s="659" t="s">
        <v>286</v>
      </c>
      <c r="V55" s="660">
        <f>-('A.1. Conso_bâtiment_EF H3'!Q123*'D.1. Facteur d''émissions'!C15-'A.1. Conso_bâtiment_EF H3'!O106*'D.1. Facteur d''émissions'!C8)/('A.1. Conso_bâtiment_EF H3'!Q123*'D.1. Facteur d''émissions'!C15)</f>
        <v>6.6122704939811667</v>
      </c>
      <c r="W55" s="120"/>
      <c r="X55" s="660">
        <f>-('A.1. Conso_bâtiment_EF H3'!Q123*'D.1. Facteur d''émissions'!C15-'A.1. Conso_bâtiment_EF H3'!O108*'D.1. Facteur d''émissions'!C8)/('A.1. Conso_bâtiment_EF H3'!Q123*'D.1. Facteur d''émissions'!C15)</f>
        <v>5.4789059368709276</v>
      </c>
      <c r="Y55" s="656"/>
      <c r="Z55" s="120"/>
      <c r="AA55" s="120"/>
      <c r="AB55" s="120"/>
      <c r="AC55" s="120"/>
    </row>
    <row r="56" spans="1:29" ht="14.45" customHeight="1" x14ac:dyDescent="0.35">
      <c r="P56" s="117"/>
      <c r="S56" s="655"/>
    </row>
    <row r="57" spans="1:29" ht="14.45" customHeight="1" x14ac:dyDescent="0.35">
      <c r="P57" s="117"/>
      <c r="S57" s="655"/>
    </row>
    <row r="58" spans="1:29" ht="14.45" customHeight="1" x14ac:dyDescent="0.35">
      <c r="P58" s="117"/>
      <c r="S58" s="655"/>
    </row>
    <row r="59" spans="1:29" ht="14.45" customHeight="1" x14ac:dyDescent="0.25">
      <c r="P59" s="117"/>
    </row>
    <row r="60" spans="1:29" ht="26.25" x14ac:dyDescent="0.4">
      <c r="D60" s="653" t="s">
        <v>170</v>
      </c>
      <c r="P60" s="117"/>
      <c r="S60" s="653" t="s">
        <v>170</v>
      </c>
    </row>
    <row r="61" spans="1:29" ht="14.45" customHeight="1" x14ac:dyDescent="0.25">
      <c r="D61" s="118"/>
      <c r="P61" s="117"/>
      <c r="S61" s="118"/>
    </row>
    <row r="62" spans="1:29" ht="14.45" customHeight="1" x14ac:dyDescent="0.3">
      <c r="E62" s="1154" t="s">
        <v>280</v>
      </c>
      <c r="F62" s="1154"/>
      <c r="G62" s="1154"/>
      <c r="H62" s="1154"/>
      <c r="I62" s="1154"/>
      <c r="J62" s="1154"/>
      <c r="K62" s="1154"/>
      <c r="L62" s="1154"/>
      <c r="M62" s="1154"/>
      <c r="N62" s="195"/>
      <c r="O62" s="195"/>
      <c r="P62" s="119"/>
      <c r="T62" s="1154" t="s">
        <v>280</v>
      </c>
      <c r="U62" s="1154"/>
      <c r="V62" s="1154"/>
      <c r="W62" s="1154"/>
      <c r="X62" s="1154"/>
      <c r="Y62" s="1154"/>
      <c r="Z62" s="1154"/>
      <c r="AA62" s="1154"/>
      <c r="AB62" s="1154"/>
      <c r="AC62" s="1086"/>
    </row>
    <row r="63" spans="1:29" ht="14.45" customHeight="1" x14ac:dyDescent="0.25">
      <c r="P63" s="117"/>
    </row>
    <row r="64" spans="1:29" ht="75" x14ac:dyDescent="0.25">
      <c r="A64" s="105"/>
      <c r="B64" s="105"/>
      <c r="C64" s="105"/>
      <c r="D64" s="105"/>
      <c r="E64" s="111" t="s">
        <v>182</v>
      </c>
      <c r="F64" s="111" t="s">
        <v>185</v>
      </c>
      <c r="G64" s="111" t="s">
        <v>186</v>
      </c>
      <c r="H64" s="111" t="s">
        <v>187</v>
      </c>
      <c r="I64" s="112" t="s">
        <v>282</v>
      </c>
      <c r="J64" s="111" t="s">
        <v>189</v>
      </c>
      <c r="K64" s="111" t="s">
        <v>190</v>
      </c>
      <c r="L64" s="832" t="s">
        <v>283</v>
      </c>
      <c r="M64" s="111" t="s">
        <v>191</v>
      </c>
      <c r="N64" s="196"/>
      <c r="O64" s="196"/>
      <c r="P64" s="116"/>
      <c r="Q64" s="105"/>
      <c r="R64" s="105"/>
      <c r="S64" s="105"/>
      <c r="T64" s="111" t="s">
        <v>182</v>
      </c>
      <c r="U64" s="111" t="s">
        <v>185</v>
      </c>
      <c r="V64" s="111" t="s">
        <v>186</v>
      </c>
      <c r="W64" s="111" t="s">
        <v>187</v>
      </c>
      <c r="X64" s="112" t="s">
        <v>282</v>
      </c>
      <c r="Y64" s="111" t="s">
        <v>189</v>
      </c>
      <c r="Z64" s="111" t="s">
        <v>190</v>
      </c>
      <c r="AA64" s="832" t="s">
        <v>283</v>
      </c>
      <c r="AB64" s="111" t="s">
        <v>191</v>
      </c>
      <c r="AC64" s="111"/>
    </row>
    <row r="65" spans="2:29" ht="32.450000000000003" customHeight="1" x14ac:dyDescent="0.35">
      <c r="B65" s="1157" t="s">
        <v>284</v>
      </c>
      <c r="D65" s="258" t="s">
        <v>182</v>
      </c>
      <c r="E65" s="658" t="s">
        <v>285</v>
      </c>
      <c r="F65" s="107">
        <f>('A.1. Conso_bâtiment_EF H3'!T104)/('A.1. Conso_bâtiment_EF H3'!T103)-1</f>
        <v>-5.0095928373481202E-2</v>
      </c>
      <c r="G65" s="107">
        <f>('A.1. Conso_bâtiment_EF H3'!T106)/('A.1. Conso_bâtiment_EF H3'!T103)-1</f>
        <v>-0.22468556810914531</v>
      </c>
      <c r="H65" s="107">
        <f>('A.1. Conso_bâtiment_EF H3'!U107+('A.1. Conso_bâtiment_EF H3'!V107*'D.1. Facteur d''émissions'!C47))/('A.1. Conso_bâtiment_EF H3'!T103)-1</f>
        <v>-0.29906203368151796</v>
      </c>
      <c r="I65" s="656"/>
      <c r="J65" s="107">
        <f>('A.1. Conso_bâtiment_EF H3'!T109)/('A.1. Conso_bâtiment_EF H3'!T103)-1</f>
        <v>-0.44269167910182627</v>
      </c>
      <c r="K65" s="107">
        <f>('A.1. Conso_bâtiment_EF H3'!U110+'A.1. Conso_bâtiment_EF H3'!V110*'D.1. Facteur d''émissions'!C47)/('A.1. Conso_bâtiment_EF H3'!T103)-1</f>
        <v>-0.49591771477296964</v>
      </c>
      <c r="L65" s="652"/>
      <c r="M65" s="107">
        <f>('A.1. Conso_bâtiment_EF H3'!T111)/('A.1. Conso_bâtiment_EF H3'!T103)-1</f>
        <v>-0.32164428337952111</v>
      </c>
      <c r="N65" s="191"/>
      <c r="O65" s="191"/>
      <c r="P65" s="117"/>
      <c r="Q65" s="1157" t="s">
        <v>284</v>
      </c>
      <c r="S65" s="258" t="s">
        <v>182</v>
      </c>
      <c r="T65" s="658" t="s">
        <v>285</v>
      </c>
      <c r="U65" s="107">
        <f>F65</f>
        <v>-5.0095928373481202E-2</v>
      </c>
      <c r="V65" s="107">
        <f>G65</f>
        <v>-0.22468556810914531</v>
      </c>
      <c r="W65" s="107">
        <f>-(('A.1. Conso_bâtiment_EF H3'!U103*'D.1. Facteur d''émissions'!C8)-(('A.1. Conso_bâtiment_EF H3'!V107*'D.1. Facteur d''émissions'!C15)+('A.1. Conso_bâtiment_EF H3'!U107*'D.1. Facteur d''émissions'!C8)))/('A.1. Conso_bâtiment_EF H3'!U103*'D.1. Facteur d''émissions'!C8)</f>
        <v>-0.81671838444310252</v>
      </c>
      <c r="X65" s="656"/>
      <c r="Y65" s="107">
        <f>J65</f>
        <v>-0.44269167910182627</v>
      </c>
      <c r="Z65" s="107">
        <f>-(('A.1. Conso_bâtiment_EF H3'!U103*'D.1. Facteur d''émissions'!C8)-(('A.1. Conso_bâtiment_EF H3'!V110*'D.1. Facteur d''émissions'!C15)+('A.1. Conso_bâtiment_EF H3'!U110*'D.1. Facteur d''émissions'!C8)))/('A.1. Conso_bâtiment_EF H3'!U103*'D.1. Facteur d''émissions'!C8)</f>
        <v>-0.83748904026137472</v>
      </c>
      <c r="AA65" s="652"/>
      <c r="AB65" s="107">
        <f>M65</f>
        <v>-0.32164428337952111</v>
      </c>
      <c r="AC65" s="107"/>
    </row>
    <row r="66" spans="2:29" ht="32.450000000000003" customHeight="1" x14ac:dyDescent="0.35">
      <c r="B66" s="1157"/>
      <c r="D66" s="258" t="s">
        <v>185</v>
      </c>
      <c r="E66" s="659" t="s">
        <v>286</v>
      </c>
      <c r="F66" s="658" t="s">
        <v>285</v>
      </c>
      <c r="G66" s="107">
        <f>('A.1. Conso_bâtiment_EF H3'!T106)/('A.1. Conso_bâtiment_EF H3'!T104)-1</f>
        <v>-0.18379712746858168</v>
      </c>
      <c r="H66" s="107">
        <f>('A.1. Conso_bâtiment_EF H3'!U107+'A.1. Conso_bâtiment_EF H3'!V107*'D.1. Facteur d''émissions'!C47)/('A.1. Conso_bâtiment_EF H3'!T104)-1</f>
        <v>-0.26209605026929994</v>
      </c>
      <c r="I66" s="656"/>
      <c r="J66" s="107">
        <f>('A.1. Conso_bâtiment_EF H3'!T109)/('A.1. Conso_bâtiment_EF H3'!T104)-1</f>
        <v>-0.41330041891083191</v>
      </c>
      <c r="K66" s="107">
        <f>('A.1. Conso_bâtiment_EF H3'!U110+'A.1. Conso_bâtiment_EF H3'!V110*'D.1. Facteur d''émissions'!C47)/('A.1. Conso_bâtiment_EF H3'!T104)-1</f>
        <v>-0.46933348294434474</v>
      </c>
      <c r="L66" s="652"/>
      <c r="M66" s="107">
        <f>('A.1. Conso_bâtiment_EF H3'!T111)/('A.1. Conso_bâtiment_EF H3'!T104)-1</f>
        <v>-0.28586923997606228</v>
      </c>
      <c r="N66" s="191"/>
      <c r="O66" s="191"/>
      <c r="P66" s="117"/>
      <c r="Q66" s="1157"/>
      <c r="S66" s="258" t="s">
        <v>185</v>
      </c>
      <c r="T66" s="659" t="s">
        <v>286</v>
      </c>
      <c r="U66" s="658" t="s">
        <v>285</v>
      </c>
      <c r="V66" s="107">
        <f>G66</f>
        <v>-0.18379712746858168</v>
      </c>
      <c r="W66" s="107">
        <f>-(('A.1. Conso_bâtiment_EF H3'!U104*'D.1. Facteur d''émissions'!C8)-(('A.1. Conso_bâtiment_EF H3'!V107*'D.1. Facteur d''émissions'!C15)+('A.1. Conso_bâtiment_EF H3'!U107*'D.1. Facteur d''émissions'!C8)))/('A.1. Conso_bâtiment_EF H3'!U104*'D.1. Facteur d''émissions'!C8)</f>
        <v>-0.80705250031925357</v>
      </c>
      <c r="X66" s="656"/>
      <c r="Y66" s="107">
        <f>J66</f>
        <v>-0.41330041891083191</v>
      </c>
      <c r="Z66" s="107">
        <f>-(('A.1. Conso_bâtiment_EF H3'!U104*'D.1. Facteur d''émissions'!C8)-(('A.1. Conso_bâtiment_EF H3'!V110*'D.1. Facteur d''émissions'!C15)+('A.1. Conso_bâtiment_EF H3'!U110*'D.1. Facteur d''émissions'!C8)))/('A.1. Conso_bâtiment_EF H3'!U104*'D.1. Facteur d''émissions'!C8)</f>
        <v>-0.82891855652291491</v>
      </c>
      <c r="AA66" s="652"/>
      <c r="AB66" s="107"/>
      <c r="AC66" s="107"/>
    </row>
    <row r="67" spans="2:29" ht="32.450000000000003" customHeight="1" x14ac:dyDescent="0.35">
      <c r="B67" s="1157"/>
      <c r="D67" s="258" t="s">
        <v>186</v>
      </c>
      <c r="E67" s="659" t="s">
        <v>286</v>
      </c>
      <c r="F67" s="659" t="s">
        <v>286</v>
      </c>
      <c r="G67" s="658" t="s">
        <v>285</v>
      </c>
      <c r="H67" s="107">
        <f>('A.1. Conso_bâtiment_EF H3'!U107+'A.1. Conso_bâtiment_EF H3'!V107*'D.1. Facteur d''émissions'!C47)/('A.1. Conso_bâtiment_EF H3'!T106)-1</f>
        <v>-9.5930712125378181E-2</v>
      </c>
      <c r="I67" s="656"/>
      <c r="J67" s="107">
        <f>('A.1. Conso_bâtiment_EF H3'!T109)/('A.1. Conso_bâtiment_EF H3'!T106)-1</f>
        <v>-0.28118412611126398</v>
      </c>
      <c r="K67" s="107">
        <f>('A.1. Conso_bâtiment_EF H3'!U110+'A.1. Conso_bâtiment_EF H3'!V110*'D.1. Facteur d''émissions'!C47)/('A.1. Conso_bâtiment_EF H3'!T106)-1</f>
        <v>-0.34983502886994777</v>
      </c>
      <c r="L67" s="652"/>
      <c r="M67" s="107">
        <f>('A.1. Conso_bâtiment_EF H3'!T111)/('A.1. Conso_bâtiment_EF H3'!T106)-1</f>
        <v>-0.12505728164237917</v>
      </c>
      <c r="N67" s="191"/>
      <c r="O67" s="191"/>
      <c r="P67" s="117"/>
      <c r="Q67" s="1157"/>
      <c r="S67" s="258" t="s">
        <v>186</v>
      </c>
      <c r="T67" s="659" t="s">
        <v>286</v>
      </c>
      <c r="U67" s="659" t="s">
        <v>286</v>
      </c>
      <c r="V67" s="658" t="s">
        <v>285</v>
      </c>
      <c r="W67" s="107">
        <f>-(('A.1. Conso_bâtiment_EF H3'!U106*'D.1. Facteur d''émissions'!C8)-(('A.1. Conso_bâtiment_EF H3'!V107*'D.1. Facteur d''émissions'!C15)+('A.1. Conso_bâtiment_EF H3'!U107*'D.1. Facteur d''émissions'!C8)))/('A.1. Conso_bâtiment_EF H3'!U106*'D.1. Facteur d''émissions'!C8)</f>
        <v>-0.76360350327813964</v>
      </c>
      <c r="X67" s="656"/>
      <c r="Y67" s="107">
        <f>J67</f>
        <v>-0.28118412611126398</v>
      </c>
      <c r="Z67" s="107">
        <f>-(('A.1. Conso_bâtiment_EF H3'!U106*'D.1. Facteur d''émissions'!C8)-(('A.1. Conso_bâtiment_EF H3'!V110*'D.1. Facteur d''émissions'!C15)+('A.1. Conso_bâtiment_EF H3'!U110*'D.1. Facteur d''émissions'!C8)))/('A.1. Conso_bâtiment_EF H3'!U106*'D.1. Facteur d''émissions'!C8)</f>
        <v>-0.79039348030412671</v>
      </c>
      <c r="AA67" s="652"/>
      <c r="AB67" s="107">
        <f>M67</f>
        <v>-0.12505728164237917</v>
      </c>
      <c r="AC67" s="107"/>
    </row>
    <row r="68" spans="2:29" ht="32.450000000000003" customHeight="1" x14ac:dyDescent="0.35">
      <c r="B68" s="1157"/>
      <c r="D68" s="258" t="s">
        <v>288</v>
      </c>
      <c r="E68" s="659" t="s">
        <v>286</v>
      </c>
      <c r="F68" s="659" t="s">
        <v>286</v>
      </c>
      <c r="G68" s="659" t="s">
        <v>286</v>
      </c>
      <c r="H68" s="658" t="s">
        <v>285</v>
      </c>
      <c r="I68" s="656"/>
      <c r="J68" s="659" t="s">
        <v>286</v>
      </c>
      <c r="K68" s="107">
        <f>('A.1. Conso_bâtiment_EF H3'!U110+'A.1. Conso_bâtiment_EF H3'!V110*'D.1. Facteur d''émissions'!C47)/('A.1. Conso_bâtiment_EF H3'!U107+'A.1. Conso_bâtiment_EF H3'!V107*'D.1. Facteur d''émissions'!C47)-1</f>
        <v>-0.2808460813235607</v>
      </c>
      <c r="L68" s="671"/>
      <c r="M68" s="659" t="s">
        <v>286</v>
      </c>
      <c r="N68" s="192"/>
      <c r="O68" s="192"/>
      <c r="P68" s="117"/>
      <c r="Q68" s="1157"/>
      <c r="S68" s="258" t="s">
        <v>187</v>
      </c>
      <c r="T68" s="659" t="s">
        <v>286</v>
      </c>
      <c r="U68" s="659" t="s">
        <v>286</v>
      </c>
      <c r="V68" s="659" t="s">
        <v>286</v>
      </c>
      <c r="W68" s="658" t="s">
        <v>285</v>
      </c>
      <c r="X68" s="656"/>
      <c r="Y68" s="659" t="s">
        <v>286</v>
      </c>
      <c r="Z68" s="107">
        <f>-((('A.1. Conso_bâtiment_EF H3'!V107*'D.1. Facteur d''émissions'!C15)+('A.1. Conso_bâtiment_EF H3'!U107*'D.1. Facteur d''émissions'!C8))-(('A.1. Conso_bâtiment_EF H3'!V110*'D.1. Facteur d''émissions'!C15)+('A.1. Conso_bâtiment_EF H3'!U110*'D.1. Facteur d''émissions'!C8)))/(('A.1. Conso_bâtiment_EF H3'!V107*'D.1. Facteur d''émissions'!C15)+('A.1. Conso_bâtiment_EF H3'!U107*'D.1. Facteur d''émissions'!C8))</f>
        <v>-0.11332645533029008</v>
      </c>
      <c r="AA68" s="671"/>
      <c r="AB68" s="659" t="s">
        <v>286</v>
      </c>
      <c r="AC68" s="659"/>
    </row>
    <row r="69" spans="2:29" ht="32.450000000000003" customHeight="1" x14ac:dyDescent="0.35">
      <c r="B69" s="1157"/>
      <c r="D69" s="654" t="s">
        <v>289</v>
      </c>
      <c r="E69" s="656"/>
      <c r="F69" s="656"/>
      <c r="G69" s="656"/>
      <c r="H69" s="656"/>
      <c r="I69" s="656"/>
      <c r="J69" s="656"/>
      <c r="K69" s="656"/>
      <c r="L69" s="253"/>
      <c r="M69" s="656"/>
      <c r="N69" s="192"/>
      <c r="O69" s="192"/>
      <c r="P69" s="117"/>
      <c r="Q69" s="1157"/>
      <c r="S69" s="654" t="s">
        <v>289</v>
      </c>
      <c r="T69" s="656"/>
      <c r="U69" s="656"/>
      <c r="V69" s="656"/>
      <c r="W69" s="656"/>
      <c r="X69" s="656"/>
      <c r="Y69" s="656"/>
      <c r="Z69" s="656"/>
      <c r="AA69" s="656"/>
      <c r="AB69" s="656"/>
      <c r="AC69" s="656"/>
    </row>
    <row r="70" spans="2:29" ht="32.450000000000003" customHeight="1" x14ac:dyDescent="0.35">
      <c r="B70" s="1157"/>
      <c r="D70" s="258" t="s">
        <v>189</v>
      </c>
      <c r="E70" s="659" t="s">
        <v>286</v>
      </c>
      <c r="F70" s="659" t="s">
        <v>286</v>
      </c>
      <c r="G70" s="659" t="s">
        <v>286</v>
      </c>
      <c r="H70" s="553">
        <f>('A.1. Conso_bâtiment_EF H3'!U107+'A.1. Conso_bâtiment_EF H3'!V107*'D.1. Facteur d''émissions'!C47)/('A.1. Conso_bâtiment_EF H3'!T109)-1</f>
        <v>0.25772026010455185</v>
      </c>
      <c r="I70" s="656"/>
      <c r="J70" s="658" t="s">
        <v>285</v>
      </c>
      <c r="K70" s="107">
        <f>('A.1. Conso_bâtiment_EF H3'!U110+'A.1. Conso_bâtiment_EF H3'!V110*'D.1. Facteur d''émissions'!C47)/('A.1. Conso_bâtiment_EF H3'!T109)-1</f>
        <v>-9.5505546347061099E-2</v>
      </c>
      <c r="L70" s="658"/>
      <c r="M70" s="659" t="s">
        <v>286</v>
      </c>
      <c r="N70" s="1155" t="s">
        <v>290</v>
      </c>
      <c r="O70" s="1156"/>
      <c r="P70" s="117"/>
      <c r="Q70" s="1157"/>
      <c r="S70" s="258" t="s">
        <v>189</v>
      </c>
      <c r="T70" s="659" t="s">
        <v>286</v>
      </c>
      <c r="U70" s="659" t="s">
        <v>286</v>
      </c>
      <c r="V70" s="659" t="s">
        <v>286</v>
      </c>
      <c r="W70" s="107">
        <f>-(('A.1. Conso_bâtiment_EF H3'!U109*'D.1. Facteur d''émissions'!C8)-(('A.1. Conso_bâtiment_EF H3'!V107*'D.1. Facteur d''émissions'!C15)+('A.1. Conso_bâtiment_EF H3'!U107*'D.1. Facteur d''émissions'!C8)))/('A.1. Conso_bâtiment_EF H3'!U109*'D.1. Facteur d''émissions'!C8)</f>
        <v>-0.6711306673808215</v>
      </c>
      <c r="X70" s="656"/>
      <c r="Y70" s="658" t="s">
        <v>285</v>
      </c>
      <c r="Z70" s="107">
        <f>-(('A.1. Conso_bâtiment_EF H3'!U109*'D.1. Facteur d''émissions'!C8)-(('A.1. Conso_bâtiment_EF H3'!V110*'D.1. Facteur d''émissions'!C15)+('A.1. Conso_bâtiment_EF H3'!U110*'D.1. Facteur d''émissions'!C8)))/('A.1. Conso_bâtiment_EF H3'!U109*'D.1. Facteur d''émissions'!C8)</f>
        <v>-0.7084002631133911</v>
      </c>
      <c r="AA70" s="658"/>
      <c r="AB70" s="659" t="s">
        <v>286</v>
      </c>
      <c r="AC70" s="659"/>
    </row>
    <row r="71" spans="2:29" ht="32.450000000000003" customHeight="1" x14ac:dyDescent="0.35">
      <c r="B71" s="1157"/>
      <c r="D71" s="258" t="s">
        <v>190</v>
      </c>
      <c r="E71" s="659" t="s">
        <v>286</v>
      </c>
      <c r="F71" s="659" t="s">
        <v>286</v>
      </c>
      <c r="G71" s="659" t="s">
        <v>286</v>
      </c>
      <c r="H71" s="659" t="s">
        <v>286</v>
      </c>
      <c r="I71" s="656"/>
      <c r="J71" s="553">
        <f>('A.1. Conso_bâtiment_EF H3'!T109*'D.1. Facteur d''émissions'!C37)/('A.1. Conso_bâtiment_EF H3'!U110*'D.1. Facteur d''émissions'!C37+'A.1. Conso_bâtiment_EF H3'!V110*2.3)-1</f>
        <v>0.19611921695239598</v>
      </c>
      <c r="K71" s="658" t="s">
        <v>285</v>
      </c>
      <c r="L71" s="658"/>
      <c r="M71" s="671"/>
      <c r="N71" s="1155"/>
      <c r="O71" s="1156"/>
      <c r="P71" s="117"/>
      <c r="Q71" s="1157"/>
      <c r="S71" s="258" t="s">
        <v>190</v>
      </c>
      <c r="T71" s="659" t="s">
        <v>286</v>
      </c>
      <c r="U71" s="659" t="s">
        <v>286</v>
      </c>
      <c r="V71" s="659" t="s">
        <v>286</v>
      </c>
      <c r="W71" s="659" t="s">
        <v>286</v>
      </c>
      <c r="X71" s="656"/>
      <c r="Y71" s="659" t="s">
        <v>286</v>
      </c>
      <c r="Z71" s="658" t="s">
        <v>285</v>
      </c>
      <c r="AA71" s="658"/>
      <c r="AB71" s="671"/>
      <c r="AC71" s="671"/>
    </row>
    <row r="72" spans="2:29" ht="32.450000000000003" customHeight="1" x14ac:dyDescent="0.35">
      <c r="B72" s="1157"/>
      <c r="D72" s="258" t="s">
        <v>283</v>
      </c>
      <c r="E72" s="659" t="s">
        <v>286</v>
      </c>
      <c r="F72" s="659" t="s">
        <v>286</v>
      </c>
      <c r="G72" s="659" t="s">
        <v>286</v>
      </c>
      <c r="H72" s="652"/>
      <c r="I72" s="656"/>
      <c r="J72" s="658"/>
      <c r="K72" s="658"/>
      <c r="L72" s="658" t="s">
        <v>285</v>
      </c>
      <c r="M72" s="671"/>
      <c r="N72" s="1155"/>
      <c r="O72" s="1156"/>
      <c r="P72" s="117"/>
      <c r="Q72" s="1157"/>
      <c r="S72" s="672" t="s">
        <v>283</v>
      </c>
      <c r="T72" s="659" t="s">
        <v>286</v>
      </c>
      <c r="U72" s="659" t="s">
        <v>286</v>
      </c>
      <c r="V72" s="659" t="s">
        <v>286</v>
      </c>
      <c r="W72" s="652"/>
      <c r="X72" s="656"/>
      <c r="Y72" s="658"/>
      <c r="Z72" s="658"/>
      <c r="AA72" s="658" t="s">
        <v>285</v>
      </c>
      <c r="AB72" s="671"/>
      <c r="AC72" s="671"/>
    </row>
    <row r="73" spans="2:29" ht="32.450000000000003" customHeight="1" x14ac:dyDescent="0.35">
      <c r="B73" s="1157"/>
      <c r="D73" s="258" t="s">
        <v>191</v>
      </c>
      <c r="E73" s="659" t="s">
        <v>286</v>
      </c>
      <c r="F73" s="659" t="s">
        <v>286</v>
      </c>
      <c r="G73" s="659" t="s">
        <v>286</v>
      </c>
      <c r="H73" s="107">
        <f>('A.1. Conso_bâtiment_EF H3'!U107+'A.1. Conso_bâtiment_EF H3'!V107*'D.1. Facteur d''émissions'!C47)/('A.1. Conso_bâtiment_EF H3'!T111)-1</f>
        <v>3.328968731995996E-2</v>
      </c>
      <c r="I73" s="656"/>
      <c r="J73" s="107">
        <f>('A.1. Conso_bâtiment_EF H3'!T109)/('A.1. Conso_bâtiment_EF H3'!T111)-1</f>
        <v>-0.17844236107473954</v>
      </c>
      <c r="K73" s="107">
        <f>('A.1. Conso_bâtiment_EF H3'!U110+'A.1. Conso_bâtiment_EF H3'!V110*'D.1. Facteur d''émissions'!C47)/('A.1. Conso_bâtiment_EF H3'!T111)-1</f>
        <v>-0.256905672235898</v>
      </c>
      <c r="L73" s="652"/>
      <c r="M73" s="658" t="s">
        <v>285</v>
      </c>
      <c r="N73" s="1155"/>
      <c r="O73" s="1156"/>
      <c r="P73" s="117"/>
      <c r="Q73" s="1157"/>
      <c r="S73" s="258" t="s">
        <v>191</v>
      </c>
      <c r="T73" s="659" t="s">
        <v>286</v>
      </c>
      <c r="U73" s="659" t="s">
        <v>286</v>
      </c>
      <c r="V73" s="659" t="s">
        <v>286</v>
      </c>
      <c r="W73" s="107">
        <f>-(('A.1. Conso_bâtiment_EF H3'!U111*'D.1. Facteur d''émissions'!C8)-(('A.1. Conso_bâtiment_EF H3'!V107*'D.1. Facteur d''émissions'!C15)+('A.1. Conso_bâtiment_EF H3'!U107*'D.1. Facteur d''émissions'!C8)))/('A.1. Conso_bâtiment_EF H3'!U111*'D.1. Facteur d''émissions'!C8)</f>
        <v>-0.72981488757846158</v>
      </c>
      <c r="X73" s="656"/>
      <c r="Y73" s="107">
        <f>J73</f>
        <v>-0.17844236107473954</v>
      </c>
      <c r="Z73" s="107">
        <f>-(('A.1. Conso_bâtiment_EF H3'!U111*'D.1. Facteur d''émissions'!C8)-(('A.1. Conso_bâtiment_EF H3'!V110*'D.1. Facteur d''émissions'!C15)+('A.1. Conso_bâtiment_EF H3'!U110*'D.1. Facteur d''émissions'!C8)))/('A.1. Conso_bâtiment_EF H3'!U111*'D.1. Facteur d''émissions'!C8)</f>
        <v>-0.76043400865221045</v>
      </c>
      <c r="AA73" s="652"/>
      <c r="AB73" s="658" t="s">
        <v>285</v>
      </c>
      <c r="AC73" s="658"/>
    </row>
    <row r="74" spans="2:29" ht="36.6" customHeight="1" x14ac:dyDescent="0.35">
      <c r="B74" s="1157"/>
      <c r="D74" s="253" t="s">
        <v>196</v>
      </c>
      <c r="E74" s="659" t="s">
        <v>286</v>
      </c>
      <c r="F74" s="659" t="s">
        <v>286</v>
      </c>
      <c r="G74" s="107">
        <f>('A.1. Conso_bâtiment_EF H3'!T106)/('A.1. Conso_bâtiment_EF H3'!W116)-1</f>
        <v>-0.24063054598601108</v>
      </c>
      <c r="H74" s="107">
        <f>('A.1. Conso_bâtiment_EF H3'!U107+('A.1. Conso_bâtiment_EF H3'!V107*'D.1. Facteur d''émissions'!C47))/('A.1. Conso_bâtiment_EF H3'!W116)-1</f>
        <v>-0.31347739847583267</v>
      </c>
      <c r="I74" s="656"/>
      <c r="J74" s="107">
        <f>('A.1. Conso_bâtiment_EF H3'!T109)/('A.1. Conso_bâtiment_EF H3'!W116)-1</f>
        <v>-0.4541531823085222</v>
      </c>
      <c r="K74" s="107">
        <f>('A.1. Conso_bâtiment_EF H3'!U110+'A.1. Conso_bâtiment_EF H3'!V110*'D.1. Facteur d''émissions'!C47)/('A.1. Conso_bâtiment_EF H3'!W116)-1</f>
        <v>-0.50628458085395134</v>
      </c>
      <c r="L74" s="699"/>
      <c r="M74" s="107">
        <f>('A.1. Conso_bâtiment_EF H3'!T111)/('A.1. Conso_bâtiment_EF H3'!W116)-1</f>
        <v>-0.33559522566725819</v>
      </c>
      <c r="P74" s="117"/>
      <c r="Q74" s="1157"/>
      <c r="S74" s="253" t="s">
        <v>196</v>
      </c>
      <c r="T74" s="659" t="s">
        <v>286</v>
      </c>
      <c r="U74" s="659" t="s">
        <v>286</v>
      </c>
      <c r="V74" s="107">
        <f>-('A.1. Conso_bâtiment_EF H3'!W116*'D.1. Facteur d''émissions'!C7-'A.1. Conso_bâtiment_EF H3'!T106*'D.1. Facteur d''émissions'!C8)/('A.1. Conso_bâtiment_EF H3'!W116*'D.1. Facteur d''émissions'!C7)</f>
        <v>-0.4398478410205453</v>
      </c>
      <c r="W74" s="107">
        <f>-(('A.1. Conso_bâtiment_EF H3'!W116*'D.1. Facteur d''émissions'!C7)-(('A.1. Conso_bâtiment_EF H3'!V107*'D.1. Facteur d''émissions'!C15)+('A.1. Conso_bâtiment_EF H3'!U107*'D.1. Facteur d''émissions'!C8)))/('A.1. Conso_bâtiment_EF H3'!W116*'D.1. Facteur d''émissions'!C7)</f>
        <v>-0.86758199198607033</v>
      </c>
      <c r="X74" s="656"/>
      <c r="Y74" s="107">
        <f>-('A.1. Conso_bâtiment_EF H3'!W116*'D.1. Facteur d''émissions'!C7-'A.1. Conso_bâtiment_EF H3'!T109*'D.1. Facteur d''émissions'!C8)/('A.1. Conso_bâtiment_EF H3'!W116*'D.1. Facteur d''émissions'!C7)</f>
        <v>-0.59735373633252098</v>
      </c>
      <c r="Z74" s="107">
        <f>-(('A.1. Conso_bâtiment_EF H3'!W116*'D.1. Facteur d''émissions'!C7)-(('A.1. Conso_bâtiment_EF H3'!V110*'D.1. Facteur d''émissions'!C15)+('A.1. Conso_bâtiment_EF H3'!U110*'D.1. Facteur d''émissions'!C8)))/('A.1. Conso_bâtiment_EF H3'!W116*'D.1. Facteur d''émissions'!C7)</f>
        <v>-0.88258845545618703</v>
      </c>
      <c r="AA74" s="699"/>
      <c r="AB74" s="699"/>
      <c r="AC74" s="699"/>
    </row>
    <row r="75" spans="2:29" ht="36.6" customHeight="1" x14ac:dyDescent="0.35">
      <c r="B75" s="1157"/>
      <c r="D75" s="253" t="s">
        <v>197</v>
      </c>
      <c r="E75" s="659" t="s">
        <v>286</v>
      </c>
      <c r="F75" s="659" t="s">
        <v>286</v>
      </c>
      <c r="G75" s="107">
        <f>('A.1. Conso_bâtiment_EF H3'!T106)/('A.1. Conso_bâtiment_EF H3'!W117)-1</f>
        <v>-2.1039881566551566E-2</v>
      </c>
      <c r="H75" s="107">
        <f>('A.1. Conso_bâtiment_EF H3'!U107+('A.1. Conso_bâtiment_EF H3'!V107*'D.1. Facteur d''émissions'!C47))/('A.1. Conso_bâtiment_EF H3'!W117)-1</f>
        <v>-0.11495222287021678</v>
      </c>
      <c r="I75" s="656"/>
      <c r="J75" s="107">
        <f>('A.1. Conso_bâtiment_EF H3'!T109)/('A.1. Conso_bâtiment_EF H3'!W117)-1</f>
        <v>-0.29630792696604014</v>
      </c>
      <c r="K75" s="107">
        <f>('A.1. Conso_bâtiment_EF H3'!U110+'A.1. Conso_bâtiment_EF H3'!V110*'D.1. Facteur d''émissions'!C47)/('A.1. Conso_bâtiment_EF H3'!W117)-1</f>
        <v>-0.36351442286124447</v>
      </c>
      <c r="L75" s="699"/>
      <c r="M75" s="107">
        <f>('A.1. Conso_bâtiment_EF H3'!T111)/('A.1. Conso_bâtiment_EF H3'!W117)-1</f>
        <v>-0.1434659728141402</v>
      </c>
      <c r="P75" s="117"/>
      <c r="Q75" s="1157"/>
      <c r="S75" s="253" t="s">
        <v>197</v>
      </c>
      <c r="T75" s="659" t="s">
        <v>286</v>
      </c>
      <c r="U75" s="659" t="s">
        <v>286</v>
      </c>
      <c r="V75" s="107">
        <f>-('A.1. Conso_bâtiment_EF H3'!W117*'D.1. Facteur d''émissions'!C7-'A.1. Conso_bâtiment_EF H3'!T106*'D.1. Facteur d''émissions'!C8)/('A.1. Conso_bâtiment_EF H3'!W117*'D.1. Facteur d''émissions'!C7)</f>
        <v>-0.27786583856298103</v>
      </c>
      <c r="W75" s="107">
        <f>-(('A.1. Conso_bâtiment_EF H3'!W117*'D.1. Facteur d''émissions'!C7)-(('A.1. Conso_bâtiment_EF H3'!V107*'D.1. Facteur d''émissions'!C15)+('A.1. Conso_bâtiment_EF H3'!U107*'D.1. Facteur d''émissions'!C8)))/('A.1. Conso_bâtiment_EF H3'!W117*'D.1. Facteur d''émissions'!C7)</f>
        <v>-0.82929001407311043</v>
      </c>
      <c r="X75" s="656"/>
      <c r="Y75" s="107">
        <f>-('A.1. Conso_bâtiment_EF H3'!W117*'D.1. Facteur d''émissions'!C7-'A.1. Conso_bâtiment_EF H3'!T109*'D.1. Facteur d''émissions'!C8)/('A.1. Conso_bâtiment_EF H3'!W117*'D.1. Facteur d''émissions'!C7)</f>
        <v>-0.4809185016817395</v>
      </c>
      <c r="Z75" s="107">
        <f>-(('A.1. Conso_bâtiment_EF H3'!W117*'D.1. Facteur d''émissions'!C7)-(('A.1. Conso_bâtiment_EF H3'!V110*'D.1. Facteur d''émissions'!C15)+('A.1. Conso_bâtiment_EF H3'!U110*'D.1. Facteur d''émissions'!C8)))/('A.1. Conso_bâtiment_EF H3'!W117*'D.1. Facteur d''émissions'!C7)</f>
        <v>-0.84863597166768856</v>
      </c>
      <c r="AA75" s="699"/>
      <c r="AB75" s="699"/>
      <c r="AC75" s="699"/>
    </row>
    <row r="76" spans="2:29" ht="14.45" customHeight="1" x14ac:dyDescent="0.25">
      <c r="P76" s="117"/>
    </row>
    <row r="77" spans="2:29" ht="14.45" customHeight="1" x14ac:dyDescent="0.25">
      <c r="P77" s="117"/>
    </row>
    <row r="78" spans="2:29" ht="29.45" customHeight="1" x14ac:dyDescent="0.4">
      <c r="D78" s="653" t="s">
        <v>165</v>
      </c>
      <c r="P78" s="117"/>
      <c r="S78" s="653" t="s">
        <v>165</v>
      </c>
    </row>
    <row r="79" spans="2:29" ht="14.45" customHeight="1" x14ac:dyDescent="0.25">
      <c r="D79" s="118"/>
      <c r="P79" s="117"/>
      <c r="S79" s="118"/>
    </row>
    <row r="80" spans="2:29" ht="14.45" customHeight="1" x14ac:dyDescent="0.3">
      <c r="E80" s="1154" t="s">
        <v>280</v>
      </c>
      <c r="F80" s="1154"/>
      <c r="G80" s="1154"/>
      <c r="H80" s="1154"/>
      <c r="I80" s="1154"/>
      <c r="J80" s="1154"/>
      <c r="K80" s="1154"/>
      <c r="L80" s="1154"/>
      <c r="M80" s="1154"/>
      <c r="P80" s="117"/>
      <c r="T80" s="1154" t="s">
        <v>280</v>
      </c>
      <c r="U80" s="1154"/>
      <c r="V80" s="1154"/>
      <c r="W80" s="1154"/>
      <c r="X80" s="1154"/>
      <c r="Y80" s="1154"/>
      <c r="Z80" s="1154"/>
      <c r="AA80" s="1154"/>
      <c r="AB80" s="1154"/>
      <c r="AC80" s="1086"/>
    </row>
    <row r="81" spans="2:29" ht="14.45" customHeight="1" x14ac:dyDescent="0.25">
      <c r="P81" s="117"/>
    </row>
    <row r="82" spans="2:29" ht="68.099999999999994" customHeight="1" x14ac:dyDescent="0.25">
      <c r="B82" s="105"/>
      <c r="C82" s="105"/>
      <c r="D82" s="105"/>
      <c r="E82" s="111" t="s">
        <v>182</v>
      </c>
      <c r="F82" s="111" t="s">
        <v>185</v>
      </c>
      <c r="G82" s="111" t="s">
        <v>186</v>
      </c>
      <c r="H82" s="111" t="s">
        <v>187</v>
      </c>
      <c r="I82" s="111" t="s">
        <v>282</v>
      </c>
      <c r="J82" s="111" t="s">
        <v>189</v>
      </c>
      <c r="K82" s="111" t="s">
        <v>190</v>
      </c>
      <c r="L82" s="832" t="s">
        <v>283</v>
      </c>
      <c r="M82" s="111" t="s">
        <v>191</v>
      </c>
      <c r="P82" s="117"/>
      <c r="Q82" s="105"/>
      <c r="R82" s="105"/>
      <c r="S82" s="105"/>
      <c r="T82" s="111" t="s">
        <v>182</v>
      </c>
      <c r="U82" s="111" t="s">
        <v>185</v>
      </c>
      <c r="V82" s="111" t="s">
        <v>186</v>
      </c>
      <c r="W82" s="111" t="s">
        <v>187</v>
      </c>
      <c r="X82" s="111" t="s">
        <v>282</v>
      </c>
      <c r="Y82" s="111" t="s">
        <v>189</v>
      </c>
      <c r="Z82" s="111" t="s">
        <v>190</v>
      </c>
      <c r="AA82" s="832" t="s">
        <v>283</v>
      </c>
      <c r="AB82" s="111" t="s">
        <v>191</v>
      </c>
      <c r="AC82" s="111"/>
    </row>
    <row r="83" spans="2:29" ht="32.450000000000003" customHeight="1" x14ac:dyDescent="0.35">
      <c r="B83" s="1157" t="s">
        <v>284</v>
      </c>
      <c r="D83" s="258" t="s">
        <v>182</v>
      </c>
      <c r="E83" s="658" t="s">
        <v>285</v>
      </c>
      <c r="F83" s="107">
        <f>('A.1. Conso_bâtiment_EF H3'!Y104)/('A.1. Conso_bâtiment_EF H3'!Y103)-1</f>
        <v>-5.1108850457782351E-2</v>
      </c>
      <c r="G83" s="107">
        <f>('A.1. Conso_bâtiment_EF H3'!Y106)/('A.1. Conso_bâtiment_EF H3'!Y103)-1</f>
        <v>-0.23926754832146502</v>
      </c>
      <c r="H83" s="107">
        <f>(('A.1. Conso_bâtiment_EF H3'!Z107+'A.1. Conso_bâtiment_EF H3'!AA107*'D.1. Facteur d''émissions'!C47)/('A.1. Conso_bâtiment_EF H3'!Y103))-1</f>
        <v>-0.31242726347914551</v>
      </c>
      <c r="I83" s="107">
        <f>('A.1. Conso_bâtiment_EF H3'!Z108*'D.1. Facteur d''émissions'!C37+'A.1. Conso_bâtiment_EF H3'!AA108*2.3)/('A.1. Conso_bâtiment_EF H3'!Y103*'D.1. Facteur d''émissions'!C37)-1</f>
        <v>-0.38989624700008152</v>
      </c>
      <c r="J83" s="107">
        <f>(('A.1. Conso_bâtiment_EF H3'!Y109)/('A.1. Conso_bâtiment_EF H3'!Y103))-1</f>
        <v>-0.44858596134282813</v>
      </c>
      <c r="K83" s="107">
        <f>('A.1. Conso_bâtiment_EF H3'!Z110+'A.1. Conso_bâtiment_EF H3'!AA110*'D.1. Facteur d''émissions'!C47)/('A.1. Conso_bâtiment_EF H3'!Y103)-1</f>
        <v>-0.50325940996948126</v>
      </c>
      <c r="L83" s="652"/>
      <c r="M83" s="107">
        <f>('A.1. Conso_bâtiment_EF H3'!Y111)/('A.1. Conso_bâtiment_EF H3'!Y103)-1</f>
        <v>-0.29684638860630741</v>
      </c>
      <c r="P83" s="117"/>
      <c r="Q83" s="1157" t="s">
        <v>284</v>
      </c>
      <c r="S83" s="258" t="s">
        <v>182</v>
      </c>
      <c r="T83" s="658" t="s">
        <v>285</v>
      </c>
      <c r="U83" s="107">
        <f>F83</f>
        <v>-5.1108850457782351E-2</v>
      </c>
      <c r="V83" s="107">
        <f>G83</f>
        <v>-0.23926754832146502</v>
      </c>
      <c r="W83" s="107">
        <f>-(('A.1. Conso_bâtiment_EF H3'!Z103*'D.1. Facteur d''émissions'!C8)-(('A.1. Conso_bâtiment_EF H3'!AA107*'D.1. Facteur d''émissions'!C15)+('A.1. Conso_bâtiment_EF H3'!Z107*'D.1. Facteur d''émissions'!C8)))/('A.1. Conso_bâtiment_EF H3'!Z103*'D.1. Facteur d''émissions'!C8)</f>
        <v>-0.81279815439883885</v>
      </c>
      <c r="X83" s="107">
        <f>-(('A.1. Conso_bâtiment_EF H3'!Z103*'D.1. Facteur d''émissions'!C8)-(('A.1. Conso_bâtiment_EF H3'!AA108*'D.1. Facteur d''émissions'!C15)+('A.1. Conso_bâtiment_EF H3'!Z108*'D.1. Facteur d''émissions'!C8)))/('A.1. Conso_bâtiment_EF H3'!Z103*'D.1. Facteur d''émissions'!C8)</f>
        <v>-0.641251229052895</v>
      </c>
      <c r="Y83" s="107">
        <f>J83</f>
        <v>-0.44858596134282813</v>
      </c>
      <c r="Z83" s="107">
        <f>-(('A.1. Conso_bâtiment_EF H3'!Y103*'D.1. Facteur d''émissions'!C8)-(('A.1. Conso_bâtiment_EF H3'!Z110*'D.1. Facteur d''émissions'!C15)+('A.1. Conso_bâtiment_EF H3'!AA110*'D.1. Facteur d''émissions'!C8)))/('A.1. Conso_bâtiment_EF H3'!Y103*'D.1. Facteur d''émissions'!C8)</f>
        <v>-0.80864963798805634</v>
      </c>
      <c r="AA83" s="107"/>
      <c r="AB83" s="107">
        <f>M83</f>
        <v>-0.29684638860630741</v>
      </c>
      <c r="AC83" s="107"/>
    </row>
    <row r="84" spans="2:29" ht="32.450000000000003" customHeight="1" x14ac:dyDescent="0.35">
      <c r="B84" s="1157"/>
      <c r="D84" s="258" t="s">
        <v>185</v>
      </c>
      <c r="E84" s="659" t="s">
        <v>286</v>
      </c>
      <c r="F84" s="658" t="s">
        <v>285</v>
      </c>
      <c r="G84" s="107">
        <f>('A.1. Conso_bâtiment_EF H3'!Y106)/('A.1. Conso_bâtiment_EF H3'!Y104)-1</f>
        <v>-0.1982932372743258</v>
      </c>
      <c r="H84" s="107">
        <f>(('A.1. Conso_bâtiment_EF H3'!Z107+'A.1. Conso_bâtiment_EF H3'!AA107*'D.1. Facteur d''émissions'!C47)/('A.1. Conso_bâtiment_EF H3'!Y104))-1</f>
        <v>-0.27539345598010212</v>
      </c>
      <c r="I84" s="107">
        <f>('A.1. Conso_bâtiment_EF H3'!Z108*'D.1. Facteur d''émissions'!C37+'A.1. Conso_bâtiment_EF H3'!AA108*2.3)/('A.1. Conso_bâtiment_EF H3'!Y104*'D.1. Facteur d''émissions'!C37)-1</f>
        <v>-0.35703504738740954</v>
      </c>
      <c r="J84" s="107">
        <f>(('A.1. Conso_bâtiment_EF H3'!Y109)/('A.1. Conso_bâtiment_EF H3'!Y104))-1</f>
        <v>-0.41888588704489915</v>
      </c>
      <c r="K84" s="107">
        <f>('A.1. Conso_bâtiment_EF H3'!Z110+'A.1. Conso_bâtiment_EF H3'!AA110*'D.1. Facteur d''émissions'!C47)/('A.1. Conso_bâtiment_EF H3'!Y104)-1</f>
        <v>-0.47650413825635751</v>
      </c>
      <c r="L84" s="652"/>
      <c r="M84" s="107">
        <f>('A.1. Conso_bâtiment_EF H3'!Y111)/('A.1. Conso_bâtiment_EF H3'!Y104)-1</f>
        <v>-0.25897336935546134</v>
      </c>
      <c r="P84" s="117"/>
      <c r="Q84" s="1157"/>
      <c r="S84" s="258" t="s">
        <v>185</v>
      </c>
      <c r="T84" s="659" t="s">
        <v>286</v>
      </c>
      <c r="U84" s="658" t="s">
        <v>285</v>
      </c>
      <c r="V84" s="107">
        <f>G84</f>
        <v>-0.1982932372743258</v>
      </c>
      <c r="W84" s="107">
        <f>-(('A.1. Conso_bâtiment_EF H3'!Z104*'D.1. Facteur d''émissions'!C8)-(('A.1. Conso_bâtiment_EF H3'!AA107*'D.1. Facteur d''émissions'!C15)+('A.1. Conso_bâtiment_EF H3'!Z107*'D.1. Facteur d''émissions'!C8)))/('A.1. Conso_bâtiment_EF H3'!Z104*'D.1. Facteur d''émissions'!C8)</f>
        <v>-0.80271515263739723</v>
      </c>
      <c r="X84" s="107">
        <f>-(('A.1. Conso_bâtiment_EF H3'!Z104*'D.1. Facteur d''émissions'!C8)-(('A.1. Conso_bâtiment_EF H3'!AA108*'D.1. Facteur d''émissions'!C15)+('A.1. Conso_bâtiment_EF H3'!Z108*'D.1. Facteur d''émissions'!C8)))/('A.1. Conso_bâtiment_EF H3'!Z104*'D.1. Facteur d''émissions'!C8)</f>
        <v>-0.62192842548886718</v>
      </c>
      <c r="Y84" s="107">
        <f>J84</f>
        <v>-0.41888588704489915</v>
      </c>
      <c r="Z84" s="107">
        <f>-(('A.1. Conso_bâtiment_EF H3'!Y104*'D.1. Facteur d''émissions'!C8)-(('A.1. Conso_bâtiment_EF H3'!Z110*'D.1. Facteur d''émissions'!C15)+('A.1. Conso_bâtiment_EF H3'!AA110*'D.1. Facteur d''émissions'!C8)))/('A.1. Conso_bâtiment_EF H3'!Y104*'D.1. Facteur d''émissions'!C8)</f>
        <v>-0.798343190255006</v>
      </c>
      <c r="AA84" s="107"/>
      <c r="AB84" s="107">
        <f>M84</f>
        <v>-0.25897336935546134</v>
      </c>
      <c r="AC84" s="107"/>
    </row>
    <row r="85" spans="2:29" ht="32.450000000000003" customHeight="1" x14ac:dyDescent="0.35">
      <c r="B85" s="1157"/>
      <c r="D85" s="258" t="s">
        <v>186</v>
      </c>
      <c r="E85" s="659" t="s">
        <v>286</v>
      </c>
      <c r="F85" s="659" t="s">
        <v>286</v>
      </c>
      <c r="G85" s="658" t="s">
        <v>285</v>
      </c>
      <c r="H85" s="107">
        <f>(('A.1. Conso_bâtiment_EF H3'!Z107+'A.1. Conso_bâtiment_EF H3'!AA107*'D.1. Facteur d''émissions'!C47)/('A.1. Conso_bâtiment_EF H3'!Y106))-1</f>
        <v>-9.6170098956940286E-2</v>
      </c>
      <c r="I85" s="107">
        <f>('A.1. Conso_bâtiment_EF H3'!Z108*'D.1. Facteur d''émissions'!C37+'A.1. Conso_bâtiment_EF H3'!AA108*2.3)/('A.1. Conso_bâtiment_EF H3'!Y106*'D.1. Facteur d''émissions'!C37)-1</f>
        <v>-0.19800482856523149</v>
      </c>
      <c r="J85" s="107">
        <f>('A.1. Conso_bâtiment_EF H3'!Y109)/('A.1. Conso_bâtiment_EF H3'!Y106)-1</f>
        <v>-0.27515378443434069</v>
      </c>
      <c r="K85" s="107">
        <f>('A.1. Conso_bâtiment_EF H3'!Z110+'A.1. Conso_bâtiment_EF H3'!AA110*'D.1. Facteur d''émissions'!C47)/('A.1. Conso_bâtiment_EF H3'!Y106)-1</f>
        <v>-0.34702326825354368</v>
      </c>
      <c r="L85" s="652"/>
      <c r="M85" s="107">
        <f>('A.1. Conso_bâtiment_EF H3'!Y111)/('A.1. Conso_bâtiment_EF H3'!Y106)-1</f>
        <v>-7.5688686814656347E-2</v>
      </c>
      <c r="P85" s="117"/>
      <c r="Q85" s="1157"/>
      <c r="S85" s="258" t="s">
        <v>186</v>
      </c>
      <c r="T85" s="659" t="s">
        <v>286</v>
      </c>
      <c r="U85" s="659" t="s">
        <v>286</v>
      </c>
      <c r="V85" s="658" t="s">
        <v>285</v>
      </c>
      <c r="W85" s="107" t="e">
        <f>-(('A.1. Conso_bâtiment_EF H3'!Z106*'D.1. Facteur d''émissions'!C8)-(('A.1. Conso_bâtiment_EF H3'!AA107*'D.1. Facteur d''émissions'!#REF!)+('A.1. Conso_bâtiment_EF H3'!Z107*'D.1. Facteur d''émissions'!C8)))/('A.1. Conso_bâtiment_EF H3'!Z106*'D.1. Facteur d''émissions'!C8)</f>
        <v>#REF!</v>
      </c>
      <c r="X85" s="107">
        <f>-(('A.1. Conso_bâtiment_EF H3'!Z106*'D.1. Facteur d''émissions'!C8)-(('A.1. Conso_bâtiment_EF H3'!AA108*'D.1. Facteur d''émissions'!C15)+('A.1. Conso_bâtiment_EF H3'!Z108*'D.1. Facteur d''émissions'!C8)))/('A.1. Conso_bâtiment_EF H3'!Z106*'D.1. Facteur d''émissions'!C8)</f>
        <v>-0.52841663300213393</v>
      </c>
      <c r="Y85" s="107">
        <f>J85</f>
        <v>-0.27515378443434069</v>
      </c>
      <c r="Z85" s="107">
        <f>-(('A.1. Conso_bâtiment_EF H3'!Y106*'D.1. Facteur d''émissions'!C8)-(('A.1. Conso_bâtiment_EF H3'!Z110*'D.1. Facteur d''émissions'!C15)+('A.1. Conso_bâtiment_EF H3'!AA110*'D.1. Facteur d''émissions'!C8)))/('A.1. Conso_bâtiment_EF H3'!Y106*'D.1. Facteur d''émissions'!C8)</f>
        <v>-0.74846562468876632</v>
      </c>
      <c r="AA85" s="107"/>
      <c r="AB85" s="107">
        <f>M85</f>
        <v>-7.5688686814656347E-2</v>
      </c>
      <c r="AC85" s="107"/>
    </row>
    <row r="86" spans="2:29" ht="32.450000000000003" customHeight="1" x14ac:dyDescent="0.35">
      <c r="B86" s="1157"/>
      <c r="D86" s="258" t="s">
        <v>187</v>
      </c>
      <c r="E86" s="659" t="s">
        <v>286</v>
      </c>
      <c r="F86" s="659" t="s">
        <v>286</v>
      </c>
      <c r="G86" s="659" t="s">
        <v>286</v>
      </c>
      <c r="H86" s="658" t="s">
        <v>285</v>
      </c>
      <c r="I86" s="107">
        <f>('A.1. Conso_bâtiment_EF H3'!Z108*'D.1. Facteur d''émissions'!C37+'A.1. Conso_bâtiment_EF H3'!AA108*2.3)/('A.1. Conso_bâtiment_EF H3'!Z107*'D.1. Facteur d''émissions'!C37+'A.1. Conso_bâtiment_EF H3'!AA107*2.3)-1</f>
        <v>-3.4162610346876954E-2</v>
      </c>
      <c r="J86" s="659" t="s">
        <v>286</v>
      </c>
      <c r="K86" s="107">
        <f>('A.1. Conso_bâtiment_EF H3'!Z110+'A.1. Conso_bâtiment_EF H3'!AA110*'D.1. Facteur d''émissions'!C47)/('A.1. Conso_bâtiment_EF H3'!Z107+'A.1. Conso_bâtiment_EF H3'!AA107*'D.1. Facteur d''émissions'!C47)-1</f>
        <v>-0.27754466742813855</v>
      </c>
      <c r="L86" s="671"/>
      <c r="M86" s="659" t="s">
        <v>286</v>
      </c>
      <c r="P86" s="117"/>
      <c r="Q86" s="1157"/>
      <c r="S86" s="258" t="s">
        <v>187</v>
      </c>
      <c r="T86" s="659" t="s">
        <v>286</v>
      </c>
      <c r="U86" s="659" t="s">
        <v>286</v>
      </c>
      <c r="V86" s="659" t="s">
        <v>286</v>
      </c>
      <c r="W86" s="658" t="s">
        <v>285</v>
      </c>
      <c r="X86" s="553">
        <f>-((('A.1. Conso_bâtiment_EF H3'!AA107*'D.1. Facteur d''émissions'!C15)+('A.1. Conso_bâtiment_EF H3'!Z107*'D.1. Facteur d''émissions'!C8))-(('A.1. Conso_bâtiment_EF H3'!AA108*'D.1. Facteur d''émissions'!C15)+('A.1. Conso_bâtiment_EF H3'!Z108*'D.1. Facteur d''émissions'!C8)))/(('A.1. Conso_bâtiment_EF H3'!AA107*'D.1. Facteur d''émissions'!C15)+('A.1. Conso_bâtiment_EF H3'!Z107*'D.1. Facteur d''émissions'!C8))</f>
        <v>0.91637411370093746</v>
      </c>
      <c r="Y86" s="659" t="s">
        <v>286</v>
      </c>
      <c r="Z86" s="107">
        <f>-((('A.1. Conso_bâtiment_EF H3'!Z107*'D.1. Facteur d''émissions'!C15)+('A.1. Conso_bâtiment_EF H3'!AA107*'D.1. Facteur d''émissions'!C8))-(('A.1. Conso_bâtiment_EF H3'!Z110*'D.1. Facteur d''émissions'!C15)+('A.1. Conso_bâtiment_EF H3'!AA110*'D.1. Facteur d''émissions'!C8)))/(('A.1. Conso_bâtiment_EF H3'!Z107*'D.1. Facteur d''émissions'!C15)+('A.1. Conso_bâtiment_EF H3'!AA107*'D.1. Facteur d''émissions'!C8))</f>
        <v>-0.30245785292107841</v>
      </c>
      <c r="AA86" s="671"/>
      <c r="AB86" s="659" t="s">
        <v>286</v>
      </c>
      <c r="AC86" s="659"/>
    </row>
    <row r="87" spans="2:29" ht="32.450000000000003" customHeight="1" x14ac:dyDescent="0.35">
      <c r="B87" s="1157"/>
      <c r="D87" s="258" t="s">
        <v>289</v>
      </c>
      <c r="E87" s="659" t="s">
        <v>286</v>
      </c>
      <c r="F87" s="659" t="s">
        <v>286</v>
      </c>
      <c r="G87" s="659" t="s">
        <v>286</v>
      </c>
      <c r="H87" s="553">
        <f>(('A.1. Conso_bâtiment_EF H3'!Z107+'A.1. Conso_bâtiment_EF H3'!AA107*'D.1. Facteur d''émissions'!C47)/('A.1. Conso_bâtiment_EF H3'!Z108+'A.1. Conso_bâtiment_EF H3'!AA108*'D.1. Facteur d''émissions'!C47))-1</f>
        <v>7.1471147748890296E-2</v>
      </c>
      <c r="I87" s="658" t="s">
        <v>285</v>
      </c>
      <c r="J87" s="107">
        <f>('A.1. Conso_bâtiment_EF H3'!Y109)/('A.1. Conso_bâtiment_EF H3'!Z108+'A.1. Conso_bâtiment_EF H3'!AA108*'D.1. Facteur d''émissions'!C47)-1</f>
        <v>-0.14071020925808508</v>
      </c>
      <c r="K87" s="107">
        <f>('A.1. Conso_bâtiment_EF H3'!Z110+'A.1. Conso_bâtiment_EF H3'!AA110*'D.1. Facteur d''émissions'!C47)/('A.1. Conso_bâtiment_EF H3'!Z108+'A.1. Conso_bâtiment_EF H3'!AA108*'D.1. Facteur d''émissions'!C47)-1</f>
        <v>-0.22590995561192151</v>
      </c>
      <c r="L87" s="671"/>
      <c r="M87" s="659"/>
      <c r="P87" s="117"/>
      <c r="Q87" s="1157"/>
      <c r="S87" s="258" t="s">
        <v>289</v>
      </c>
      <c r="T87" s="659" t="s">
        <v>286</v>
      </c>
      <c r="U87" s="659" t="s">
        <v>286</v>
      </c>
      <c r="V87" s="659" t="s">
        <v>286</v>
      </c>
      <c r="W87" s="658"/>
      <c r="X87" s="658" t="s">
        <v>285</v>
      </c>
      <c r="Y87" s="659"/>
      <c r="Z87" s="107">
        <f>-((('A.1. Conso_bâtiment_EF H3'!Z108*'D.1. Facteur d''émissions'!C15)+('A.1. Conso_bâtiment_EF H3'!AA108*'D.1. Facteur d''émissions'!C8))-(('A.1. Conso_bâtiment_EF H3'!Z110*'D.1. Facteur d''émissions'!C15)+('A.1. Conso_bâtiment_EF H3'!AA110*'D.1. Facteur d''émissions'!C8)))/(('A.1. Conso_bâtiment_EF H3'!Z108*'D.1. Facteur d''émissions'!C15)+('A.1. Conso_bâtiment_EF H3'!AA108*'D.1. Facteur d''émissions'!C8))</f>
        <v>-0.1161586929099678</v>
      </c>
      <c r="AA87" s="671"/>
      <c r="AB87" s="659" t="s">
        <v>286</v>
      </c>
      <c r="AC87" s="659"/>
    </row>
    <row r="88" spans="2:29" ht="32.450000000000003" customHeight="1" x14ac:dyDescent="0.35">
      <c r="B88" s="1157"/>
      <c r="D88" s="258" t="s">
        <v>189</v>
      </c>
      <c r="E88" s="659" t="s">
        <v>286</v>
      </c>
      <c r="F88" s="659" t="s">
        <v>286</v>
      </c>
      <c r="G88" s="659" t="s">
        <v>286</v>
      </c>
      <c r="H88" s="553">
        <f>('A.1. Conso_bâtiment_EF H3'!Z107+'A.1. Conso_bâtiment_EF H3'!AA107*'D.1. Facteur d''émissions'!C47)/('A.1. Conso_bâtiment_EF H3'!Y109)-1</f>
        <v>0.24692642609401538</v>
      </c>
      <c r="I88" s="553">
        <f>('A.1. Conso_bâtiment_EF H3'!Z108*'D.1. Facteur d''émissions'!C37+'A.1. Conso_bâtiment_EF H3'!AA108*2.3)/('A.1. Conso_bâtiment_EF H3'!Y109*'D.1. Facteur d''émissions'!C37)-1</f>
        <v>0.10643492952350364</v>
      </c>
      <c r="J88" s="658" t="s">
        <v>285</v>
      </c>
      <c r="K88" s="107">
        <f>('A.1. Conso_bâtiment_EF H3'!Z110+'A.1. Conso_bâtiment_EF H3'!AA110*'D.1. Facteur d''émissions'!C47)/('A.1. Conso_bâtiment_EF H3'!Y109)-1</f>
        <v>-9.9151354143605541E-2</v>
      </c>
      <c r="L88" s="658"/>
      <c r="M88" s="659" t="s">
        <v>286</v>
      </c>
      <c r="N88" s="1155" t="s">
        <v>290</v>
      </c>
      <c r="O88" s="1156"/>
      <c r="P88" s="117"/>
      <c r="Q88" s="1157"/>
      <c r="S88" s="258" t="s">
        <v>189</v>
      </c>
      <c r="T88" s="659" t="s">
        <v>286</v>
      </c>
      <c r="U88" s="659" t="s">
        <v>286</v>
      </c>
      <c r="V88" s="659" t="s">
        <v>286</v>
      </c>
      <c r="W88" s="107" t="e">
        <f>-(('A.1. Conso_bâtiment_EF H3'!Z109*'D.1. Facteur d''émissions'!C8)-(('A.1. Conso_bâtiment_EF H3'!AA107*'D.1. Facteur d''émissions'!#REF!)+('A.1. Conso_bâtiment_EF H3'!Z107*'D.1. Facteur d''émissions'!C8)))/('A.1. Conso_bâtiment_EF H3'!Z109*'D.1. Facteur d''émissions'!C8)</f>
        <v>#REF!</v>
      </c>
      <c r="X88" s="107">
        <f>-(('A.1. Conso_bâtiment_EF H3'!Z109*'D.1. Facteur d''émissions'!C8)-(('A.1. Conso_bâtiment_EF H3'!AA108*'D.1. Facteur d''émissions'!C15)+('A.1. Conso_bâtiment_EF H3'!Z108*'D.1. Facteur d''émissions'!C8)))/('A.1. Conso_bâtiment_EF H3'!Z109*'D.1. Facteur d''émissions'!C8)</f>
        <v>-0.34940218094420289</v>
      </c>
      <c r="Y88" s="658" t="s">
        <v>285</v>
      </c>
      <c r="Z88" s="107">
        <f>-(('A.1. Conso_bâtiment_EF H3'!Y109*'D.1. Facteur d''émissions'!C8)-(('A.1. Conso_bâtiment_EF H3'!Z110*'D.1. Facteur d''émissions'!C15)+('A.1. Conso_bâtiment_EF H3'!AA110*'D.1. Facteur d''émissions'!C8)))/('A.1. Conso_bâtiment_EF H3'!Y109*'D.1. Facteur d''émissions'!C8)</f>
        <v>-0.65298242591369526</v>
      </c>
      <c r="AA88" s="658"/>
      <c r="AB88" s="659" t="s">
        <v>286</v>
      </c>
      <c r="AC88" s="659"/>
    </row>
    <row r="89" spans="2:29" ht="32.450000000000003" customHeight="1" x14ac:dyDescent="0.35">
      <c r="B89" s="1157"/>
      <c r="D89" s="258" t="s">
        <v>190</v>
      </c>
      <c r="E89" s="659" t="s">
        <v>286</v>
      </c>
      <c r="F89" s="659" t="s">
        <v>286</v>
      </c>
      <c r="G89" s="659" t="s">
        <v>286</v>
      </c>
      <c r="H89" s="553">
        <f>(('A.1. Conso_bâtiment_EF H3'!Z107+'A.1. Conso_bâtiment_EF H3'!AA107*'D.1. Facteur d''émissions'!C47)/('A.1. Conso_bâtiment_EF H3'!Z110+'A.1. Conso_bâtiment_EF H3'!AA110*'D.1. Facteur d''émissions'!C47))-1</f>
        <v>0.38416861903435628</v>
      </c>
      <c r="I89" s="553">
        <f>('A.1. Conso_bâtiment_EF H3'!Z108*'D.1. Facteur d''émissions'!C37+'A.1. Conso_bâtiment_EF H3'!AA108*2.3)/('A.1. Conso_bâtiment_EF H3'!Y110*'D.1. Facteur d''émissions'!C37)-1</f>
        <v>1.1153075239803893</v>
      </c>
      <c r="J89" s="553">
        <f>('A.1. Conso_bâtiment_EF H3'!Y109)/('A.1. Conso_bâtiment_EF H3'!Z110+'A.1. Conso_bâtiment_EF H3'!AA110*'D.1. Facteur d''émissions'!C47)-1</f>
        <v>0.11006438717499223</v>
      </c>
      <c r="K89" s="658" t="s">
        <v>285</v>
      </c>
      <c r="L89" s="658"/>
      <c r="M89" s="659"/>
      <c r="N89" s="1155"/>
      <c r="O89" s="1156"/>
      <c r="P89" s="117"/>
      <c r="Q89" s="1157"/>
      <c r="S89" s="258" t="s">
        <v>190</v>
      </c>
      <c r="T89" s="659" t="s">
        <v>286</v>
      </c>
      <c r="U89" s="659" t="s">
        <v>286</v>
      </c>
      <c r="V89" s="659" t="s">
        <v>286</v>
      </c>
      <c r="W89" s="659" t="s">
        <v>286</v>
      </c>
      <c r="X89" s="553" t="e">
        <f>-((('A.1. Conso_bâtiment_EF H3'!AA110*'D.1. Facteur d''émissions'!#REF!)+('A.1. Conso_bâtiment_EF H3'!Z110*'D.1. Facteur d''émissions'!C8))-(('A.1. Conso_bâtiment_EF H3'!AA108*'D.1. Facteur d''émissions'!C15)+('A.1. Conso_bâtiment_EF H3'!Z108*'D.1. Facteur d''émissions'!C8)))/(('A.1. Conso_bâtiment_EF H3'!AA110*'D.1. Facteur d''émissions'!#REF!)+('A.1. Conso_bâtiment_EF H3'!Z110*'D.1. Facteur d''émissions'!C8))</f>
        <v>#REF!</v>
      </c>
      <c r="Y89" s="658"/>
      <c r="Z89" s="658" t="s">
        <v>285</v>
      </c>
      <c r="AA89" s="658"/>
      <c r="AB89" s="659" t="s">
        <v>286</v>
      </c>
      <c r="AC89" s="659"/>
    </row>
    <row r="90" spans="2:29" ht="32.450000000000003" customHeight="1" x14ac:dyDescent="0.35">
      <c r="B90" s="1157"/>
      <c r="D90" s="672" t="s">
        <v>283</v>
      </c>
      <c r="E90" s="659" t="s">
        <v>286</v>
      </c>
      <c r="F90" s="659" t="s">
        <v>286</v>
      </c>
      <c r="G90" s="659" t="s">
        <v>286</v>
      </c>
      <c r="H90" s="652"/>
      <c r="I90" s="652"/>
      <c r="J90" s="658"/>
      <c r="K90" s="658"/>
      <c r="L90" s="658" t="s">
        <v>285</v>
      </c>
      <c r="M90" s="659"/>
      <c r="N90" s="1155"/>
      <c r="O90" s="1156"/>
      <c r="P90" s="117"/>
      <c r="Q90" s="1157"/>
      <c r="S90" s="672" t="s">
        <v>283</v>
      </c>
      <c r="T90" s="659" t="s">
        <v>286</v>
      </c>
      <c r="U90" s="659" t="s">
        <v>286</v>
      </c>
      <c r="V90" s="659" t="s">
        <v>286</v>
      </c>
      <c r="W90" s="652"/>
      <c r="X90" s="652"/>
      <c r="Y90" s="658"/>
      <c r="Z90" s="658"/>
      <c r="AA90" s="658" t="s">
        <v>285</v>
      </c>
      <c r="AB90" s="659" t="s">
        <v>286</v>
      </c>
      <c r="AC90" s="659"/>
    </row>
    <row r="91" spans="2:29" ht="32.450000000000003" customHeight="1" x14ac:dyDescent="0.35">
      <c r="B91" s="1157"/>
      <c r="D91" s="258" t="s">
        <v>191</v>
      </c>
      <c r="E91" s="659" t="s">
        <v>286</v>
      </c>
      <c r="F91" s="659" t="s">
        <v>286</v>
      </c>
      <c r="G91" s="659" t="s">
        <v>286</v>
      </c>
      <c r="H91" s="107">
        <f>('A.1. Conso_bâtiment_EF H3'!Z107+'A.1. Conso_bâtiment_EF H3'!AA107*'D.1. Facteur d''émissions'!C47)/('A.1. Conso_bâtiment_EF H3'!Y111)-1</f>
        <v>-2.2158564814814707E-2</v>
      </c>
      <c r="I91" s="107">
        <f>('A.1. Conso_bâtiment_EF H3'!Z108+'A.1. Conso_bâtiment_EF H3'!AA108*'D.1. Facteur d''émissions'!C47)/('A.1. Conso_bâtiment_EF H3'!Y111)-1</f>
        <v>-8.7384259259259078E-2</v>
      </c>
      <c r="J91" s="107">
        <f>('A.1. Conso_bâtiment_EF H3'!Y109)/('A.1. Conso_bâtiment_EF H3'!Y111)-1</f>
        <v>-0.21579861111111109</v>
      </c>
      <c r="K91" s="107">
        <f>('A.1. Conso_bâtiment_EF H3'!Z110+'A.1. Conso_bâtiment_EF H3'!AA110*'D.1. Facteur d''émissions'!C47)/('A.1. Conso_bâtiment_EF H3'!Y111)-1</f>
        <v>-0.29355324074074063</v>
      </c>
      <c r="L91" s="658"/>
      <c r="M91" s="658" t="s">
        <v>285</v>
      </c>
      <c r="N91" s="1155"/>
      <c r="O91" s="1156"/>
      <c r="P91" s="117"/>
      <c r="Q91" s="1157"/>
      <c r="S91" s="258" t="s">
        <v>191</v>
      </c>
      <c r="T91" s="659" t="s">
        <v>286</v>
      </c>
      <c r="U91" s="659" t="s">
        <v>286</v>
      </c>
      <c r="V91" s="659" t="s">
        <v>286</v>
      </c>
      <c r="W91" s="107" t="e">
        <f>-(('A.1. Conso_bâtiment_EF H3'!Z111*'D.1. Facteur d''émissions'!C8)-(('A.1. Conso_bâtiment_EF H3'!AA107*'D.1. Facteur d''émissions'!#REF!)+('A.1. Conso_bâtiment_EF H3'!Z107*'D.1. Facteur d''émissions'!C8)))/('A.1. Conso_bâtiment_EF H3'!Z111*'D.1. Facteur d''émissions'!C8)</f>
        <v>#REF!</v>
      </c>
      <c r="X91" s="107">
        <f>-(('A.1. Conso_bâtiment_EF H3'!Z111*'D.1. Facteur d''émissions'!C8)-(('A.1. Conso_bâtiment_EF H3'!AA108*'D.1. Facteur d''émissions'!C15)+('A.1. Conso_bâtiment_EF H3'!Z108*'D.1. Facteur d''émissions'!C8)))/('A.1. Conso_bâtiment_EF H3'!Z111*'D.1. Facteur d''émissions'!C8)</f>
        <v>-0.4898002866883619</v>
      </c>
      <c r="Y91" s="107">
        <f>J91</f>
        <v>-0.21579861111111109</v>
      </c>
      <c r="Z91" s="107">
        <f>-(('A.1. Conso_bâtiment_EF H3'!Z111*'D.1. Facteur d''émissions'!C8)-(('A.1. Conso_bâtiment_EF H3'!Z110*'D.1. Facteur d''émissions'!C15)+('A.1. Conso_bâtiment_EF H3'!AA110*'D.1. Facteur d''émissions'!C8)))/('A.1. Conso_bâtiment_EF H3'!Z111*'D.1. Facteur d''émissions'!C8)</f>
        <v>-0.72786833643266691</v>
      </c>
      <c r="AA91" s="107"/>
      <c r="AB91" s="658" t="s">
        <v>285</v>
      </c>
      <c r="AC91" s="658"/>
    </row>
    <row r="92" spans="2:29" ht="36" customHeight="1" x14ac:dyDescent="0.35">
      <c r="D92" s="253" t="s">
        <v>196</v>
      </c>
      <c r="E92" s="659" t="s">
        <v>286</v>
      </c>
      <c r="F92" s="553">
        <f>('A.1. Conso_bâtiment_EF H3'!Y104)/('A.1. Conso_bâtiment_EF H3'!AB116)-1</f>
        <v>0.13491020586947022</v>
      </c>
      <c r="G92" s="107">
        <f>('A.1. Conso_bâtiment_EF H3'!Y106)/('A.1. Conso_bâtiment_EF H3'!AB116)-1</f>
        <v>-9.0134812868058689E-2</v>
      </c>
      <c r="H92" s="107">
        <f>('A.1. Conso_bâtiment_EF H3'!Z107+'A.1. Conso_bâtiment_EF H3'!AA107*'D.1. Facteur d''émissions'!C47)/('A.1. Conso_bâtiment_EF H3'!AB116)-1</f>
        <v>-0.17763663795201245</v>
      </c>
      <c r="I92" s="107">
        <f>('A.1. Conso_bâtiment_EF H3'!Z108+'A.1. Conso_bâtiment_EF H3'!AA108*'D.1. Facteur d''émissions'!C47)/('A.1. Conso_bâtiment_EF H3'!AB116)-1</f>
        <v>-0.23249136126928494</v>
      </c>
      <c r="J92" s="107">
        <f>(('A.1. Conso_bâtiment_EF H3'!Y109)/('A.1. Conso_bâtiment_EF H3'!AB116))-1</f>
        <v>-0.34048766243247197</v>
      </c>
      <c r="K92" s="107">
        <f>('A.1. Conso_bâtiment_EF H3'!Z110+'A.1. Conso_bâtiment_EF H3'!AA110*'D.1. Facteur d''émissions'!C47)/('A.1. Conso_bâtiment_EF H3'!AB116)-1</f>
        <v>-0.40587920377670705</v>
      </c>
      <c r="L92" s="652"/>
      <c r="M92" s="107">
        <f>('A.1. Conso_bâtiment_EF H3'!Y111)/('A.1. Conso_bâtiment_EF H3'!AB116)-1</f>
        <v>-0.15900131406044682</v>
      </c>
      <c r="P92" s="117"/>
      <c r="Q92" s="1157"/>
      <c r="S92" s="253" t="s">
        <v>196</v>
      </c>
      <c r="T92" s="659" t="s">
        <v>286</v>
      </c>
      <c r="U92" s="659" t="s">
        <v>286</v>
      </c>
      <c r="V92" s="107">
        <f>-('A.1. Conso_bâtiment_EF H3'!AB116*'D.1. Facteur d''émissions'!C7-'A.1. Conso_bâtiment_EF H3'!Z106*'D.1. Facteur d''émissions'!C8)/('A.1. Conso_bâtiment_EF H3'!AB116*'D.1. Facteur d''émissions'!C7)</f>
        <v>-0.3288340131958829</v>
      </c>
      <c r="W92" s="107" t="e">
        <f>-(('A.1. Conso_bâtiment_EF H3'!AB116*'D.1. Facteur d''émissions'!C7)-(('A.1. Conso_bâtiment_EF H3'!AA107*'D.1. Facteur d''émissions'!#REF!)+('A.1. Conso_bâtiment_EF H3'!Z107*'D.1. Facteur d''émissions'!C8)))/('A.1. Conso_bâtiment_EF H3'!AB116*'D.1. Facteur d''émissions'!C7)</f>
        <v>#REF!</v>
      </c>
      <c r="X92" s="107">
        <f>-(('A.1. Conso_bâtiment_EF H3'!AB116*'D.1. Facteur d''émissions'!C7)-(('A.1. Conso_bâtiment_EF H3'!AA108*'D.1. Facteur d''émissions'!C15)+('A.1. Conso_bâtiment_EF H3'!Z108*'D.1. Facteur d''émissions'!C8)))/('A.1. Conso_bâtiment_EF H3'!AB116*'D.1. Facteur d''émissions'!C7)</f>
        <v>-0.6834892841284691</v>
      </c>
      <c r="Y92" s="107">
        <f>-('A.1. Conso_bâtiment_EF H3'!AB116*'D.1. Facteur d''émissions'!C7-'A.1. Conso_bâtiment_EF H3'!Z109*'D.1. Facteur d''émissions'!C8)/('A.1. Conso_bâtiment_EF H3'!AB116*'D.1. Facteur d''émissions'!C7)</f>
        <v>-0.51350787444864454</v>
      </c>
      <c r="Z92" s="107">
        <f>-(('A.1. Conso_bâtiment_EF H3'!AB116*'D.1. Facteur d''émissions'!C7)-(('A.1. Conso_bâtiment_EF H3'!Z110*'D.1. Facteur d''émissions'!C15)+('A.1. Conso_bâtiment_EF H3'!AA110*'D.1. Facteur d''émissions'!C8)))/('A.1. Conso_bâtiment_EF H3'!AB116*'D.1. Facteur d''émissions'!C7)</f>
        <v>-0.83117868277907858</v>
      </c>
      <c r="AA92" s="107"/>
      <c r="AB92" s="107">
        <f>-('A.1. Conso_bâtiment_EF H3'!AB116*'D.1. Facteur d''émissions'!C7-'A.1. Conso_bâtiment_EF H3'!Z111*'D.1. Facteur d''émissions'!C8)/('A.1. Conso_bâtiment_EF H3'!AB116*'D.1. Facteur d''émissions'!C7)</f>
        <v>-0.37963368537174952</v>
      </c>
      <c r="AC92" s="107"/>
    </row>
    <row r="93" spans="2:29" ht="36" customHeight="1" x14ac:dyDescent="0.35">
      <c r="D93" s="253" t="s">
        <v>197</v>
      </c>
      <c r="E93" s="659" t="s">
        <v>286</v>
      </c>
      <c r="F93" s="553">
        <f>('A.1. Conso_bâtiment_EF H3'!Y104)/('A.1. Conso_bâtiment_EF H3'!AB117)-1</f>
        <v>0.50077230016733187</v>
      </c>
      <c r="G93" s="553">
        <f>('A.1. Conso_bâtiment_EF H3'!Y106)/('A.1. Conso_bâtiment_EF H3'!AB117)-1</f>
        <v>0.20317930235551551</v>
      </c>
      <c r="H93" s="553">
        <f>('A.1. Conso_bâtiment_EF H3'!Z107+'A.1. Conso_bâtiment_EF H3'!AA107*'D.1. Facteur d''émissions'!C47)/('A.1. Conso_bâtiment_EF H3'!AB117)-1</f>
        <v>8.7469429785043129E-2</v>
      </c>
      <c r="I93" s="107">
        <f>('A.1. Conso_bâtiment_EF H3'!Z108+'A.1. Conso_bâtiment_EF H3'!AA108*'D.1. Facteur d''émissions'!C47)/('A.1. Conso_bâtiment_EF H3'!AB117)-1</f>
        <v>1.493113656841305E-2</v>
      </c>
      <c r="J93" s="107">
        <f>(('A.1. Conso_bâtiment_EF H3'!Y109)/('A.1. Conso_bâtiment_EF H3'!AB117))-1</f>
        <v>-0.12788003604067455</v>
      </c>
      <c r="K93" s="107">
        <f>('A.1. Conso_bâtiment_EF H3'!Z110+'A.1. Conso_bâtiment_EF H3'!AA110*'D.1. Facteur d''émissions'!C47)/('A.1. Conso_bâtiment_EF H3'!AB117)-1</f>
        <v>-0.2143519114429141</v>
      </c>
      <c r="L93" s="652"/>
      <c r="M93" s="553">
        <f>('A.1. Conso_bâtiment_EF H3'!Y111)/('A.1. Conso_bâtiment_EF H3'!AB117)-1</f>
        <v>0.11211224095765204</v>
      </c>
      <c r="P93" s="117"/>
      <c r="Q93" s="1157"/>
      <c r="S93" s="253" t="s">
        <v>197</v>
      </c>
      <c r="T93" s="659" t="s">
        <v>286</v>
      </c>
      <c r="U93" s="659" t="s">
        <v>286</v>
      </c>
      <c r="V93" s="107">
        <f>-('A.1. Conso_bâtiment_EF H3'!AB117*'D.1. Facteur d''émissions'!C7-'A.1. Conso_bâtiment_EF H3'!Z106*'D.1. Facteur d''émissions'!C8)/('A.1. Conso_bâtiment_EF H3'!AB117*'D.1. Facteur d''émissions'!C7)</f>
        <v>-0.11246958869454271</v>
      </c>
      <c r="W93" s="107" t="e">
        <f>-(('A.1. Conso_bâtiment_EF H3'!AB117*'D.1. Facteur d''émissions'!C7)-(('A.1. Conso_bâtiment_EF H3'!AA107*'D.1. Facteur d''émissions'!#REF!)+('A.1. Conso_bâtiment_EF H3'!Z107*'D.1. Facteur d''émissions'!C8)))/('A.1. Conso_bâtiment_EF H3'!AB117*'D.1. Facteur d''émissions'!C7)</f>
        <v>#REF!</v>
      </c>
      <c r="X93" s="107">
        <f>-(('A.1. Conso_bâtiment_EF H3'!AB117*'D.1. Facteur d''émissions'!C7)-(('A.1. Conso_bâtiment_EF H3'!AA108*'D.1. Facteur d''émissions'!C15)+('A.1. Conso_bâtiment_EF H3'!Z108*'D.1. Facteur d''émissions'!C8)))/('A.1. Conso_bâtiment_EF H3'!AB117*'D.1. Facteur d''émissions'!C7)</f>
        <v>-0.58145542032357156</v>
      </c>
      <c r="Y93" s="107">
        <f>-('A.1. Conso_bâtiment_EF H3'!AB117*'D.1. Facteur d''émissions'!C7-'A.1. Conso_bâtiment_EF H3'!Z109*'D.1. Facteur d''émissions'!C8)/('A.1. Conso_bâtiment_EF H3'!AB117*'D.1. Facteur d''émissions'!C7)</f>
        <v>-0.35667694016580626</v>
      </c>
      <c r="Z93" s="107">
        <f>-(('A.1. Conso_bâtiment_EF H3'!AB117*'D.1. Facteur d''émissions'!C7)-(('A.1. Conso_bâtiment_EF H3'!Z110*'D.1. Facteur d''émissions'!C15)+('A.1. Conso_bâtiment_EF H3'!AA110*'D.1. Facteur d''émissions'!C8)))/('A.1. Conso_bâtiment_EF H3'!AB117*'D.1. Facteur d''émissions'!C7)</f>
        <v>-0.77675559242255932</v>
      </c>
      <c r="AA93" s="107"/>
      <c r="AB93" s="107">
        <f>-('A.1. Conso_bâtiment_EF H3'!AB117*'D.1. Facteur d''émissions'!C7-'A.1. Conso_bâtiment_EF H3'!Z111*'D.1. Facteur d''émissions'!C8)/('A.1. Conso_bâtiment_EF H3'!AB117*'D.1. Facteur d''émissions'!C7)</f>
        <v>-0.17964560003432459</v>
      </c>
      <c r="AC93" s="107"/>
    </row>
    <row r="94" spans="2:29" ht="14.45" customHeight="1" x14ac:dyDescent="0.25">
      <c r="P94" s="117"/>
    </row>
    <row r="95" spans="2:29" ht="14.45" customHeight="1" x14ac:dyDescent="0.25">
      <c r="P95" s="117"/>
      <c r="W95" s="135"/>
      <c r="X95" s="135"/>
    </row>
    <row r="96" spans="2:29" ht="14.45" customHeight="1" x14ac:dyDescent="0.25">
      <c r="P96" s="117"/>
    </row>
    <row r="97" spans="2:19" ht="14.45" customHeight="1" x14ac:dyDescent="0.25">
      <c r="P97" s="117"/>
      <c r="S97" s="135"/>
    </row>
    <row r="98" spans="2:19" ht="24.6" customHeight="1" x14ac:dyDescent="0.4">
      <c r="D98" s="554"/>
      <c r="P98" s="117"/>
    </row>
    <row r="99" spans="2:19" ht="14.45" customHeight="1" x14ac:dyDescent="0.25">
      <c r="P99" s="117"/>
    </row>
    <row r="100" spans="2:19" ht="14.45" customHeight="1" x14ac:dyDescent="0.25">
      <c r="P100" s="117"/>
    </row>
    <row r="101" spans="2:19" ht="14.45" customHeight="1" x14ac:dyDescent="0.25">
      <c r="E101" s="1158"/>
      <c r="F101" s="1158"/>
      <c r="G101" s="1158"/>
      <c r="H101" s="1158"/>
      <c r="I101" s="1158"/>
      <c r="J101" s="1158"/>
      <c r="K101" s="1158"/>
      <c r="L101" s="1158"/>
      <c r="M101" s="1158"/>
      <c r="N101" s="195"/>
      <c r="O101" s="195"/>
      <c r="P101" s="117"/>
    </row>
    <row r="102" spans="2:19" ht="14.45" customHeight="1" x14ac:dyDescent="0.25">
      <c r="P102" s="117"/>
    </row>
    <row r="103" spans="2:19" ht="87.6" customHeight="1" x14ac:dyDescent="0.25">
      <c r="B103" s="105"/>
      <c r="C103" s="105"/>
      <c r="D103" s="105"/>
      <c r="E103" s="196"/>
      <c r="F103" s="196"/>
      <c r="G103" s="196"/>
      <c r="H103" s="311"/>
      <c r="I103" s="311"/>
      <c r="J103" s="196"/>
      <c r="K103" s="196"/>
      <c r="L103" s="196"/>
      <c r="M103" s="196"/>
      <c r="N103" s="196"/>
      <c r="O103" s="196"/>
      <c r="P103" s="117"/>
    </row>
    <row r="104" spans="2:19" ht="40.5" customHeight="1" x14ac:dyDescent="0.3">
      <c r="B104" s="1159"/>
      <c r="D104" s="271"/>
      <c r="E104" s="190"/>
      <c r="F104" s="190"/>
      <c r="G104" s="191"/>
      <c r="H104" s="191"/>
      <c r="I104" s="191"/>
      <c r="J104" s="191"/>
      <c r="K104" s="191"/>
      <c r="L104" s="191"/>
      <c r="M104" s="191"/>
      <c r="N104" s="191"/>
      <c r="O104" s="191"/>
      <c r="P104" s="117"/>
    </row>
    <row r="105" spans="2:19" ht="40.5" customHeight="1" x14ac:dyDescent="0.3">
      <c r="B105" s="1159"/>
      <c r="D105" s="271"/>
      <c r="E105" s="192"/>
      <c r="F105" s="192"/>
      <c r="G105" s="192"/>
      <c r="H105" s="191"/>
      <c r="I105" s="191"/>
      <c r="J105" s="190"/>
      <c r="K105" s="190"/>
      <c r="L105" s="190"/>
      <c r="M105" s="192"/>
      <c r="N105" s="192"/>
      <c r="O105" s="192"/>
      <c r="P105" s="117"/>
    </row>
    <row r="106" spans="2:19" ht="40.5" customHeight="1" x14ac:dyDescent="0.3">
      <c r="B106" s="1159"/>
      <c r="D106" s="271"/>
      <c r="E106" s="192"/>
      <c r="F106" s="192"/>
      <c r="G106" s="192"/>
      <c r="H106" s="191"/>
      <c r="I106" s="191"/>
      <c r="J106" s="191"/>
      <c r="K106" s="191"/>
      <c r="L106" s="191"/>
      <c r="M106" s="190"/>
      <c r="N106" s="192"/>
      <c r="O106" s="190"/>
      <c r="P106" s="117"/>
    </row>
    <row r="107" spans="2:19" x14ac:dyDescent="0.25">
      <c r="P107" s="117"/>
    </row>
    <row r="108" spans="2:19" x14ac:dyDescent="0.25">
      <c r="P108" s="117"/>
    </row>
    <row r="109" spans="2:19" x14ac:dyDescent="0.25">
      <c r="P109" s="117"/>
    </row>
    <row r="110" spans="2:19" x14ac:dyDescent="0.25">
      <c r="P110" s="117"/>
    </row>
    <row r="111" spans="2:19" x14ac:dyDescent="0.25">
      <c r="P111" s="117"/>
    </row>
    <row r="112" spans="2:19" x14ac:dyDescent="0.25">
      <c r="P112" s="117"/>
    </row>
    <row r="113" spans="16:16" x14ac:dyDescent="0.25">
      <c r="P113" s="117"/>
    </row>
    <row r="114" spans="16:16" x14ac:dyDescent="0.25">
      <c r="P114" s="117"/>
    </row>
    <row r="115" spans="16:16" x14ac:dyDescent="0.25">
      <c r="P115" s="117"/>
    </row>
    <row r="116" spans="16:16" x14ac:dyDescent="0.25">
      <c r="P116" s="117"/>
    </row>
    <row r="117" spans="16:16" x14ac:dyDescent="0.25">
      <c r="P117" s="117"/>
    </row>
    <row r="118" spans="16:16" x14ac:dyDescent="0.25">
      <c r="P118" s="117"/>
    </row>
  </sheetData>
  <mergeCells count="20">
    <mergeCell ref="E16:M16"/>
    <mergeCell ref="T16:AB16"/>
    <mergeCell ref="B19:B30"/>
    <mergeCell ref="Q19:Q30"/>
    <mergeCell ref="E43:M43"/>
    <mergeCell ref="T43:AB43"/>
    <mergeCell ref="B46:B54"/>
    <mergeCell ref="Q46:Q55"/>
    <mergeCell ref="E62:M62"/>
    <mergeCell ref="T62:AB62"/>
    <mergeCell ref="B65:B75"/>
    <mergeCell ref="Q65:Q75"/>
    <mergeCell ref="N70:O73"/>
    <mergeCell ref="B104:B106"/>
    <mergeCell ref="E80:M80"/>
    <mergeCell ref="T80:AB80"/>
    <mergeCell ref="B83:B91"/>
    <mergeCell ref="Q83:Q93"/>
    <mergeCell ref="N88:O91"/>
    <mergeCell ref="E101:M10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3ACD4-1C31-42CC-A310-F9C992A35254}">
  <sheetPr>
    <tabColor theme="5" tint="0.79998168889431442"/>
  </sheetPr>
  <dimension ref="A3:Q167"/>
  <sheetViews>
    <sheetView showGridLines="0" zoomScaleNormal="100" workbookViewId="0">
      <selection activeCell="D10" sqref="D10"/>
    </sheetView>
  </sheetViews>
  <sheetFormatPr baseColWidth="10" defaultColWidth="11" defaultRowHeight="14.25" outlineLevelRow="1" x14ac:dyDescent="0.2"/>
  <cols>
    <col min="2" max="2" width="34.625" customWidth="1"/>
    <col min="3" max="3" width="12.125" customWidth="1"/>
    <col min="4" max="4" width="12.375" bestFit="1" customWidth="1"/>
    <col min="5" max="5" width="13.375" bestFit="1" customWidth="1"/>
    <col min="6" max="6" width="12.625" customWidth="1"/>
    <col min="7" max="7" width="13.875" customWidth="1"/>
    <col min="8" max="8" width="10.875" customWidth="1"/>
    <col min="9" max="9" width="11.375" customWidth="1"/>
    <col min="10" max="10" width="12.375" customWidth="1"/>
    <col min="15" max="15" width="18.125" customWidth="1"/>
  </cols>
  <sheetData>
    <row r="3" spans="1:17" ht="15" hidden="1" x14ac:dyDescent="0.25">
      <c r="A3">
        <v>1</v>
      </c>
      <c r="B3" t="s">
        <v>291</v>
      </c>
      <c r="C3" s="1"/>
    </row>
    <row r="4" spans="1:17" hidden="1" x14ac:dyDescent="0.2">
      <c r="A4">
        <v>2</v>
      </c>
      <c r="B4" t="s">
        <v>292</v>
      </c>
      <c r="C4" s="207"/>
    </row>
    <row r="6" spans="1:17" ht="15.75" x14ac:dyDescent="0.25">
      <c r="B6" s="18" t="s">
        <v>293</v>
      </c>
    </row>
    <row r="8" spans="1:17" ht="15" x14ac:dyDescent="0.25">
      <c r="B8" s="7" t="s">
        <v>294</v>
      </c>
    </row>
    <row r="9" spans="1:17" ht="15" x14ac:dyDescent="0.25">
      <c r="C9" s="324" t="s">
        <v>295</v>
      </c>
      <c r="D9" s="325" t="s">
        <v>296</v>
      </c>
      <c r="E9" s="325" t="s">
        <v>297</v>
      </c>
      <c r="F9" s="325" t="s">
        <v>298</v>
      </c>
      <c r="G9" s="325" t="s">
        <v>299</v>
      </c>
      <c r="H9" s="325" t="s">
        <v>300</v>
      </c>
      <c r="I9" s="325" t="s">
        <v>301</v>
      </c>
      <c r="J9" s="200" t="s">
        <v>302</v>
      </c>
      <c r="N9" s="1"/>
    </row>
    <row r="10" spans="1:17" ht="15" x14ac:dyDescent="0.25">
      <c r="B10" s="897" t="s">
        <v>303</v>
      </c>
      <c r="C10" s="317">
        <v>245.10679611650485</v>
      </c>
      <c r="D10" s="378">
        <v>814.5272727272727</v>
      </c>
      <c r="E10" s="378">
        <v>1878.1026615969581</v>
      </c>
      <c r="F10" s="379">
        <v>5553.7782724844164</v>
      </c>
      <c r="G10" s="379">
        <v>15609.995260663507</v>
      </c>
      <c r="H10" s="379">
        <v>37700.23684210526</v>
      </c>
      <c r="I10" s="379">
        <v>126265.27272727272</v>
      </c>
      <c r="J10" s="376">
        <v>15079.212096774199</v>
      </c>
    </row>
    <row r="11" spans="1:17" ht="15.75" x14ac:dyDescent="0.25">
      <c r="B11" t="s">
        <v>304</v>
      </c>
      <c r="C11" s="317">
        <v>116.92670786131136</v>
      </c>
      <c r="D11" s="322">
        <v>491.37059859154931</v>
      </c>
      <c r="E11" s="322">
        <v>844.6273904996915</v>
      </c>
      <c r="F11" s="322">
        <v>2013.4990842490843</v>
      </c>
      <c r="G11" s="322">
        <v>2352.1754385964914</v>
      </c>
      <c r="H11" s="322">
        <v>4488</v>
      </c>
      <c r="I11" s="322"/>
      <c r="J11" s="376">
        <v>508.06853095391409</v>
      </c>
      <c r="K11" s="308"/>
      <c r="N11" s="87"/>
      <c r="O11" s="309"/>
      <c r="P11" s="13"/>
      <c r="Q11" s="87"/>
    </row>
    <row r="12" spans="1:17" ht="15.75" x14ac:dyDescent="0.25">
      <c r="B12" t="s">
        <v>305</v>
      </c>
      <c r="C12" s="317">
        <v>335.5</v>
      </c>
      <c r="D12" s="322">
        <v>1042.5833333333333</v>
      </c>
      <c r="E12" s="322">
        <v>766.25</v>
      </c>
      <c r="F12" s="322">
        <v>3965.5542168674697</v>
      </c>
      <c r="G12" s="322">
        <v>9169.875</v>
      </c>
      <c r="H12" s="322">
        <v>16685.75</v>
      </c>
      <c r="I12" s="322">
        <v>20354.777777777777</v>
      </c>
      <c r="J12" s="376">
        <v>5333.136363636364</v>
      </c>
      <c r="K12" s="308"/>
      <c r="N12" s="87"/>
      <c r="O12" s="309"/>
      <c r="P12" s="13"/>
      <c r="Q12" s="87"/>
    </row>
    <row r="13" spans="1:17" ht="15.75" x14ac:dyDescent="0.25">
      <c r="B13" t="s">
        <v>306</v>
      </c>
      <c r="C13" s="317">
        <v>279</v>
      </c>
      <c r="D13" s="323">
        <v>1089.9859154929577</v>
      </c>
      <c r="E13" s="323">
        <v>1521.2142857142858</v>
      </c>
      <c r="F13" s="323">
        <v>5139.2150537634407</v>
      </c>
      <c r="G13" s="323">
        <v>12252.08695652174</v>
      </c>
      <c r="H13" s="323">
        <v>49971.25</v>
      </c>
      <c r="I13" s="323"/>
      <c r="J13" s="376">
        <v>4115.1256157635471</v>
      </c>
      <c r="K13" s="308"/>
      <c r="N13" s="87"/>
      <c r="O13" s="309"/>
      <c r="P13" s="13"/>
      <c r="Q13" s="87"/>
    </row>
    <row r="14" spans="1:17" ht="30" x14ac:dyDescent="0.25">
      <c r="B14" s="436" t="s">
        <v>307</v>
      </c>
      <c r="C14" s="878">
        <v>119.87036104114189</v>
      </c>
      <c r="D14" s="323">
        <v>538.05436893203887</v>
      </c>
      <c r="E14" s="323">
        <v>1009.3305418719211</v>
      </c>
      <c r="F14" s="323">
        <v>3913.3128019323672</v>
      </c>
      <c r="G14" s="323">
        <v>13664.280898876405</v>
      </c>
      <c r="H14" s="323">
        <v>36474.623481781375</v>
      </c>
      <c r="I14" s="323">
        <v>118933.0076923077</v>
      </c>
      <c r="J14" s="879">
        <v>3270.9681834467933</v>
      </c>
      <c r="K14" s="308"/>
      <c r="N14" s="87"/>
      <c r="O14" s="309"/>
      <c r="P14" s="13"/>
      <c r="Q14" s="87"/>
    </row>
    <row r="15" spans="1:17" ht="15.75" x14ac:dyDescent="0.25">
      <c r="C15" s="421"/>
      <c r="D15" s="421"/>
      <c r="E15" s="422"/>
      <c r="F15" s="422"/>
      <c r="G15" s="422"/>
      <c r="H15" s="313"/>
      <c r="I15" s="313"/>
      <c r="J15" s="376"/>
      <c r="K15" s="308"/>
      <c r="N15" s="87"/>
      <c r="O15" s="309"/>
      <c r="P15" s="13"/>
      <c r="Q15" s="87"/>
    </row>
    <row r="16" spans="1:17" ht="15.75" x14ac:dyDescent="0.25">
      <c r="C16" s="421"/>
      <c r="D16" s="421"/>
      <c r="E16" s="422"/>
      <c r="F16" s="422"/>
      <c r="G16" s="422"/>
      <c r="H16" s="313"/>
      <c r="I16" s="313"/>
      <c r="J16" s="376"/>
      <c r="K16" s="308"/>
      <c r="N16" s="87"/>
      <c r="O16" s="309"/>
      <c r="P16" s="13"/>
      <c r="Q16" s="87"/>
    </row>
    <row r="17" spans="2:17" ht="15" x14ac:dyDescent="0.25">
      <c r="B17" s="7" t="s">
        <v>308</v>
      </c>
      <c r="C17" s="324" t="s">
        <v>309</v>
      </c>
      <c r="D17" s="325" t="s">
        <v>296</v>
      </c>
      <c r="E17" s="325" t="s">
        <v>297</v>
      </c>
      <c r="F17" s="325" t="s">
        <v>298</v>
      </c>
      <c r="G17" s="325" t="s">
        <v>299</v>
      </c>
      <c r="H17" s="325" t="s">
        <v>300</v>
      </c>
      <c r="I17" s="325" t="s">
        <v>301</v>
      </c>
      <c r="J17" s="200" t="s">
        <v>302</v>
      </c>
      <c r="K17" s="308"/>
      <c r="N17" s="87"/>
      <c r="O17" s="309"/>
      <c r="P17" s="13"/>
      <c r="Q17" s="87"/>
    </row>
    <row r="18" spans="2:17" ht="15.75" x14ac:dyDescent="0.25">
      <c r="B18" t="s">
        <v>310</v>
      </c>
      <c r="C18" s="317">
        <v>221.43809523809523</v>
      </c>
      <c r="D18" s="377">
        <v>758</v>
      </c>
      <c r="E18" s="378">
        <v>1525</v>
      </c>
      <c r="F18" s="379">
        <v>4927</v>
      </c>
      <c r="G18" s="380">
        <v>17411</v>
      </c>
      <c r="H18" s="381">
        <v>42728</v>
      </c>
      <c r="I18" s="381">
        <v>95348</v>
      </c>
      <c r="J18" s="376">
        <v>7970.4452025586352</v>
      </c>
      <c r="K18" s="308"/>
      <c r="N18" s="87"/>
      <c r="O18" s="309"/>
      <c r="P18" s="13"/>
      <c r="Q18" s="87"/>
    </row>
    <row r="19" spans="2:17" ht="15.75" x14ac:dyDescent="0.25">
      <c r="B19" t="s">
        <v>311</v>
      </c>
      <c r="C19" s="317">
        <v>145.98837209302326</v>
      </c>
      <c r="D19" s="321">
        <v>717</v>
      </c>
      <c r="E19" s="322">
        <v>1881</v>
      </c>
      <c r="F19" s="322">
        <v>4725</v>
      </c>
      <c r="G19" s="322">
        <v>16091</v>
      </c>
      <c r="H19" s="319">
        <v>26672</v>
      </c>
      <c r="I19" s="319">
        <v>133850</v>
      </c>
      <c r="J19" s="376">
        <v>14877.433641975309</v>
      </c>
      <c r="K19" s="308"/>
      <c r="N19" s="87"/>
      <c r="O19" s="309"/>
      <c r="P19" s="13"/>
      <c r="Q19" s="87"/>
    </row>
    <row r="20" spans="2:17" ht="15.75" x14ac:dyDescent="0.25">
      <c r="B20" t="s">
        <v>312</v>
      </c>
      <c r="C20" s="317">
        <v>342</v>
      </c>
      <c r="D20" s="321">
        <v>1088</v>
      </c>
      <c r="E20" s="322">
        <v>1759</v>
      </c>
      <c r="F20" s="322">
        <v>4223</v>
      </c>
      <c r="G20" s="323" t="s">
        <v>28</v>
      </c>
      <c r="H20" s="323" t="s">
        <v>28</v>
      </c>
      <c r="I20" s="323" t="s">
        <v>28</v>
      </c>
      <c r="J20" s="376">
        <v>2281.795918367347</v>
      </c>
      <c r="K20" s="308"/>
      <c r="N20" s="87"/>
      <c r="O20" s="309"/>
      <c r="P20" s="13"/>
      <c r="Q20" s="87"/>
    </row>
    <row r="21" spans="2:17" ht="15.75" x14ac:dyDescent="0.25">
      <c r="B21" t="s">
        <v>313</v>
      </c>
      <c r="C21" s="317">
        <v>132.8042949756888</v>
      </c>
      <c r="D21" s="321">
        <v>557</v>
      </c>
      <c r="E21" s="323">
        <v>837</v>
      </c>
      <c r="F21" s="323">
        <v>2341</v>
      </c>
      <c r="G21" s="323">
        <v>1005</v>
      </c>
      <c r="H21" s="319">
        <v>41637</v>
      </c>
      <c r="I21" s="319">
        <v>125120</v>
      </c>
      <c r="J21" s="376">
        <v>488.72582713516289</v>
      </c>
      <c r="K21" s="423" t="s">
        <v>314</v>
      </c>
      <c r="N21" s="87"/>
      <c r="O21" s="309"/>
      <c r="P21" s="13"/>
      <c r="Q21" s="87"/>
    </row>
    <row r="22" spans="2:17" ht="15.75" x14ac:dyDescent="0.25">
      <c r="B22" t="s">
        <v>315</v>
      </c>
      <c r="C22" s="317">
        <v>327.5</v>
      </c>
      <c r="D22" s="321">
        <v>868</v>
      </c>
      <c r="E22" s="323" t="s">
        <v>28</v>
      </c>
      <c r="F22" s="323">
        <v>5485</v>
      </c>
      <c r="G22" s="323" t="s">
        <v>28</v>
      </c>
      <c r="H22" s="323" t="s">
        <v>28</v>
      </c>
      <c r="I22" s="323">
        <v>17705</v>
      </c>
      <c r="J22" s="376">
        <v>4438.2857142857147</v>
      </c>
      <c r="K22" s="308"/>
      <c r="N22" s="87"/>
      <c r="O22" s="309"/>
      <c r="P22" s="13"/>
      <c r="Q22" s="87"/>
    </row>
    <row r="23" spans="2:17" ht="15.75" x14ac:dyDescent="0.25">
      <c r="B23" t="s">
        <v>316</v>
      </c>
      <c r="C23" s="913">
        <v>101</v>
      </c>
      <c r="D23" s="421">
        <v>450</v>
      </c>
      <c r="E23" s="422">
        <v>822</v>
      </c>
      <c r="F23" s="422">
        <v>3197</v>
      </c>
      <c r="G23" s="422">
        <v>9337</v>
      </c>
      <c r="H23" s="422">
        <v>32538</v>
      </c>
      <c r="I23" s="422">
        <v>123591</v>
      </c>
      <c r="J23" s="376">
        <v>2180</v>
      </c>
      <c r="K23" s="308"/>
      <c r="N23" s="87"/>
      <c r="O23" s="309"/>
      <c r="P23" s="13"/>
      <c r="Q23" s="87"/>
    </row>
    <row r="24" spans="2:17" ht="30" x14ac:dyDescent="0.25">
      <c r="B24" s="436" t="s">
        <v>307</v>
      </c>
      <c r="C24" s="421"/>
      <c r="D24" s="421"/>
      <c r="E24" s="422"/>
      <c r="F24" s="422"/>
      <c r="G24" s="422"/>
      <c r="H24" s="313"/>
      <c r="I24" s="313"/>
      <c r="J24" s="879">
        <v>3273</v>
      </c>
      <c r="K24" s="308"/>
      <c r="N24" s="87"/>
      <c r="O24" s="309"/>
      <c r="P24" s="13"/>
      <c r="Q24" s="87"/>
    </row>
    <row r="25" spans="2:17" ht="15.75" x14ac:dyDescent="0.25">
      <c r="C25" s="421"/>
      <c r="D25" s="421"/>
      <c r="E25" s="422"/>
      <c r="F25" s="422"/>
      <c r="G25" s="422"/>
      <c r="H25" s="313"/>
      <c r="I25" s="313"/>
      <c r="J25" s="376"/>
      <c r="K25" s="308"/>
      <c r="N25" s="87"/>
      <c r="O25" s="309"/>
      <c r="P25" s="13"/>
      <c r="Q25" s="87"/>
    </row>
    <row r="26" spans="2:17" ht="15.75" x14ac:dyDescent="0.25">
      <c r="C26" s="421"/>
      <c r="D26" s="421"/>
      <c r="E26" s="422"/>
      <c r="F26" s="422"/>
      <c r="G26" s="422"/>
      <c r="H26" s="313"/>
      <c r="I26" s="313"/>
      <c r="J26" s="376"/>
      <c r="K26" s="308"/>
      <c r="N26" s="87"/>
      <c r="O26" s="309"/>
      <c r="P26" s="13"/>
      <c r="Q26" s="87"/>
    </row>
    <row r="27" spans="2:17" ht="15.75" x14ac:dyDescent="0.25">
      <c r="C27" s="421"/>
      <c r="D27" s="421"/>
      <c r="E27" s="422"/>
      <c r="F27" s="422"/>
      <c r="G27" s="422"/>
      <c r="H27" s="313"/>
      <c r="I27" s="313"/>
      <c r="J27" s="376"/>
      <c r="K27" s="308"/>
      <c r="N27" s="87"/>
      <c r="O27" s="309"/>
      <c r="P27" s="13"/>
      <c r="Q27" s="87"/>
    </row>
    <row r="28" spans="2:17" ht="15.75" x14ac:dyDescent="0.25">
      <c r="C28" s="421"/>
      <c r="D28" s="421"/>
      <c r="E28" s="422"/>
      <c r="F28" s="422"/>
      <c r="G28" s="422"/>
      <c r="H28" s="313"/>
      <c r="I28" s="313"/>
      <c r="J28" s="376"/>
      <c r="K28" s="308"/>
      <c r="N28" s="87"/>
      <c r="O28" s="309"/>
      <c r="P28" s="13"/>
      <c r="Q28" s="87"/>
    </row>
    <row r="29" spans="2:17" ht="15.75" x14ac:dyDescent="0.25">
      <c r="C29" s="421"/>
      <c r="D29" s="421"/>
      <c r="E29" s="422"/>
      <c r="F29" s="422"/>
      <c r="G29" s="422"/>
      <c r="H29" s="313"/>
      <c r="I29" s="313"/>
      <c r="J29" s="376"/>
      <c r="K29" s="308"/>
      <c r="N29" s="87"/>
      <c r="O29" s="309"/>
      <c r="P29" s="13"/>
      <c r="Q29" s="87"/>
    </row>
    <row r="30" spans="2:17" ht="15.75" x14ac:dyDescent="0.25">
      <c r="C30" s="421"/>
      <c r="D30" s="421"/>
      <c r="E30" s="422"/>
      <c r="F30" s="422"/>
      <c r="G30" s="422"/>
      <c r="H30" s="313"/>
      <c r="I30" s="313"/>
      <c r="J30" s="376"/>
      <c r="K30" s="308"/>
      <c r="N30" s="87"/>
      <c r="O30" s="309"/>
      <c r="P30" s="13"/>
      <c r="Q30" s="87"/>
    </row>
    <row r="31" spans="2:17" ht="18.75" x14ac:dyDescent="0.3">
      <c r="C31" s="315"/>
      <c r="D31" s="316"/>
      <c r="E31" s="315"/>
      <c r="F31" s="311"/>
      <c r="G31" s="311"/>
      <c r="H31" s="312"/>
      <c r="I31" s="312"/>
      <c r="J31" s="312"/>
      <c r="K31" s="308"/>
      <c r="N31" s="87"/>
      <c r="O31" s="309"/>
      <c r="P31" s="13"/>
      <c r="Q31" s="87"/>
    </row>
    <row r="32" spans="2:17" ht="18.75" x14ac:dyDescent="0.3">
      <c r="C32" s="315"/>
      <c r="D32" s="316"/>
      <c r="E32" s="315"/>
      <c r="F32" s="315"/>
      <c r="G32" s="311"/>
      <c r="H32" s="312"/>
      <c r="I32" s="312"/>
      <c r="J32" s="312"/>
      <c r="N32" s="310"/>
      <c r="O32" s="308"/>
      <c r="P32" s="308"/>
      <c r="Q32" s="87"/>
    </row>
    <row r="33" spans="2:10" ht="15" hidden="1" outlineLevel="1" x14ac:dyDescent="0.25">
      <c r="B33" s="7" t="s">
        <v>317</v>
      </c>
      <c r="C33" s="324" t="s">
        <v>309</v>
      </c>
      <c r="D33" s="325" t="s">
        <v>296</v>
      </c>
      <c r="E33" s="325" t="s">
        <v>297</v>
      </c>
      <c r="F33" s="325" t="s">
        <v>298</v>
      </c>
      <c r="G33" s="325" t="s">
        <v>299</v>
      </c>
      <c r="H33" s="325" t="s">
        <v>300</v>
      </c>
      <c r="I33" s="325" t="s">
        <v>301</v>
      </c>
      <c r="J33" s="200" t="s">
        <v>302</v>
      </c>
    </row>
    <row r="34" spans="2:10" ht="15" hidden="1" outlineLevel="1" x14ac:dyDescent="0.2">
      <c r="B34" t="s">
        <v>318</v>
      </c>
      <c r="C34" s="317">
        <v>120</v>
      </c>
      <c r="D34" s="320">
        <v>519</v>
      </c>
      <c r="E34" s="320">
        <v>1040</v>
      </c>
      <c r="F34" s="320">
        <v>3095</v>
      </c>
      <c r="G34" s="320">
        <v>9091</v>
      </c>
      <c r="H34" s="320">
        <v>26925</v>
      </c>
      <c r="I34" s="320">
        <v>77995.176470588238</v>
      </c>
      <c r="J34" s="314">
        <v>1165</v>
      </c>
    </row>
    <row r="35" spans="2:10" ht="15" hidden="1" outlineLevel="1" x14ac:dyDescent="0.2">
      <c r="B35" t="s">
        <v>319</v>
      </c>
      <c r="C35" s="318">
        <v>122</v>
      </c>
      <c r="D35" s="320">
        <v>812</v>
      </c>
      <c r="E35" s="320">
        <v>797</v>
      </c>
      <c r="F35" s="320">
        <v>6501</v>
      </c>
      <c r="G35" s="320">
        <v>16582</v>
      </c>
      <c r="H35" s="320">
        <v>38487.460784313727</v>
      </c>
      <c r="I35" s="320">
        <v>125091.79646017699</v>
      </c>
      <c r="J35" s="314">
        <v>16274</v>
      </c>
    </row>
    <row r="36" spans="2:10" ht="15" hidden="1" outlineLevel="1" x14ac:dyDescent="0.2">
      <c r="C36" s="33"/>
      <c r="D36" s="33"/>
      <c r="E36" s="33"/>
      <c r="F36" s="33"/>
      <c r="G36" s="33"/>
      <c r="H36" s="33"/>
      <c r="I36" s="33"/>
      <c r="J36" s="314">
        <v>3270.9681834467933</v>
      </c>
    </row>
    <row r="37" spans="2:10" hidden="1" outlineLevel="1" x14ac:dyDescent="0.2">
      <c r="B37" t="s">
        <v>320</v>
      </c>
      <c r="C37" s="383">
        <f t="shared" ref="C37:J37" si="0">C35/C34-1</f>
        <v>1.6666666666666607E-2</v>
      </c>
      <c r="D37" s="383">
        <f t="shared" si="0"/>
        <v>0.56454720616570331</v>
      </c>
      <c r="E37" s="384">
        <f t="shared" si="0"/>
        <v>-0.2336538461538461</v>
      </c>
      <c r="F37" s="383">
        <f t="shared" si="0"/>
        <v>1.1004846526655898</v>
      </c>
      <c r="G37" s="383">
        <f t="shared" si="0"/>
        <v>0.82400175998240011</v>
      </c>
      <c r="H37" s="383">
        <f t="shared" si="0"/>
        <v>0.42943215540626656</v>
      </c>
      <c r="I37" s="383">
        <f t="shared" si="0"/>
        <v>0.6038401619278182</v>
      </c>
      <c r="J37" s="383">
        <f t="shared" si="0"/>
        <v>12.969098712446351</v>
      </c>
    </row>
    <row r="38" spans="2:10" collapsed="1" x14ac:dyDescent="0.2"/>
    <row r="45" spans="2:10" ht="15" x14ac:dyDescent="0.2">
      <c r="C45" s="382"/>
      <c r="D45" s="313"/>
      <c r="E45" s="313"/>
      <c r="F45" s="313"/>
      <c r="G45" s="313"/>
      <c r="H45" s="313"/>
      <c r="I45" s="313"/>
      <c r="J45" s="314"/>
    </row>
    <row r="46" spans="2:10" ht="18.75" x14ac:dyDescent="0.3">
      <c r="C46" s="271"/>
      <c r="D46" s="272"/>
    </row>
    <row r="47" spans="2:10" ht="18.75" x14ac:dyDescent="0.3">
      <c r="C47" s="271"/>
      <c r="D47" s="272"/>
    </row>
    <row r="48" spans="2:10" ht="18.75" x14ac:dyDescent="0.3">
      <c r="C48" s="271"/>
      <c r="D48" s="272"/>
    </row>
    <row r="49" spans="3:4" ht="18.75" x14ac:dyDescent="0.3">
      <c r="C49" s="271"/>
      <c r="D49" s="272"/>
    </row>
    <row r="50" spans="3:4" ht="18.75" x14ac:dyDescent="0.3">
      <c r="C50" s="271"/>
      <c r="D50" s="272"/>
    </row>
    <row r="51" spans="3:4" ht="18.75" x14ac:dyDescent="0.3">
      <c r="C51" s="271"/>
      <c r="D51" s="272"/>
    </row>
    <row r="52" spans="3:4" ht="18.75" x14ac:dyDescent="0.3">
      <c r="C52" s="271"/>
      <c r="D52" s="272"/>
    </row>
    <row r="53" spans="3:4" ht="18.75" x14ac:dyDescent="0.3">
      <c r="C53" s="271"/>
      <c r="D53" s="272"/>
    </row>
    <row r="54" spans="3:4" ht="18.75" x14ac:dyDescent="0.3">
      <c r="C54" s="271"/>
      <c r="D54" s="272"/>
    </row>
    <row r="55" spans="3:4" ht="18.75" x14ac:dyDescent="0.3">
      <c r="C55" s="271"/>
      <c r="D55" s="272"/>
    </row>
    <row r="56" spans="3:4" ht="18.75" x14ac:dyDescent="0.3">
      <c r="C56" s="271"/>
      <c r="D56" s="272"/>
    </row>
    <row r="57" spans="3:4" ht="18.75" x14ac:dyDescent="0.3">
      <c r="C57" s="271"/>
      <c r="D57" s="272"/>
    </row>
    <row r="58" spans="3:4" ht="18.75" x14ac:dyDescent="0.3">
      <c r="C58" s="271"/>
      <c r="D58" s="272"/>
    </row>
    <row r="59" spans="3:4" ht="18.75" x14ac:dyDescent="0.3">
      <c r="C59" s="271"/>
      <c r="D59" s="272"/>
    </row>
    <row r="60" spans="3:4" ht="18.75" x14ac:dyDescent="0.3">
      <c r="C60" s="271"/>
      <c r="D60" s="272"/>
    </row>
    <row r="61" spans="3:4" ht="18.75" x14ac:dyDescent="0.3">
      <c r="C61" s="271"/>
      <c r="D61" s="272"/>
    </row>
    <row r="62" spans="3:4" ht="18.75" x14ac:dyDescent="0.3">
      <c r="C62" s="271"/>
      <c r="D62" s="272"/>
    </row>
    <row r="63" spans="3:4" ht="18.75" x14ac:dyDescent="0.3">
      <c r="C63" s="271"/>
      <c r="D63" s="272"/>
    </row>
    <row r="64" spans="3:4" ht="18.75" x14ac:dyDescent="0.3">
      <c r="C64" s="271"/>
      <c r="D64" s="272"/>
    </row>
    <row r="65" spans="3:4" ht="18.75" x14ac:dyDescent="0.3">
      <c r="C65" s="271"/>
      <c r="D65" s="272"/>
    </row>
    <row r="66" spans="3:4" ht="18.75" x14ac:dyDescent="0.3">
      <c r="C66" s="271"/>
      <c r="D66" s="272"/>
    </row>
    <row r="67" spans="3:4" ht="18.75" x14ac:dyDescent="0.3">
      <c r="C67" s="271"/>
      <c r="D67" s="272"/>
    </row>
    <row r="68" spans="3:4" ht="18.75" x14ac:dyDescent="0.3">
      <c r="C68" s="271"/>
      <c r="D68" s="272"/>
    </row>
    <row r="69" spans="3:4" ht="18.75" x14ac:dyDescent="0.3">
      <c r="C69" s="271"/>
      <c r="D69" s="272"/>
    </row>
    <row r="70" spans="3:4" ht="18.75" x14ac:dyDescent="0.3">
      <c r="C70" s="271"/>
      <c r="D70" s="272"/>
    </row>
    <row r="71" spans="3:4" ht="18.75" x14ac:dyDescent="0.3">
      <c r="C71" s="271"/>
      <c r="D71" s="272"/>
    </row>
    <row r="72" spans="3:4" ht="18.75" x14ac:dyDescent="0.3">
      <c r="C72" s="271"/>
      <c r="D72" s="272"/>
    </row>
    <row r="73" spans="3:4" ht="18.75" x14ac:dyDescent="0.3">
      <c r="C73" s="271"/>
      <c r="D73" s="272"/>
    </row>
    <row r="74" spans="3:4" ht="18.75" x14ac:dyDescent="0.3">
      <c r="C74" s="271"/>
      <c r="D74" s="272"/>
    </row>
    <row r="75" spans="3:4" ht="18.75" x14ac:dyDescent="0.3">
      <c r="C75" s="271"/>
      <c r="D75" s="272"/>
    </row>
    <row r="76" spans="3:4" ht="18.75" x14ac:dyDescent="0.3">
      <c r="C76" s="271"/>
      <c r="D76" s="272"/>
    </row>
    <row r="77" spans="3:4" ht="18.75" x14ac:dyDescent="0.3">
      <c r="C77" s="271"/>
      <c r="D77" s="272"/>
    </row>
    <row r="78" spans="3:4" ht="18.75" x14ac:dyDescent="0.3">
      <c r="C78" s="271"/>
      <c r="D78" s="272"/>
    </row>
    <row r="79" spans="3:4" ht="18.75" x14ac:dyDescent="0.3">
      <c r="C79" s="271"/>
      <c r="D79" s="272"/>
    </row>
    <row r="80" spans="3:4" ht="18.75" x14ac:dyDescent="0.3">
      <c r="C80" s="271"/>
      <c r="D80" s="272"/>
    </row>
    <row r="81" spans="3:4" ht="18.75" x14ac:dyDescent="0.3">
      <c r="C81" s="271"/>
      <c r="D81" s="272"/>
    </row>
    <row r="82" spans="3:4" ht="18.75" x14ac:dyDescent="0.3">
      <c r="C82" s="271"/>
      <c r="D82" s="272"/>
    </row>
    <row r="83" spans="3:4" ht="18.75" x14ac:dyDescent="0.3">
      <c r="C83" s="271"/>
      <c r="D83" s="272"/>
    </row>
    <row r="84" spans="3:4" ht="18.75" x14ac:dyDescent="0.3">
      <c r="C84" s="271"/>
      <c r="D84" s="272"/>
    </row>
    <row r="85" spans="3:4" ht="18.75" x14ac:dyDescent="0.3">
      <c r="C85" s="271"/>
      <c r="D85" s="272"/>
    </row>
    <row r="86" spans="3:4" ht="18.75" x14ac:dyDescent="0.3">
      <c r="C86" s="271"/>
      <c r="D86" s="272"/>
    </row>
    <row r="87" spans="3:4" ht="18.75" x14ac:dyDescent="0.3">
      <c r="C87" s="271"/>
      <c r="D87" s="272"/>
    </row>
    <row r="89" spans="3:4" ht="15" x14ac:dyDescent="0.2">
      <c r="C89" s="262" t="s">
        <v>321</v>
      </c>
    </row>
    <row r="90" spans="3:4" ht="15" x14ac:dyDescent="0.2">
      <c r="C90" s="262" t="s">
        <v>322</v>
      </c>
    </row>
    <row r="91" spans="3:4" ht="45" x14ac:dyDescent="0.2">
      <c r="C91" s="263" t="s">
        <v>323</v>
      </c>
    </row>
    <row r="92" spans="3:4" ht="195" x14ac:dyDescent="0.2">
      <c r="C92" s="264" t="s">
        <v>324</v>
      </c>
    </row>
    <row r="93" spans="3:4" ht="15" x14ac:dyDescent="0.2">
      <c r="C93" s="262" t="s">
        <v>325</v>
      </c>
    </row>
    <row r="94" spans="3:4" ht="180" x14ac:dyDescent="0.2">
      <c r="C94" s="265" t="s">
        <v>326</v>
      </c>
    </row>
    <row r="95" spans="3:4" ht="180" x14ac:dyDescent="0.2">
      <c r="C95" s="265" t="s">
        <v>327</v>
      </c>
    </row>
    <row r="96" spans="3:4" ht="135" x14ac:dyDescent="0.2">
      <c r="C96" s="266" t="s">
        <v>328</v>
      </c>
    </row>
    <row r="97" spans="3:3" ht="90" x14ac:dyDescent="0.2">
      <c r="C97" s="263" t="s">
        <v>329</v>
      </c>
    </row>
    <row r="98" spans="3:3" ht="90" x14ac:dyDescent="0.2">
      <c r="C98" s="264" t="s">
        <v>330</v>
      </c>
    </row>
    <row r="99" spans="3:3" ht="15" x14ac:dyDescent="0.2">
      <c r="C99" s="262" t="s">
        <v>331</v>
      </c>
    </row>
    <row r="100" spans="3:3" ht="135" x14ac:dyDescent="0.2">
      <c r="C100" s="266" t="s">
        <v>332</v>
      </c>
    </row>
    <row r="101" spans="3:3" ht="60" x14ac:dyDescent="0.2">
      <c r="C101" s="263" t="s">
        <v>333</v>
      </c>
    </row>
    <row r="102" spans="3:3" ht="60" x14ac:dyDescent="0.2">
      <c r="C102" s="264" t="s">
        <v>334</v>
      </c>
    </row>
    <row r="103" spans="3:3" ht="15" x14ac:dyDescent="0.2">
      <c r="C103" s="262" t="s">
        <v>335</v>
      </c>
    </row>
    <row r="104" spans="3:3" ht="15" x14ac:dyDescent="0.2">
      <c r="C104" s="262" t="s">
        <v>336</v>
      </c>
    </row>
    <row r="105" spans="3:3" ht="15" x14ac:dyDescent="0.2">
      <c r="C105" s="262" t="s">
        <v>337</v>
      </c>
    </row>
    <row r="106" spans="3:3" ht="15" x14ac:dyDescent="0.2">
      <c r="C106" s="262" t="s">
        <v>338</v>
      </c>
    </row>
    <row r="107" spans="3:3" ht="15" x14ac:dyDescent="0.2">
      <c r="C107" s="262" t="s">
        <v>339</v>
      </c>
    </row>
    <row r="108" spans="3:3" ht="15" x14ac:dyDescent="0.2">
      <c r="C108" s="262" t="s">
        <v>340</v>
      </c>
    </row>
    <row r="109" spans="3:3" ht="15" x14ac:dyDescent="0.2">
      <c r="C109" s="262" t="s">
        <v>341</v>
      </c>
    </row>
    <row r="110" spans="3:3" ht="60" x14ac:dyDescent="0.2">
      <c r="C110" s="265" t="s">
        <v>342</v>
      </c>
    </row>
    <row r="111" spans="3:3" ht="15" x14ac:dyDescent="0.2">
      <c r="C111" s="262" t="s">
        <v>343</v>
      </c>
    </row>
    <row r="112" spans="3:3" ht="15" x14ac:dyDescent="0.2">
      <c r="C112" s="262" t="s">
        <v>344</v>
      </c>
    </row>
    <row r="113" spans="3:3" ht="15" x14ac:dyDescent="0.2">
      <c r="C113" s="262" t="s">
        <v>345</v>
      </c>
    </row>
    <row r="114" spans="3:3" ht="15" x14ac:dyDescent="0.2">
      <c r="C114" s="262" t="s">
        <v>346</v>
      </c>
    </row>
    <row r="115" spans="3:3" ht="15" x14ac:dyDescent="0.2">
      <c r="C115" s="262" t="s">
        <v>347</v>
      </c>
    </row>
    <row r="116" spans="3:3" ht="165" x14ac:dyDescent="0.2">
      <c r="C116" s="265" t="s">
        <v>348</v>
      </c>
    </row>
    <row r="117" spans="3:3" ht="15" x14ac:dyDescent="0.2">
      <c r="C117" s="262" t="s">
        <v>349</v>
      </c>
    </row>
    <row r="118" spans="3:3" ht="15" x14ac:dyDescent="0.2">
      <c r="C118" s="262" t="s">
        <v>350</v>
      </c>
    </row>
    <row r="119" spans="3:3" ht="15" x14ac:dyDescent="0.2">
      <c r="C119" s="262" t="s">
        <v>351</v>
      </c>
    </row>
    <row r="120" spans="3:3" ht="15" x14ac:dyDescent="0.2">
      <c r="C120" s="262" t="s">
        <v>352</v>
      </c>
    </row>
    <row r="121" spans="3:3" ht="15" x14ac:dyDescent="0.2">
      <c r="C121" s="262" t="s">
        <v>353</v>
      </c>
    </row>
    <row r="122" spans="3:3" ht="15" x14ac:dyDescent="0.2">
      <c r="C122" s="262" t="s">
        <v>354</v>
      </c>
    </row>
    <row r="123" spans="3:3" ht="15" x14ac:dyDescent="0.25">
      <c r="C123" s="267" t="s">
        <v>355</v>
      </c>
    </row>
    <row r="124" spans="3:3" ht="15" x14ac:dyDescent="0.2">
      <c r="C124" s="268"/>
    </row>
    <row r="125" spans="3:3" ht="15" x14ac:dyDescent="0.2">
      <c r="C125" s="262" t="s">
        <v>356</v>
      </c>
    </row>
    <row r="126" spans="3:3" ht="15" x14ac:dyDescent="0.2">
      <c r="C126" s="262" t="s">
        <v>357</v>
      </c>
    </row>
    <row r="127" spans="3:3" ht="15" x14ac:dyDescent="0.2">
      <c r="C127" s="262" t="s">
        <v>358</v>
      </c>
    </row>
    <row r="128" spans="3:3" ht="15" x14ac:dyDescent="0.2">
      <c r="C128" s="262" t="s">
        <v>359</v>
      </c>
    </row>
    <row r="129" spans="3:3" ht="15" x14ac:dyDescent="0.2">
      <c r="C129" s="262" t="s">
        <v>360</v>
      </c>
    </row>
    <row r="130" spans="3:3" ht="15" x14ac:dyDescent="0.2">
      <c r="C130" s="269"/>
    </row>
    <row r="131" spans="3:3" ht="15" x14ac:dyDescent="0.2">
      <c r="C131" s="270"/>
    </row>
    <row r="132" spans="3:3" ht="105" x14ac:dyDescent="0.2">
      <c r="C132" s="266" t="s">
        <v>361</v>
      </c>
    </row>
    <row r="133" spans="3:3" ht="105" x14ac:dyDescent="0.2">
      <c r="C133" s="266" t="s">
        <v>362</v>
      </c>
    </row>
    <row r="134" spans="3:3" ht="60" x14ac:dyDescent="0.2">
      <c r="C134" s="266" t="s">
        <v>363</v>
      </c>
    </row>
    <row r="135" spans="3:3" ht="60" x14ac:dyDescent="0.2">
      <c r="C135" s="266" t="s">
        <v>364</v>
      </c>
    </row>
    <row r="136" spans="3:3" ht="90" x14ac:dyDescent="0.2">
      <c r="C136" s="266" t="s">
        <v>365</v>
      </c>
    </row>
    <row r="137" spans="3:3" ht="45" x14ac:dyDescent="0.2">
      <c r="C137" s="266" t="s">
        <v>366</v>
      </c>
    </row>
    <row r="138" spans="3:3" ht="45" x14ac:dyDescent="0.2">
      <c r="C138" s="266" t="s">
        <v>367</v>
      </c>
    </row>
    <row r="139" spans="3:3" ht="45" x14ac:dyDescent="0.2">
      <c r="C139" s="266" t="s">
        <v>368</v>
      </c>
    </row>
    <row r="140" spans="3:3" ht="45" x14ac:dyDescent="0.2">
      <c r="C140" s="266" t="s">
        <v>369</v>
      </c>
    </row>
    <row r="141" spans="3:3" ht="90" x14ac:dyDescent="0.2">
      <c r="C141" s="266" t="s">
        <v>370</v>
      </c>
    </row>
    <row r="142" spans="3:3" ht="165" x14ac:dyDescent="0.2">
      <c r="C142" s="266" t="s">
        <v>371</v>
      </c>
    </row>
    <row r="143" spans="3:3" ht="120" x14ac:dyDescent="0.2">
      <c r="C143" s="266" t="s">
        <v>372</v>
      </c>
    </row>
    <row r="144" spans="3:3" ht="15" x14ac:dyDescent="0.2">
      <c r="C144" s="262" t="s">
        <v>373</v>
      </c>
    </row>
    <row r="145" spans="3:3" ht="30" x14ac:dyDescent="0.2">
      <c r="C145" s="266" t="s">
        <v>374</v>
      </c>
    </row>
    <row r="146" spans="3:3" ht="60" x14ac:dyDescent="0.2">
      <c r="C146" s="266" t="s">
        <v>375</v>
      </c>
    </row>
    <row r="147" spans="3:3" ht="30" x14ac:dyDescent="0.2">
      <c r="C147" s="266" t="s">
        <v>376</v>
      </c>
    </row>
    <row r="148" spans="3:3" ht="90" x14ac:dyDescent="0.2">
      <c r="C148" s="266" t="s">
        <v>377</v>
      </c>
    </row>
    <row r="149" spans="3:3" ht="180" x14ac:dyDescent="0.2">
      <c r="C149" s="266" t="s">
        <v>378</v>
      </c>
    </row>
    <row r="150" spans="3:3" ht="15" x14ac:dyDescent="0.2">
      <c r="C150" s="266" t="s">
        <v>379</v>
      </c>
    </row>
    <row r="151" spans="3:3" ht="105" x14ac:dyDescent="0.2">
      <c r="C151" s="266" t="s">
        <v>380</v>
      </c>
    </row>
    <row r="152" spans="3:3" ht="90" x14ac:dyDescent="0.2">
      <c r="C152" s="266" t="s">
        <v>381</v>
      </c>
    </row>
    <row r="153" spans="3:3" ht="150" x14ac:dyDescent="0.2">
      <c r="C153" s="266" t="s">
        <v>382</v>
      </c>
    </row>
    <row r="154" spans="3:3" ht="150" x14ac:dyDescent="0.2">
      <c r="C154" s="266" t="s">
        <v>383</v>
      </c>
    </row>
    <row r="155" spans="3:3" ht="75" x14ac:dyDescent="0.2">
      <c r="C155" s="266" t="s">
        <v>384</v>
      </c>
    </row>
    <row r="156" spans="3:3" ht="60" x14ac:dyDescent="0.2">
      <c r="C156" s="266" t="s">
        <v>385</v>
      </c>
    </row>
    <row r="157" spans="3:3" ht="75" x14ac:dyDescent="0.2">
      <c r="C157" s="265" t="s">
        <v>386</v>
      </c>
    </row>
    <row r="158" spans="3:3" ht="45" x14ac:dyDescent="0.2">
      <c r="C158" s="266" t="s">
        <v>387</v>
      </c>
    </row>
    <row r="159" spans="3:3" ht="45" x14ac:dyDescent="0.2">
      <c r="C159" s="266" t="s">
        <v>388</v>
      </c>
    </row>
    <row r="160" spans="3:3" ht="45" x14ac:dyDescent="0.2">
      <c r="C160" s="266" t="s">
        <v>389</v>
      </c>
    </row>
    <row r="161" spans="3:3" ht="45" x14ac:dyDescent="0.2">
      <c r="C161" s="266" t="s">
        <v>390</v>
      </c>
    </row>
    <row r="162" spans="3:3" ht="45" x14ac:dyDescent="0.2">
      <c r="C162" s="266" t="s">
        <v>391</v>
      </c>
    </row>
    <row r="163" spans="3:3" ht="45" x14ac:dyDescent="0.2">
      <c r="C163" s="266" t="s">
        <v>392</v>
      </c>
    </row>
    <row r="164" spans="3:3" ht="120" x14ac:dyDescent="0.2">
      <c r="C164" s="266" t="s">
        <v>393</v>
      </c>
    </row>
    <row r="165" spans="3:3" ht="30" x14ac:dyDescent="0.2">
      <c r="C165" s="266" t="s">
        <v>394</v>
      </c>
    </row>
    <row r="166" spans="3:3" ht="105" x14ac:dyDescent="0.2">
      <c r="C166" s="266" t="s">
        <v>395</v>
      </c>
    </row>
    <row r="167" spans="3:3" ht="90" x14ac:dyDescent="0.2">
      <c r="C167" s="266" t="s">
        <v>396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69F1B-8B4F-41E8-943A-DD4D5EBAE951}">
  <sheetPr>
    <tabColor theme="5" tint="0.79998168889431442"/>
  </sheetPr>
  <dimension ref="B2:Q39"/>
  <sheetViews>
    <sheetView showGridLines="0" topLeftCell="A24" zoomScaleNormal="100" workbookViewId="0">
      <selection activeCell="D38" sqref="D38"/>
    </sheetView>
  </sheetViews>
  <sheetFormatPr baseColWidth="10" defaultColWidth="11" defaultRowHeight="14.25" x14ac:dyDescent="0.2"/>
  <cols>
    <col min="2" max="2" width="4" customWidth="1"/>
    <col min="3" max="3" width="1.875" customWidth="1"/>
    <col min="4" max="4" width="44.625" customWidth="1"/>
    <col min="5" max="5" width="23.875" customWidth="1"/>
    <col min="6" max="8" width="20.125" customWidth="1"/>
    <col min="9" max="10" width="19.125" customWidth="1"/>
    <col min="11" max="11" width="17.875" customWidth="1"/>
    <col min="12" max="13" width="26.625" customWidth="1"/>
    <col min="14" max="15" width="19.125" customWidth="1"/>
    <col min="16" max="16" width="16.625" customWidth="1"/>
    <col min="17" max="17" width="18" customWidth="1"/>
  </cols>
  <sheetData>
    <row r="2" spans="2:17" ht="18" x14ac:dyDescent="0.25">
      <c r="D2" s="43" t="s">
        <v>397</v>
      </c>
    </row>
    <row r="4" spans="2:17" ht="15" x14ac:dyDescent="0.25">
      <c r="E4" s="1161" t="s">
        <v>398</v>
      </c>
      <c r="F4" s="1161"/>
      <c r="G4" s="1161"/>
      <c r="H4" s="1161"/>
      <c r="I4" s="1161"/>
      <c r="J4" s="1161"/>
      <c r="K4" s="1161"/>
      <c r="L4" s="1161"/>
      <c r="M4" s="1161"/>
      <c r="N4" s="1161"/>
      <c r="O4" s="1161"/>
      <c r="P4" s="1161"/>
      <c r="Q4" s="1161"/>
    </row>
    <row r="6" spans="2:17" ht="81" customHeight="1" x14ac:dyDescent="0.2">
      <c r="B6" s="1160" t="s">
        <v>399</v>
      </c>
      <c r="E6" s="401" t="s">
        <v>400</v>
      </c>
      <c r="F6" s="401" t="s">
        <v>401</v>
      </c>
      <c r="G6" s="51" t="s">
        <v>402</v>
      </c>
      <c r="H6" s="51" t="s">
        <v>403</v>
      </c>
      <c r="I6" s="51" t="s">
        <v>404</v>
      </c>
      <c r="J6" s="51" t="s">
        <v>405</v>
      </c>
      <c r="K6" s="51" t="s">
        <v>406</v>
      </c>
      <c r="L6" s="51" t="s">
        <v>407</v>
      </c>
      <c r="M6" s="51" t="s">
        <v>408</v>
      </c>
      <c r="N6" s="51" t="s">
        <v>409</v>
      </c>
      <c r="O6" s="51" t="s">
        <v>410</v>
      </c>
      <c r="P6" s="51" t="s">
        <v>411</v>
      </c>
      <c r="Q6" s="51" t="s">
        <v>412</v>
      </c>
    </row>
    <row r="7" spans="2:17" ht="15.75" customHeight="1" x14ac:dyDescent="0.2">
      <c r="B7" s="1160"/>
      <c r="D7" s="456" t="s">
        <v>413</v>
      </c>
      <c r="E7" s="447">
        <v>0.03</v>
      </c>
      <c r="F7" s="447">
        <v>0.06</v>
      </c>
      <c r="G7" s="447">
        <f>AVERAGE(E7:F7)</f>
        <v>4.4999999999999998E-2</v>
      </c>
      <c r="H7" s="447">
        <v>0.02</v>
      </c>
      <c r="I7" s="447">
        <v>0.05</v>
      </c>
      <c r="J7" s="447">
        <f>AVERAGE(H7:I7)</f>
        <v>3.5000000000000003E-2</v>
      </c>
      <c r="K7" s="448">
        <v>3.5000000000000003E-2</v>
      </c>
      <c r="L7" s="447">
        <v>0.6</v>
      </c>
      <c r="M7" s="447">
        <v>0.8</v>
      </c>
      <c r="N7" s="447">
        <v>0.05</v>
      </c>
      <c r="O7" s="447">
        <v>0.2</v>
      </c>
      <c r="P7" s="447">
        <v>0.05</v>
      </c>
      <c r="Q7" s="447">
        <v>0.3</v>
      </c>
    </row>
    <row r="8" spans="2:17" ht="25.5" customHeight="1" x14ac:dyDescent="0.25">
      <c r="B8" s="1160"/>
      <c r="D8" s="444" t="s">
        <v>303</v>
      </c>
      <c r="E8" s="446">
        <f>$E$7*'A.3. Conso_chaudière_indus'!J10*'D.1. Facteur d''émissions'!$C$8</f>
        <v>108.117950733871</v>
      </c>
      <c r="F8" s="446">
        <f>$F$7*'A.3. Conso_chaudière_indus'!J10*'D.1. Facteur d''émissions'!$C$8</f>
        <v>216.235901467742</v>
      </c>
      <c r="G8" s="446">
        <f>$G$7*'A.3. Conso_chaudière_indus'!J10*'D.1. Facteur d''émissions'!$C$8</f>
        <v>162.1769261008065</v>
      </c>
      <c r="H8" s="446">
        <f>$H$7*'A.3. Conso_chaudière_indus'!J10*'D.1. Facteur d''émissions'!$C$8</f>
        <v>72.07863382258067</v>
      </c>
      <c r="I8" s="446">
        <f>$I$7*'A.3. Conso_chaudière_indus'!J10*'D.1. Facteur d''émissions'!$C$8</f>
        <v>180.19658455645168</v>
      </c>
      <c r="J8" s="446">
        <f>$J$7*'A.3. Conso_chaudière_indus'!J10*'D.1. Facteur d''émissions'!$C$8</f>
        <v>126.13760918951617</v>
      </c>
      <c r="K8" s="446">
        <f>$K$7*'A.3. Conso_chaudière_indus'!J10*'D.1. Facteur d''émissions'!$C$8</f>
        <v>126.13760918951617</v>
      </c>
      <c r="L8" s="446">
        <f>$L$7*'A.3. Conso_chaudière_indus'!J10*'D.1. Facteur d''émissions'!$C$8</f>
        <v>2162.35901467742</v>
      </c>
      <c r="M8" s="446">
        <f>$M$7*'A.3. Conso_chaudière_indus'!J10*'D.1. Facteur d''émissions'!$C$8</f>
        <v>2883.1453529032269</v>
      </c>
      <c r="N8" s="446">
        <f>$N$7*'A.3. Conso_chaudière_indus'!J10*'D.1. Facteur d''émissions'!$C$8</f>
        <v>180.19658455645168</v>
      </c>
      <c r="O8" s="446">
        <f>$O$7*'A.3. Conso_chaudière_indus'!J10*'D.1. Facteur d''émissions'!$C$8</f>
        <v>720.78633822580673</v>
      </c>
      <c r="P8" s="446">
        <f>$P$7*'A.3. Conso_chaudière_indus'!J10*'D.1. Facteur d''émissions'!$C$8</f>
        <v>180.19658455645168</v>
      </c>
      <c r="Q8" s="446">
        <f>$Q$7*'A.3. Conso_chaudière_indus'!J10*'D.1. Facteur d''émissions'!$C$8</f>
        <v>1081.17950733871</v>
      </c>
    </row>
    <row r="9" spans="2:17" ht="25.5" customHeight="1" x14ac:dyDescent="0.25">
      <c r="B9" s="1160"/>
      <c r="D9" s="444" t="s">
        <v>304</v>
      </c>
      <c r="E9" s="445">
        <f>$E$7*'A.3. Conso_chaudière_indus'!J11*'D.1. Facteur d''émissions'!$C$8</f>
        <v>3.6428513669395635</v>
      </c>
      <c r="F9" s="445">
        <f>$F$7*'A.3. Conso_chaudière_indus'!J11*'D.1. Facteur d''émissions'!$C$8</f>
        <v>7.2857027338791269</v>
      </c>
      <c r="G9" s="445">
        <f>$G$7*'A.3. Conso_chaudière_indus'!J11*'D.1. Facteur d''émissions'!$C$8</f>
        <v>5.4642770504093461</v>
      </c>
      <c r="H9" s="445">
        <f>$H$7*'A.3. Conso_chaudière_indus'!J11*'D.1. Facteur d''émissions'!$C$8</f>
        <v>2.4285675779597091</v>
      </c>
      <c r="I9" s="445">
        <f>$I$7*'A.3. Conso_chaudière_indus'!J11*'D.1. Facteur d''émissions'!$C$8</f>
        <v>6.071418944899273</v>
      </c>
      <c r="J9" s="445">
        <f>$J$7*'A.3. Conso_chaudière_indus'!J11*'D.1. Facteur d''émissions'!$C$8</f>
        <v>4.2499932614294922</v>
      </c>
      <c r="K9" s="445">
        <f>$K$7*'A.3. Conso_chaudière_indus'!J11*'D.1. Facteur d''émissions'!$C$8</f>
        <v>4.2499932614294922</v>
      </c>
      <c r="L9" s="445">
        <f>$L$7*'A.3. Conso_chaudière_indus'!J11*'D.1. Facteur d''émissions'!$C$8</f>
        <v>72.857027338791269</v>
      </c>
      <c r="M9" s="445">
        <f>$M$7*'A.3. Conso_chaudière_indus'!J11*'D.1. Facteur d''émissions'!$C$8</f>
        <v>97.142703118388368</v>
      </c>
      <c r="N9" s="445">
        <f>$N$7*'A.3. Conso_chaudière_indus'!J11*'D.1. Facteur d''émissions'!$C$8</f>
        <v>6.071418944899273</v>
      </c>
      <c r="O9" s="445">
        <f>$O$7*'A.3. Conso_chaudière_indus'!J11*'D.1. Facteur d''émissions'!$C$8</f>
        <v>24.285675779597092</v>
      </c>
      <c r="P9" s="454">
        <f>$P$7*'A.3. Conso_chaudière_indus'!J11*'D.1. Facteur d''émissions'!$C$8</f>
        <v>6.071418944899273</v>
      </c>
      <c r="Q9" s="454">
        <f>$Q$7*'A.3. Conso_chaudière_indus'!J11*'D.1. Facteur d''émissions'!$C$8</f>
        <v>36.428513669395635</v>
      </c>
    </row>
    <row r="10" spans="2:17" ht="25.5" customHeight="1" x14ac:dyDescent="0.25">
      <c r="B10" s="1160"/>
      <c r="D10" s="444" t="s">
        <v>305</v>
      </c>
      <c r="E10" s="445">
        <f>$E$7*'A.3. Conso_chaudière_indus'!J12*'D.1. Facteur d''émissions'!$C$8</f>
        <v>38.23858772727273</v>
      </c>
      <c r="F10" s="445">
        <f>$F$7*'A.3. Conso_chaudière_indus'!J12*'D.1. Facteur d''émissions'!$C$8</f>
        <v>76.47717545454546</v>
      </c>
      <c r="G10" s="445">
        <f>$G$7*'A.3. Conso_chaudière_indus'!J12*'D.1. Facteur d''émissions'!$C$8</f>
        <v>57.357881590909088</v>
      </c>
      <c r="H10" s="445">
        <f>$H$7*'A.3. Conso_chaudière_indus'!J12*'D.1. Facteur d''émissions'!$C$8</f>
        <v>25.492391818181819</v>
      </c>
      <c r="I10" s="445">
        <f>$I$7*'A.3. Conso_chaudière_indus'!J12*'D.1. Facteur d''émissions'!$C$8</f>
        <v>63.730979545454552</v>
      </c>
      <c r="J10" s="445">
        <f>$J$7*'A.3. Conso_chaudière_indus'!J12*'D.1. Facteur d''émissions'!$C$8</f>
        <v>44.611685681818187</v>
      </c>
      <c r="K10" s="445">
        <f>$K$7*'A.3. Conso_chaudière_indus'!J12*'D.1. Facteur d''émissions'!$C$8</f>
        <v>44.611685681818187</v>
      </c>
      <c r="L10" s="445">
        <f>$L$7*'A.3. Conso_chaudière_indus'!J12*'D.1. Facteur d''émissions'!$C$8</f>
        <v>764.77175454545454</v>
      </c>
      <c r="M10" s="445">
        <f>$M$7*'A.3. Conso_chaudière_indus'!J12*'D.1. Facteur d''émissions'!$C$8</f>
        <v>1019.6956727272728</v>
      </c>
      <c r="N10" s="445">
        <f>$N$7*'A.3. Conso_chaudière_indus'!J12*'D.1. Facteur d''émissions'!$C$8</f>
        <v>63.730979545454552</v>
      </c>
      <c r="O10" s="445">
        <f>$O$7*'A.3. Conso_chaudière_indus'!J12*'D.1. Facteur d''émissions'!$C$8</f>
        <v>254.92391818181821</v>
      </c>
      <c r="P10" s="454">
        <f>$P$7*'A.3. Conso_chaudière_indus'!J12*'D.1. Facteur d''émissions'!$C$8</f>
        <v>63.730979545454552</v>
      </c>
      <c r="Q10" s="454">
        <f>$Q$7*'A.3. Conso_chaudière_indus'!J12*'D.1. Facteur d''émissions'!$C$8</f>
        <v>382.38587727272727</v>
      </c>
    </row>
    <row r="11" spans="2:17" ht="25.5" customHeight="1" x14ac:dyDescent="0.25">
      <c r="B11" s="1160"/>
      <c r="D11" s="444" t="s">
        <v>306</v>
      </c>
      <c r="E11" s="445">
        <f>$E$7*'A.3. Conso_chaudière_indus'!J13*'D.1. Facteur d''émissions'!$C$8</f>
        <v>29.505450665024629</v>
      </c>
      <c r="F11" s="445">
        <f>$F$7*'A.3. Conso_chaudière_indus'!J13*'D.1. Facteur d''émissions'!$C$8</f>
        <v>59.010901330049258</v>
      </c>
      <c r="G11" s="445">
        <f>$G$7*'A.3. Conso_chaudière_indus'!J13*'D.1. Facteur d''émissions'!$C$8</f>
        <v>44.258175997536945</v>
      </c>
      <c r="H11" s="445">
        <f>$H$7*'A.3. Conso_chaudière_indus'!J13*'D.1. Facteur d''émissions'!$C$8</f>
        <v>19.670300443349756</v>
      </c>
      <c r="I11" s="445">
        <f>$I$7*'A.3. Conso_chaudière_indus'!J13*'D.1. Facteur d''émissions'!$C$8</f>
        <v>49.175751108374392</v>
      </c>
      <c r="J11" s="445">
        <f>$J$7*'A.3. Conso_chaudière_indus'!J13*'D.1. Facteur d''émissions'!$C$8</f>
        <v>34.423025775862079</v>
      </c>
      <c r="K11" s="445">
        <f>$K$7*'A.3. Conso_chaudière_indus'!J13*'D.1. Facteur d''émissions'!$C$8</f>
        <v>34.423025775862079</v>
      </c>
      <c r="L11" s="445">
        <f>$L$7*'A.3. Conso_chaudière_indus'!J13*'D.1. Facteur d''émissions'!$C$8</f>
        <v>590.10901330049262</v>
      </c>
      <c r="M11" s="445">
        <f>$M$7*'A.3. Conso_chaudière_indus'!J13*'D.1. Facteur d''émissions'!$C$8</f>
        <v>786.81201773399027</v>
      </c>
      <c r="N11" s="445">
        <f>$N$7*'A.3. Conso_chaudière_indus'!J13*'D.1. Facteur d''émissions'!$C$8</f>
        <v>49.175751108374392</v>
      </c>
      <c r="O11" s="445">
        <f>$O$7*'A.3. Conso_chaudière_indus'!J13*'D.1. Facteur d''émissions'!$C$8</f>
        <v>196.70300443349757</v>
      </c>
      <c r="P11" s="454">
        <f>$P$7*'A.3. Conso_chaudière_indus'!J13*'D.1. Facteur d''émissions'!$C$8</f>
        <v>49.175751108374392</v>
      </c>
      <c r="Q11" s="454">
        <f>$Q$7*'A.3. Conso_chaudière_indus'!J13*'D.1. Facteur d''émissions'!$C$8</f>
        <v>295.05450665024631</v>
      </c>
    </row>
    <row r="12" spans="2:17" ht="25.5" customHeight="1" x14ac:dyDescent="0.25">
      <c r="B12" s="1160"/>
      <c r="D12" s="444" t="s">
        <v>414</v>
      </c>
      <c r="E12" s="445">
        <f>$E$7*'A.3. Conso_chaudière_indus'!J14*'D.1. Facteur d''émissions'!$C$8</f>
        <v>23.452841875313506</v>
      </c>
      <c r="F12" s="445">
        <f>$F$7*'A.3. Conso_chaudière_indus'!J14*'D.1. Facteur d''émissions'!$C$8</f>
        <v>46.905683750627013</v>
      </c>
      <c r="G12" s="445">
        <f>$G$7*'A.3. Conso_chaudière_indus'!J14*'D.1. Facteur d''émissions'!$C$8</f>
        <v>35.179262812970265</v>
      </c>
      <c r="H12" s="445">
        <f>$H$7*'A.3. Conso_chaudière_indus'!J14*'D.1. Facteur d''émissions'!$C$8</f>
        <v>15.635227916875673</v>
      </c>
      <c r="I12" s="445">
        <f>$I$7*'A.3. Conso_chaudière_indus'!J14*'D.1. Facteur d''émissions'!$C$8</f>
        <v>39.088069792189181</v>
      </c>
      <c r="J12" s="445">
        <f>$J$7*'A.3. Conso_chaudière_indus'!J14*'D.1. Facteur d''émissions'!$C$8</f>
        <v>27.361648854532426</v>
      </c>
      <c r="K12" s="445">
        <f>$K$7*'A.3. Conso_chaudière_indus'!J14*'D.1. Facteur d''émissions'!$C$8</f>
        <v>27.361648854532426</v>
      </c>
      <c r="L12" s="445">
        <f>$L$7*'A.3. Conso_chaudière_indus'!J14*'D.1. Facteur d''émissions'!$C$8</f>
        <v>469.05683750627009</v>
      </c>
      <c r="M12" s="445">
        <f>$M$7*'A.3. Conso_chaudière_indus'!J14*'D.1. Facteur d''émissions'!$C$8</f>
        <v>625.40911667502689</v>
      </c>
      <c r="N12" s="445">
        <f>$N$7*'A.3. Conso_chaudière_indus'!J14*'D.1. Facteur d''émissions'!$C$8</f>
        <v>39.088069792189181</v>
      </c>
      <c r="O12" s="445">
        <f>$O$7*'A.3. Conso_chaudière_indus'!J14*'D.1. Facteur d''émissions'!$C$8</f>
        <v>156.35227916875672</v>
      </c>
      <c r="P12" s="454">
        <f>$P$7*'A.3. Conso_chaudière_indus'!J14*'D.1. Facteur d''émissions'!$C$8</f>
        <v>39.088069792189181</v>
      </c>
      <c r="Q12" s="454">
        <f>$Q$7*'A.3. Conso_chaudière_indus'!J14*'D.1. Facteur d''émissions'!$C$8</f>
        <v>234.52841875313504</v>
      </c>
    </row>
    <row r="14" spans="2:17" ht="59.25" x14ac:dyDescent="0.2">
      <c r="E14" s="401" t="s">
        <v>400</v>
      </c>
      <c r="F14" s="401" t="s">
        <v>401</v>
      </c>
      <c r="G14" s="51" t="s">
        <v>402</v>
      </c>
      <c r="H14" s="51" t="s">
        <v>403</v>
      </c>
      <c r="I14" s="51" t="s">
        <v>404</v>
      </c>
      <c r="J14" s="51" t="s">
        <v>405</v>
      </c>
      <c r="K14" s="51" t="s">
        <v>406</v>
      </c>
      <c r="L14" s="51" t="s">
        <v>407</v>
      </c>
      <c r="M14" s="51" t="s">
        <v>408</v>
      </c>
      <c r="N14" s="51" t="s">
        <v>409</v>
      </c>
      <c r="O14" s="51" t="s">
        <v>410</v>
      </c>
      <c r="P14" s="51" t="s">
        <v>411</v>
      </c>
      <c r="Q14" s="51" t="s">
        <v>412</v>
      </c>
    </row>
    <row r="15" spans="2:17" ht="15" x14ac:dyDescent="0.25">
      <c r="D15" s="444" t="s">
        <v>303</v>
      </c>
      <c r="E15" s="561">
        <v>-0.03</v>
      </c>
      <c r="F15" s="447">
        <v>-0.06</v>
      </c>
      <c r="G15" s="447">
        <f t="shared" ref="G15:G18" si="0">AVERAGE(E15:F15)</f>
        <v>-4.4999999999999998E-2</v>
      </c>
      <c r="H15" s="447">
        <v>-0.02</v>
      </c>
      <c r="I15" s="447">
        <v>-0.05</v>
      </c>
      <c r="J15" s="447">
        <f t="shared" ref="J15:J18" si="1">AVERAGE(H15:I15)</f>
        <v>-3.5000000000000003E-2</v>
      </c>
      <c r="K15" s="448">
        <v>-3.5000000000000003E-2</v>
      </c>
      <c r="L15" s="447">
        <v>-0.6</v>
      </c>
      <c r="M15" s="447">
        <v>-0.8</v>
      </c>
      <c r="N15" s="447">
        <v>-0.05</v>
      </c>
      <c r="O15" s="447">
        <v>-0.2</v>
      </c>
      <c r="P15" s="447">
        <v>-0.05</v>
      </c>
      <c r="Q15" s="447">
        <v>-0.3</v>
      </c>
    </row>
    <row r="16" spans="2:17" ht="15" x14ac:dyDescent="0.25">
      <c r="D16" s="444" t="s">
        <v>304</v>
      </c>
      <c r="E16" s="561">
        <v>-0.03</v>
      </c>
      <c r="F16" s="447">
        <v>-0.06</v>
      </c>
      <c r="G16" s="447">
        <f t="shared" si="0"/>
        <v>-4.4999999999999998E-2</v>
      </c>
      <c r="H16" s="447">
        <v>-0.02</v>
      </c>
      <c r="I16" s="447">
        <v>-0.05</v>
      </c>
      <c r="J16" s="447">
        <f t="shared" si="1"/>
        <v>-3.5000000000000003E-2</v>
      </c>
      <c r="K16" s="448">
        <v>-3.5000000000000003E-2</v>
      </c>
      <c r="L16" s="447">
        <v>-0.6</v>
      </c>
      <c r="M16" s="447">
        <v>-0.8</v>
      </c>
      <c r="N16" s="447">
        <v>-0.05</v>
      </c>
      <c r="O16" s="447">
        <v>-0.2</v>
      </c>
      <c r="P16" s="447">
        <v>-0.05</v>
      </c>
      <c r="Q16" s="447">
        <v>-0.3</v>
      </c>
    </row>
    <row r="17" spans="4:17" ht="15" x14ac:dyDescent="0.25">
      <c r="D17" s="444" t="s">
        <v>305</v>
      </c>
      <c r="E17" s="561">
        <v>-0.03</v>
      </c>
      <c r="F17" s="447">
        <v>-0.06</v>
      </c>
      <c r="G17" s="447">
        <f t="shared" si="0"/>
        <v>-4.4999999999999998E-2</v>
      </c>
      <c r="H17" s="447">
        <v>-0.02</v>
      </c>
      <c r="I17" s="447">
        <v>-0.05</v>
      </c>
      <c r="J17" s="447">
        <f t="shared" si="1"/>
        <v>-3.5000000000000003E-2</v>
      </c>
      <c r="K17" s="448">
        <v>-3.5000000000000003E-2</v>
      </c>
      <c r="L17" s="447">
        <v>-0.6</v>
      </c>
      <c r="M17" s="447">
        <v>-0.8</v>
      </c>
      <c r="N17" s="447">
        <v>-0.05</v>
      </c>
      <c r="O17" s="447">
        <v>-0.2</v>
      </c>
      <c r="P17" s="447">
        <v>-0.05</v>
      </c>
      <c r="Q17" s="447">
        <v>-0.3</v>
      </c>
    </row>
    <row r="18" spans="4:17" ht="15" x14ac:dyDescent="0.25">
      <c r="D18" s="444" t="s">
        <v>306</v>
      </c>
      <c r="E18" s="561">
        <v>-0.03</v>
      </c>
      <c r="F18" s="447">
        <v>-0.06</v>
      </c>
      <c r="G18" s="447">
        <f t="shared" si="0"/>
        <v>-4.4999999999999998E-2</v>
      </c>
      <c r="H18" s="447">
        <v>-0.02</v>
      </c>
      <c r="I18" s="447">
        <v>-0.05</v>
      </c>
      <c r="J18" s="447">
        <f t="shared" si="1"/>
        <v>-3.5000000000000003E-2</v>
      </c>
      <c r="K18" s="448">
        <v>-3.5000000000000003E-2</v>
      </c>
      <c r="L18" s="447">
        <v>-0.6</v>
      </c>
      <c r="M18" s="447">
        <v>-0.8</v>
      </c>
      <c r="N18" s="447">
        <v>-0.05</v>
      </c>
      <c r="O18" s="447">
        <v>-0.2</v>
      </c>
      <c r="P18" s="447">
        <v>-0.05</v>
      </c>
      <c r="Q18" s="447">
        <v>-0.3</v>
      </c>
    </row>
    <row r="20" spans="4:17" ht="15" x14ac:dyDescent="0.25">
      <c r="D20" s="897" t="s">
        <v>415</v>
      </c>
    </row>
    <row r="22" spans="4:17" ht="15.75" x14ac:dyDescent="0.25">
      <c r="D22" s="584" t="s">
        <v>416</v>
      </c>
    </row>
    <row r="23" spans="4:17" x14ac:dyDescent="0.2">
      <c r="D23" s="461"/>
      <c r="E23" s="585" t="s">
        <v>417</v>
      </c>
      <c r="F23" s="586" t="s">
        <v>418</v>
      </c>
    </row>
    <row r="24" spans="4:17" ht="28.5" x14ac:dyDescent="0.2">
      <c r="D24" s="587" t="s">
        <v>419</v>
      </c>
      <c r="E24" s="590" t="s">
        <v>420</v>
      </c>
      <c r="F24" s="589">
        <v>0.05</v>
      </c>
    </row>
    <row r="25" spans="4:17" ht="28.5" x14ac:dyDescent="0.2">
      <c r="D25" s="587" t="s">
        <v>421</v>
      </c>
      <c r="E25" s="590" t="s">
        <v>422</v>
      </c>
      <c r="F25" s="589">
        <v>0.03</v>
      </c>
    </row>
    <row r="26" spans="4:17" ht="28.5" x14ac:dyDescent="0.2">
      <c r="D26" s="587" t="s">
        <v>423</v>
      </c>
      <c r="E26" s="588"/>
      <c r="F26" s="589">
        <v>0.2</v>
      </c>
    </row>
    <row r="27" spans="4:17" ht="28.5" x14ac:dyDescent="0.2">
      <c r="D27" s="587" t="s">
        <v>424</v>
      </c>
      <c r="E27" s="588" t="s">
        <v>425</v>
      </c>
      <c r="F27" s="589">
        <v>0.1</v>
      </c>
    </row>
    <row r="28" spans="4:17" x14ac:dyDescent="0.2">
      <c r="D28" s="587" t="s">
        <v>426</v>
      </c>
      <c r="E28" s="588"/>
      <c r="F28" s="589">
        <v>0.2</v>
      </c>
    </row>
    <row r="31" spans="4:17" ht="15.75" x14ac:dyDescent="0.25">
      <c r="D31" s="584" t="s">
        <v>427</v>
      </c>
    </row>
    <row r="32" spans="4:17" x14ac:dyDescent="0.2">
      <c r="D32" s="591"/>
      <c r="E32" s="585" t="s">
        <v>417</v>
      </c>
      <c r="F32" s="586" t="s">
        <v>418</v>
      </c>
    </row>
    <row r="33" spans="4:7" ht="28.5" x14ac:dyDescent="0.2">
      <c r="D33" s="587" t="s">
        <v>428</v>
      </c>
      <c r="E33" s="24" t="s">
        <v>420</v>
      </c>
      <c r="F33" s="592">
        <v>0.05</v>
      </c>
    </row>
    <row r="34" spans="4:7" ht="28.5" x14ac:dyDescent="0.2">
      <c r="D34" s="24" t="s">
        <v>361</v>
      </c>
      <c r="E34" s="24"/>
      <c r="F34" s="592">
        <f>AVERAGE(2%,5%)</f>
        <v>3.5000000000000003E-2</v>
      </c>
    </row>
    <row r="35" spans="4:7" ht="28.5" x14ac:dyDescent="0.2">
      <c r="D35" s="24" t="s">
        <v>362</v>
      </c>
      <c r="E35" s="24"/>
      <c r="F35" s="592">
        <f>AVERAGE(3%,6%)</f>
        <v>4.4999999999999998E-2</v>
      </c>
    </row>
    <row r="36" spans="4:7" x14ac:dyDescent="0.2">
      <c r="D36" s="24" t="s">
        <v>363</v>
      </c>
      <c r="E36" s="24"/>
      <c r="F36" s="592">
        <v>3.5000000000000003E-2</v>
      </c>
    </row>
    <row r="37" spans="4:7" x14ac:dyDescent="0.2">
      <c r="D37" s="24" t="s">
        <v>367</v>
      </c>
      <c r="E37" s="24"/>
      <c r="F37" s="592">
        <v>0.02</v>
      </c>
    </row>
    <row r="38" spans="4:7" x14ac:dyDescent="0.2">
      <c r="D38" s="15" t="s">
        <v>426</v>
      </c>
      <c r="E38" s="24"/>
      <c r="F38" s="592">
        <v>0.2</v>
      </c>
      <c r="G38" s="595" t="s">
        <v>429</v>
      </c>
    </row>
    <row r="39" spans="4:7" x14ac:dyDescent="0.2">
      <c r="D39" s="15" t="s">
        <v>430</v>
      </c>
      <c r="E39" s="24"/>
      <c r="F39" s="592">
        <v>0.7</v>
      </c>
    </row>
  </sheetData>
  <mergeCells count="2">
    <mergeCell ref="B6:B12"/>
    <mergeCell ref="E4:Q4"/>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08753-8264-433F-B1D7-FC97DDD98262}">
  <sheetPr>
    <pageSetUpPr fitToPage="1"/>
  </sheetPr>
  <dimension ref="A1:P77"/>
  <sheetViews>
    <sheetView zoomScale="85" zoomScaleNormal="85" workbookViewId="0">
      <pane ySplit="1" topLeftCell="A33" activePane="bottomLeft" state="frozen"/>
      <selection activeCell="E92" sqref="E92:R92"/>
      <selection pane="bottomLeft" activeCell="F50" sqref="F50"/>
    </sheetView>
  </sheetViews>
  <sheetFormatPr baseColWidth="10" defaultColWidth="10" defaultRowHeight="14.25" x14ac:dyDescent="0.2"/>
  <cols>
    <col min="3" max="5" width="18.375" customWidth="1"/>
    <col min="6" max="6" width="46" style="11" customWidth="1"/>
    <col min="7" max="7" width="19.5" style="11" customWidth="1"/>
    <col min="8" max="8" width="24.125" style="11" hidden="1" customWidth="1"/>
    <col min="9" max="9" width="12.5" style="11" hidden="1" customWidth="1"/>
    <col min="10" max="10" width="28.125" style="11" hidden="1" customWidth="1"/>
    <col min="11" max="11" width="20.75" style="11" hidden="1" customWidth="1"/>
    <col min="12" max="12" width="21.625" style="11" hidden="1" customWidth="1"/>
    <col min="13" max="13" width="24.875" style="11" customWidth="1"/>
    <col min="14" max="14" width="22.375" style="11" hidden="1" customWidth="1"/>
    <col min="15" max="15" width="26.375" style="11" hidden="1" customWidth="1"/>
    <col min="16" max="16" width="20" style="11" customWidth="1"/>
  </cols>
  <sheetData>
    <row r="1" spans="1:16" s="392" customFormat="1" ht="55.5" customHeight="1" thickBot="1" x14ac:dyDescent="0.35">
      <c r="D1" s="393" t="s">
        <v>431</v>
      </c>
      <c r="E1" s="393" t="s">
        <v>432</v>
      </c>
      <c r="F1" s="394" t="s">
        <v>433</v>
      </c>
      <c r="G1" s="395" t="s">
        <v>434</v>
      </c>
      <c r="H1" s="396" t="s">
        <v>435</v>
      </c>
      <c r="I1" s="396" t="s">
        <v>436</v>
      </c>
      <c r="J1" s="396" t="s">
        <v>437</v>
      </c>
      <c r="K1" s="396" t="s">
        <v>438</v>
      </c>
      <c r="L1" s="396" t="s">
        <v>439</v>
      </c>
      <c r="M1" s="393" t="s">
        <v>440</v>
      </c>
      <c r="N1" s="396" t="s">
        <v>441</v>
      </c>
      <c r="O1" s="396" t="s">
        <v>442</v>
      </c>
      <c r="P1" s="397" t="s">
        <v>443</v>
      </c>
    </row>
    <row r="2" spans="1:16" ht="43.5" customHeight="1" x14ac:dyDescent="0.2">
      <c r="A2" s="1162" t="s">
        <v>444</v>
      </c>
      <c r="B2" s="1164" t="s">
        <v>445</v>
      </c>
      <c r="C2" s="1166" t="s">
        <v>446</v>
      </c>
      <c r="D2" s="398"/>
      <c r="E2" s="398"/>
      <c r="F2" s="399" t="s">
        <v>321</v>
      </c>
      <c r="G2" s="68" t="s">
        <v>447</v>
      </c>
      <c r="H2" s="145" t="s">
        <v>448</v>
      </c>
      <c r="I2" s="145" t="s">
        <v>449</v>
      </c>
      <c r="J2" s="145" t="s">
        <v>450</v>
      </c>
      <c r="K2" s="145" t="s">
        <v>451</v>
      </c>
      <c r="L2" s="145"/>
      <c r="M2" s="145" t="s">
        <v>452</v>
      </c>
      <c r="N2" s="145"/>
      <c r="O2" s="145"/>
      <c r="P2"/>
    </row>
    <row r="3" spans="1:16" ht="43.5" customHeight="1" thickBot="1" x14ac:dyDescent="0.25">
      <c r="A3" s="1163"/>
      <c r="B3" s="1165"/>
      <c r="C3" s="1167"/>
      <c r="D3" s="398"/>
      <c r="E3" s="398"/>
      <c r="F3" s="399" t="s">
        <v>322</v>
      </c>
      <c r="G3" s="145" t="s">
        <v>453</v>
      </c>
      <c r="H3" s="145" t="s">
        <v>448</v>
      </c>
      <c r="I3" s="145" t="s">
        <v>454</v>
      </c>
      <c r="J3" s="145" t="s">
        <v>455</v>
      </c>
      <c r="K3" s="145" t="s">
        <v>456</v>
      </c>
      <c r="L3" s="145"/>
      <c r="M3" s="145" t="s">
        <v>453</v>
      </c>
      <c r="N3" s="145"/>
      <c r="O3" s="145"/>
      <c r="P3"/>
    </row>
    <row r="4" spans="1:16" ht="93.75" customHeight="1" x14ac:dyDescent="0.2">
      <c r="A4" s="1163"/>
      <c r="B4" s="1165"/>
      <c r="C4" s="1166" t="s">
        <v>457</v>
      </c>
      <c r="D4" s="398" t="s">
        <v>183</v>
      </c>
      <c r="E4" s="398" t="s">
        <v>183</v>
      </c>
      <c r="F4" s="400" t="s">
        <v>458</v>
      </c>
      <c r="G4" s="145" t="s">
        <v>459</v>
      </c>
      <c r="H4" s="145" t="s">
        <v>448</v>
      </c>
      <c r="I4" s="145" t="s">
        <v>460</v>
      </c>
      <c r="J4" s="145" t="s">
        <v>455</v>
      </c>
      <c r="K4" s="145" t="s">
        <v>461</v>
      </c>
      <c r="L4" s="145"/>
      <c r="M4" s="145" t="s">
        <v>459</v>
      </c>
      <c r="N4" s="145"/>
      <c r="O4" s="145"/>
      <c r="P4"/>
    </row>
    <row r="5" spans="1:16" ht="42" customHeight="1" x14ac:dyDescent="0.2">
      <c r="A5" s="1163"/>
      <c r="B5" s="1165"/>
      <c r="C5" s="1167"/>
      <c r="D5" s="398" t="s">
        <v>183</v>
      </c>
      <c r="E5" s="398"/>
      <c r="F5" s="399" t="s">
        <v>325</v>
      </c>
      <c r="G5" s="145" t="s">
        <v>462</v>
      </c>
      <c r="H5" s="145" t="s">
        <v>448</v>
      </c>
      <c r="I5" s="145" t="s">
        <v>454</v>
      </c>
      <c r="J5" s="145" t="s">
        <v>455</v>
      </c>
      <c r="K5" s="145" t="s">
        <v>456</v>
      </c>
      <c r="L5" s="145"/>
      <c r="M5" s="145" t="s">
        <v>462</v>
      </c>
      <c r="N5" s="145"/>
      <c r="O5" s="145"/>
      <c r="P5"/>
    </row>
    <row r="6" spans="1:16" ht="69.75" customHeight="1" x14ac:dyDescent="0.2">
      <c r="A6" s="1163"/>
      <c r="B6" s="1165"/>
      <c r="C6" s="1167"/>
      <c r="D6" s="398"/>
      <c r="E6" s="398" t="s">
        <v>183</v>
      </c>
      <c r="F6" s="400" t="s">
        <v>326</v>
      </c>
      <c r="G6" s="145" t="s">
        <v>463</v>
      </c>
      <c r="H6" s="401" t="s">
        <v>464</v>
      </c>
      <c r="I6" s="145" t="s">
        <v>465</v>
      </c>
      <c r="J6" s="145" t="s">
        <v>455</v>
      </c>
      <c r="K6" s="145" t="s">
        <v>456</v>
      </c>
      <c r="L6" s="145"/>
      <c r="M6" s="145" t="s">
        <v>463</v>
      </c>
      <c r="N6" s="145"/>
      <c r="O6" s="145"/>
      <c r="P6"/>
    </row>
    <row r="7" spans="1:16" ht="24.95" customHeight="1" x14ac:dyDescent="0.2">
      <c r="A7" s="1163"/>
      <c r="B7" s="1165"/>
      <c r="C7" s="1167"/>
      <c r="D7" s="398"/>
      <c r="E7" s="398" t="s">
        <v>183</v>
      </c>
      <c r="F7" s="400" t="s">
        <v>327</v>
      </c>
      <c r="G7" s="145" t="s">
        <v>466</v>
      </c>
      <c r="H7" s="145" t="s">
        <v>448</v>
      </c>
      <c r="I7" s="145" t="s">
        <v>449</v>
      </c>
      <c r="J7" s="145" t="s">
        <v>455</v>
      </c>
      <c r="K7" s="145" t="s">
        <v>456</v>
      </c>
      <c r="L7" s="145"/>
      <c r="M7" s="145" t="s">
        <v>466</v>
      </c>
      <c r="N7" s="145"/>
      <c r="O7" s="145"/>
      <c r="P7"/>
    </row>
    <row r="8" spans="1:16" ht="70.5" customHeight="1" x14ac:dyDescent="0.2">
      <c r="A8" s="1163"/>
      <c r="B8" s="1165"/>
      <c r="C8" s="1167"/>
      <c r="D8" s="398" t="s">
        <v>183</v>
      </c>
      <c r="E8" s="398" t="s">
        <v>183</v>
      </c>
      <c r="F8" s="402" t="s">
        <v>328</v>
      </c>
      <c r="G8" s="145" t="s">
        <v>463</v>
      </c>
      <c r="H8" s="145" t="s">
        <v>448</v>
      </c>
      <c r="I8" s="145" t="s">
        <v>460</v>
      </c>
      <c r="J8" s="145" t="s">
        <v>455</v>
      </c>
      <c r="K8" s="11" t="s">
        <v>467</v>
      </c>
      <c r="L8" s="145"/>
      <c r="M8" s="145" t="s">
        <v>463</v>
      </c>
      <c r="N8" s="145"/>
      <c r="O8" s="145"/>
      <c r="P8" s="11" t="s">
        <v>468</v>
      </c>
    </row>
    <row r="9" spans="1:16" ht="79.5" customHeight="1" thickBot="1" x14ac:dyDescent="0.25">
      <c r="A9" s="1163"/>
      <c r="B9" s="1165"/>
      <c r="C9" s="1168"/>
      <c r="D9" s="398" t="s">
        <v>183</v>
      </c>
      <c r="E9" s="398" t="s">
        <v>183</v>
      </c>
      <c r="F9" s="400" t="s">
        <v>469</v>
      </c>
      <c r="G9" s="145" t="s">
        <v>470</v>
      </c>
      <c r="H9" s="145" t="s">
        <v>448</v>
      </c>
      <c r="I9" s="145" t="s">
        <v>460</v>
      </c>
      <c r="J9" s="145" t="s">
        <v>455</v>
      </c>
      <c r="K9" s="145" t="s">
        <v>471</v>
      </c>
      <c r="L9" s="145"/>
      <c r="M9" s="145" t="s">
        <v>470</v>
      </c>
      <c r="N9" s="145"/>
      <c r="O9" s="145"/>
      <c r="P9"/>
    </row>
    <row r="10" spans="1:16" ht="41.25" customHeight="1" x14ac:dyDescent="0.2">
      <c r="A10" s="1163"/>
      <c r="B10" s="1165"/>
      <c r="C10" s="1166" t="s">
        <v>472</v>
      </c>
      <c r="D10" s="398" t="s">
        <v>183</v>
      </c>
      <c r="E10" s="398" t="s">
        <v>183</v>
      </c>
      <c r="F10" s="399" t="s">
        <v>331</v>
      </c>
      <c r="G10" s="145" t="s">
        <v>473</v>
      </c>
      <c r="H10" s="145" t="s">
        <v>448</v>
      </c>
      <c r="I10" s="145" t="s">
        <v>474</v>
      </c>
      <c r="J10" s="145" t="s">
        <v>455</v>
      </c>
      <c r="K10" s="145" t="s">
        <v>475</v>
      </c>
      <c r="L10" s="145"/>
      <c r="M10" s="145" t="s">
        <v>473</v>
      </c>
      <c r="N10" s="145"/>
      <c r="O10" s="145"/>
      <c r="P10" s="11" t="s">
        <v>468</v>
      </c>
    </row>
    <row r="11" spans="1:16" ht="59.25" customHeight="1" x14ac:dyDescent="0.2">
      <c r="A11" s="1163"/>
      <c r="B11" s="1165"/>
      <c r="C11" s="1167"/>
      <c r="D11" s="398" t="s">
        <v>183</v>
      </c>
      <c r="E11" s="398" t="s">
        <v>183</v>
      </c>
      <c r="F11" s="402" t="s">
        <v>332</v>
      </c>
      <c r="G11" s="403">
        <v>2.5000000000000001E-2</v>
      </c>
      <c r="H11" s="145" t="s">
        <v>448</v>
      </c>
      <c r="I11" s="145" t="s">
        <v>476</v>
      </c>
      <c r="J11" s="145" t="s">
        <v>455</v>
      </c>
      <c r="K11" s="145" t="s">
        <v>477</v>
      </c>
      <c r="L11" s="145"/>
      <c r="M11" s="403">
        <v>2.5000000000000001E-2</v>
      </c>
      <c r="N11" s="403"/>
      <c r="O11" s="403"/>
      <c r="P11" s="11" t="s">
        <v>468</v>
      </c>
    </row>
    <row r="12" spans="1:16" ht="57.75" customHeight="1" thickBot="1" x14ac:dyDescent="0.25">
      <c r="A12" s="1163"/>
      <c r="B12" s="1165"/>
      <c r="C12" s="1168"/>
      <c r="D12" s="398" t="s">
        <v>183</v>
      </c>
      <c r="E12" s="398" t="s">
        <v>183</v>
      </c>
      <c r="F12" s="400" t="s">
        <v>478</v>
      </c>
      <c r="G12" s="145" t="s">
        <v>463</v>
      </c>
      <c r="H12" s="145" t="s">
        <v>448</v>
      </c>
      <c r="I12" s="145" t="s">
        <v>479</v>
      </c>
      <c r="J12" s="145" t="s">
        <v>455</v>
      </c>
      <c r="K12" s="145" t="s">
        <v>456</v>
      </c>
      <c r="L12" s="145"/>
      <c r="M12" s="145" t="s">
        <v>480</v>
      </c>
      <c r="N12" s="145"/>
      <c r="O12" s="145"/>
      <c r="P12"/>
    </row>
    <row r="13" spans="1:16" ht="44.1" customHeight="1" x14ac:dyDescent="0.2">
      <c r="A13" s="1163"/>
      <c r="B13" s="1165"/>
      <c r="C13" s="1169" t="s">
        <v>481</v>
      </c>
      <c r="D13" s="398"/>
      <c r="E13" s="398" t="s">
        <v>183</v>
      </c>
      <c r="F13" s="399" t="s">
        <v>335</v>
      </c>
      <c r="G13" s="404">
        <v>0.02</v>
      </c>
      <c r="H13" s="145" t="s">
        <v>482</v>
      </c>
      <c r="I13" s="145"/>
      <c r="J13" s="145" t="s">
        <v>455</v>
      </c>
      <c r="K13" s="145" t="s">
        <v>456</v>
      </c>
      <c r="L13" s="145"/>
      <c r="M13" s="404">
        <v>0.02</v>
      </c>
      <c r="N13" s="404"/>
      <c r="O13" s="404"/>
      <c r="P13"/>
    </row>
    <row r="14" spans="1:16" ht="44.1" customHeight="1" x14ac:dyDescent="0.2">
      <c r="A14" s="1163"/>
      <c r="B14" s="1165"/>
      <c r="C14" s="1170"/>
      <c r="D14" s="398"/>
      <c r="E14" s="398" t="s">
        <v>183</v>
      </c>
      <c r="F14" s="399" t="s">
        <v>336</v>
      </c>
      <c r="G14" s="145" t="s">
        <v>483</v>
      </c>
      <c r="H14" s="145" t="s">
        <v>484</v>
      </c>
      <c r="I14" s="145" t="s">
        <v>460</v>
      </c>
      <c r="J14" s="145" t="s">
        <v>455</v>
      </c>
      <c r="K14" s="145" t="s">
        <v>456</v>
      </c>
      <c r="L14" s="145"/>
      <c r="M14" s="145" t="s">
        <v>483</v>
      </c>
      <c r="N14" s="145"/>
      <c r="O14" s="145"/>
      <c r="P14"/>
    </row>
    <row r="15" spans="1:16" ht="44.1" customHeight="1" thickBot="1" x14ac:dyDescent="0.25">
      <c r="A15" s="1163"/>
      <c r="B15" s="1165"/>
      <c r="C15" s="1171"/>
      <c r="D15" s="398" t="s">
        <v>183</v>
      </c>
      <c r="E15" s="398" t="s">
        <v>183</v>
      </c>
      <c r="F15" s="399" t="s">
        <v>337</v>
      </c>
      <c r="G15" s="145"/>
      <c r="H15" s="145"/>
      <c r="I15" s="145"/>
      <c r="J15" s="145"/>
      <c r="K15" s="145"/>
      <c r="L15" s="145"/>
      <c r="M15" s="145"/>
      <c r="N15" s="145"/>
      <c r="O15" s="145"/>
      <c r="P15"/>
    </row>
    <row r="16" spans="1:16" ht="45" customHeight="1" x14ac:dyDescent="0.2">
      <c r="A16" s="1163"/>
      <c r="B16" s="1172" t="s">
        <v>485</v>
      </c>
      <c r="C16" s="1175" t="s">
        <v>486</v>
      </c>
      <c r="D16" s="398"/>
      <c r="E16" s="398" t="s">
        <v>183</v>
      </c>
      <c r="F16" s="399" t="s">
        <v>338</v>
      </c>
      <c r="G16" s="145" t="s">
        <v>487</v>
      </c>
      <c r="H16" s="145" t="s">
        <v>488</v>
      </c>
      <c r="I16" s="145" t="s">
        <v>489</v>
      </c>
      <c r="J16" s="145" t="s">
        <v>455</v>
      </c>
      <c r="K16" s="1181" t="s">
        <v>490</v>
      </c>
      <c r="L16" s="145"/>
      <c r="M16" s="145" t="s">
        <v>487</v>
      </c>
      <c r="N16" s="145"/>
      <c r="O16" s="145"/>
      <c r="P16" s="11" t="s">
        <v>491</v>
      </c>
    </row>
    <row r="17" spans="1:16" ht="42.75" customHeight="1" x14ac:dyDescent="0.2">
      <c r="A17" s="1163"/>
      <c r="B17" s="1173"/>
      <c r="C17" s="1176"/>
      <c r="D17" s="398"/>
      <c r="E17" s="398" t="s">
        <v>183</v>
      </c>
      <c r="F17" s="399" t="s">
        <v>339</v>
      </c>
      <c r="G17" s="145" t="s">
        <v>492</v>
      </c>
      <c r="H17" s="145" t="s">
        <v>488</v>
      </c>
      <c r="I17" s="145" t="s">
        <v>489</v>
      </c>
      <c r="J17" s="145" t="s">
        <v>455</v>
      </c>
      <c r="K17" s="1182"/>
      <c r="L17" s="145"/>
      <c r="M17" s="145" t="s">
        <v>493</v>
      </c>
      <c r="N17" s="145"/>
      <c r="O17" s="145"/>
      <c r="P17"/>
    </row>
    <row r="18" spans="1:16" ht="46.5" customHeight="1" x14ac:dyDescent="0.2">
      <c r="A18" s="1163"/>
      <c r="B18" s="1173"/>
      <c r="C18" s="1176"/>
      <c r="D18" s="398"/>
      <c r="E18" s="398" t="s">
        <v>183</v>
      </c>
      <c r="F18" s="399" t="s">
        <v>340</v>
      </c>
      <c r="G18" s="145" t="s">
        <v>494</v>
      </c>
      <c r="H18" s="145" t="s">
        <v>488</v>
      </c>
      <c r="I18" s="145" t="s">
        <v>489</v>
      </c>
      <c r="J18" s="145" t="s">
        <v>455</v>
      </c>
      <c r="K18" s="1183"/>
      <c r="L18" s="145"/>
      <c r="M18" s="145" t="s">
        <v>495</v>
      </c>
      <c r="N18" s="145"/>
      <c r="O18" s="145"/>
      <c r="P18"/>
    </row>
    <row r="19" spans="1:16" ht="39.75" customHeight="1" thickBot="1" x14ac:dyDescent="0.25">
      <c r="A19" s="1163"/>
      <c r="B19" s="1173"/>
      <c r="C19" s="1177"/>
      <c r="D19" s="398"/>
      <c r="E19" s="398" t="s">
        <v>183</v>
      </c>
      <c r="F19" s="399" t="s">
        <v>341</v>
      </c>
      <c r="G19" s="145" t="s">
        <v>496</v>
      </c>
      <c r="H19" s="145" t="s">
        <v>448</v>
      </c>
      <c r="I19" s="145" t="s">
        <v>497</v>
      </c>
      <c r="J19" s="145" t="s">
        <v>455</v>
      </c>
      <c r="K19" s="145" t="s">
        <v>498</v>
      </c>
      <c r="L19" s="145"/>
      <c r="M19" s="145" t="s">
        <v>499</v>
      </c>
      <c r="N19" s="145"/>
      <c r="O19" s="145"/>
      <c r="P19"/>
    </row>
    <row r="20" spans="1:16" ht="23.25" customHeight="1" x14ac:dyDescent="0.2">
      <c r="A20" s="1163"/>
      <c r="B20" s="1173"/>
      <c r="C20" s="1175" t="s">
        <v>500</v>
      </c>
      <c r="D20" s="398" t="s">
        <v>183</v>
      </c>
      <c r="E20" s="398" t="s">
        <v>183</v>
      </c>
      <c r="F20" s="400" t="s">
        <v>342</v>
      </c>
      <c r="G20" s="404" t="s">
        <v>501</v>
      </c>
      <c r="H20" s="145" t="s">
        <v>502</v>
      </c>
      <c r="I20" s="145" t="s">
        <v>479</v>
      </c>
      <c r="J20" s="145" t="s">
        <v>455</v>
      </c>
      <c r="K20" s="145" t="s">
        <v>498</v>
      </c>
      <c r="L20" s="145"/>
      <c r="M20" s="404" t="s">
        <v>501</v>
      </c>
      <c r="N20" s="404"/>
      <c r="O20" s="404"/>
      <c r="P20"/>
    </row>
    <row r="21" spans="1:16" ht="35.25" customHeight="1" x14ac:dyDescent="0.2">
      <c r="A21" s="1163"/>
      <c r="B21" s="1173"/>
      <c r="C21" s="1176"/>
      <c r="D21" s="398"/>
      <c r="E21" s="398" t="s">
        <v>183</v>
      </c>
      <c r="F21" s="399" t="s">
        <v>343</v>
      </c>
      <c r="G21" s="145" t="s">
        <v>460</v>
      </c>
      <c r="H21" s="145" t="s">
        <v>488</v>
      </c>
      <c r="I21" s="145" t="s">
        <v>503</v>
      </c>
      <c r="J21" s="145" t="s">
        <v>455</v>
      </c>
      <c r="K21" s="66" t="s">
        <v>504</v>
      </c>
      <c r="L21" s="145"/>
      <c r="M21" s="68" t="s">
        <v>460</v>
      </c>
      <c r="N21" s="68"/>
      <c r="O21" s="68"/>
      <c r="P21"/>
    </row>
    <row r="22" spans="1:16" ht="33" customHeight="1" x14ac:dyDescent="0.2">
      <c r="A22" s="1163"/>
      <c r="B22" s="1173"/>
      <c r="C22" s="1176"/>
      <c r="D22" s="398" t="s">
        <v>183</v>
      </c>
      <c r="E22" s="398" t="s">
        <v>183</v>
      </c>
      <c r="F22" s="399" t="s">
        <v>344</v>
      </c>
      <c r="G22" s="145" t="s">
        <v>460</v>
      </c>
      <c r="H22" s="145" t="s">
        <v>505</v>
      </c>
      <c r="I22" s="145" t="s">
        <v>506</v>
      </c>
      <c r="J22" s="145" t="s">
        <v>455</v>
      </c>
      <c r="K22" s="66"/>
      <c r="L22" s="145"/>
      <c r="M22" s="68" t="s">
        <v>460</v>
      </c>
      <c r="N22" s="68"/>
      <c r="O22" s="68"/>
      <c r="P22"/>
    </row>
    <row r="23" spans="1:16" ht="33" customHeight="1" x14ac:dyDescent="0.2">
      <c r="A23" s="1163"/>
      <c r="B23" s="1173"/>
      <c r="C23" s="1176"/>
      <c r="D23" s="398" t="s">
        <v>183</v>
      </c>
      <c r="E23" s="398"/>
      <c r="F23" s="399" t="s">
        <v>345</v>
      </c>
      <c r="G23" s="145" t="s">
        <v>507</v>
      </c>
      <c r="H23" s="145" t="s">
        <v>488</v>
      </c>
      <c r="I23" s="145" t="s">
        <v>508</v>
      </c>
      <c r="J23" s="145" t="s">
        <v>509</v>
      </c>
      <c r="K23" s="145"/>
      <c r="L23" s="145"/>
      <c r="M23" s="145" t="s">
        <v>510</v>
      </c>
      <c r="N23" s="145"/>
      <c r="O23" s="145"/>
      <c r="P23"/>
    </row>
    <row r="24" spans="1:16" ht="44.25" customHeight="1" x14ac:dyDescent="0.2">
      <c r="A24" s="1163"/>
      <c r="B24" s="1173"/>
      <c r="C24" s="1176"/>
      <c r="D24" s="398" t="s">
        <v>183</v>
      </c>
      <c r="E24" s="398"/>
      <c r="F24" s="399" t="s">
        <v>346</v>
      </c>
      <c r="G24" s="145" t="s">
        <v>511</v>
      </c>
      <c r="H24" s="145" t="s">
        <v>488</v>
      </c>
      <c r="I24" s="145" t="s">
        <v>508</v>
      </c>
      <c r="J24" s="145" t="s">
        <v>512</v>
      </c>
      <c r="K24" s="145"/>
      <c r="L24" s="145"/>
      <c r="M24" s="145" t="s">
        <v>510</v>
      </c>
      <c r="N24" s="145"/>
      <c r="O24" s="145"/>
      <c r="P24"/>
    </row>
    <row r="25" spans="1:16" ht="44.25" customHeight="1" x14ac:dyDescent="0.2">
      <c r="A25" s="1163"/>
      <c r="B25" s="1173"/>
      <c r="C25" s="1176"/>
      <c r="D25" s="398" t="s">
        <v>183</v>
      </c>
      <c r="E25" s="398"/>
      <c r="F25" s="399" t="s">
        <v>347</v>
      </c>
      <c r="G25" s="145" t="s">
        <v>513</v>
      </c>
      <c r="H25" s="145" t="s">
        <v>505</v>
      </c>
      <c r="I25" s="145" t="s">
        <v>514</v>
      </c>
      <c r="J25" s="145" t="s">
        <v>455</v>
      </c>
      <c r="K25" s="145"/>
      <c r="L25" s="145"/>
      <c r="M25" s="145" t="s">
        <v>460</v>
      </c>
      <c r="N25" s="145"/>
      <c r="O25" s="145"/>
      <c r="P25"/>
    </row>
    <row r="26" spans="1:16" ht="63" customHeight="1" thickBot="1" x14ac:dyDescent="0.25">
      <c r="A26" s="1163"/>
      <c r="B26" s="1174"/>
      <c r="C26" s="1176"/>
      <c r="D26" s="398" t="s">
        <v>183</v>
      </c>
      <c r="E26" s="398" t="s">
        <v>183</v>
      </c>
      <c r="F26" s="400" t="s">
        <v>348</v>
      </c>
      <c r="G26" s="145" t="s">
        <v>460</v>
      </c>
      <c r="H26" s="145" t="s">
        <v>448</v>
      </c>
      <c r="I26" s="145" t="s">
        <v>515</v>
      </c>
      <c r="J26" s="145" t="s">
        <v>455</v>
      </c>
      <c r="K26" s="401" t="s">
        <v>516</v>
      </c>
      <c r="L26" s="145"/>
      <c r="M26" s="145" t="s">
        <v>460</v>
      </c>
      <c r="N26" s="145"/>
      <c r="O26" s="145"/>
      <c r="P26"/>
    </row>
    <row r="27" spans="1:16" ht="29.25" customHeight="1" x14ac:dyDescent="0.2">
      <c r="A27" s="1163"/>
      <c r="B27" s="1184" t="s">
        <v>517</v>
      </c>
      <c r="C27" s="1186" t="s">
        <v>518</v>
      </c>
      <c r="D27" s="398" t="s">
        <v>183</v>
      </c>
      <c r="E27" s="398" t="s">
        <v>183</v>
      </c>
      <c r="F27" s="399" t="s">
        <v>349</v>
      </c>
      <c r="G27" s="145">
        <v>0</v>
      </c>
      <c r="H27" s="145" t="s">
        <v>448</v>
      </c>
      <c r="I27" s="145"/>
      <c r="J27" s="145" t="s">
        <v>519</v>
      </c>
      <c r="K27" s="145"/>
      <c r="L27" s="145"/>
      <c r="M27" s="404">
        <v>0.08</v>
      </c>
      <c r="N27" s="404"/>
      <c r="O27" s="404"/>
      <c r="P27"/>
    </row>
    <row r="28" spans="1:16" ht="29.25" customHeight="1" x14ac:dyDescent="0.2">
      <c r="A28" s="1163"/>
      <c r="B28" s="1185"/>
      <c r="C28" s="1186"/>
      <c r="D28" s="398" t="s">
        <v>183</v>
      </c>
      <c r="E28" s="398" t="s">
        <v>183</v>
      </c>
      <c r="F28" s="399" t="s">
        <v>350</v>
      </c>
      <c r="G28" s="145">
        <v>0</v>
      </c>
      <c r="H28" s="145" t="s">
        <v>448</v>
      </c>
      <c r="I28" s="145"/>
      <c r="J28" s="145" t="s">
        <v>520</v>
      </c>
      <c r="K28" s="145"/>
      <c r="L28" s="145"/>
      <c r="M28" s="404">
        <v>0.16</v>
      </c>
      <c r="N28" s="404"/>
      <c r="O28" s="404"/>
      <c r="P28"/>
    </row>
    <row r="29" spans="1:16" ht="29.25" customHeight="1" x14ac:dyDescent="0.2">
      <c r="A29" s="1163"/>
      <c r="B29" s="1185"/>
      <c r="C29" s="1186"/>
      <c r="D29" s="398" t="s">
        <v>183</v>
      </c>
      <c r="E29" s="398" t="s">
        <v>183</v>
      </c>
      <c r="F29" s="399" t="s">
        <v>351</v>
      </c>
      <c r="G29" s="145">
        <v>0</v>
      </c>
      <c r="H29" s="145" t="s">
        <v>448</v>
      </c>
      <c r="I29" s="145"/>
      <c r="J29" s="145" t="s">
        <v>521</v>
      </c>
      <c r="K29" s="145"/>
      <c r="L29" s="145"/>
      <c r="M29" s="404">
        <v>0.24</v>
      </c>
      <c r="N29" s="404"/>
      <c r="O29" s="404"/>
      <c r="P29"/>
    </row>
    <row r="30" spans="1:16" ht="29.25" customHeight="1" x14ac:dyDescent="0.2">
      <c r="A30" s="1163"/>
      <c r="B30" s="1185"/>
      <c r="C30" s="1186"/>
      <c r="D30" s="398" t="s">
        <v>183</v>
      </c>
      <c r="E30" s="398" t="s">
        <v>183</v>
      </c>
      <c r="F30" s="399" t="s">
        <v>352</v>
      </c>
      <c r="G30" s="145">
        <v>0</v>
      </c>
      <c r="H30" s="145" t="s">
        <v>448</v>
      </c>
      <c r="I30" s="145"/>
      <c r="J30" s="145" t="s">
        <v>522</v>
      </c>
      <c r="K30" s="145"/>
      <c r="L30" s="145"/>
      <c r="M30" s="145" t="s">
        <v>523</v>
      </c>
      <c r="N30" s="404"/>
      <c r="O30" s="404"/>
      <c r="P30"/>
    </row>
    <row r="31" spans="1:16" ht="29.25" customHeight="1" x14ac:dyDescent="0.2">
      <c r="A31" s="1163"/>
      <c r="B31" s="1185"/>
      <c r="C31" s="1186"/>
      <c r="D31" s="398" t="s">
        <v>183</v>
      </c>
      <c r="E31" s="398" t="s">
        <v>183</v>
      </c>
      <c r="F31" s="399" t="s">
        <v>353</v>
      </c>
      <c r="G31" s="145">
        <v>0</v>
      </c>
      <c r="H31" s="145" t="s">
        <v>448</v>
      </c>
      <c r="I31" s="145"/>
      <c r="J31" s="145" t="s">
        <v>520</v>
      </c>
      <c r="K31" s="145"/>
      <c r="L31" s="145"/>
      <c r="M31" s="404">
        <v>0.02</v>
      </c>
      <c r="N31" s="145"/>
      <c r="O31" s="145"/>
      <c r="P31"/>
    </row>
    <row r="32" spans="1:16" ht="29.25" customHeight="1" x14ac:dyDescent="0.2">
      <c r="A32" s="1163"/>
      <c r="B32" s="1185"/>
      <c r="C32" s="1186"/>
      <c r="D32" s="398" t="s">
        <v>183</v>
      </c>
      <c r="E32" s="398" t="s">
        <v>183</v>
      </c>
      <c r="F32" s="399" t="s">
        <v>354</v>
      </c>
      <c r="G32" s="145">
        <v>0</v>
      </c>
      <c r="H32" s="145" t="s">
        <v>448</v>
      </c>
      <c r="I32" s="145"/>
      <c r="J32" s="145" t="s">
        <v>521</v>
      </c>
      <c r="K32" s="145"/>
      <c r="L32" s="145"/>
      <c r="M32" s="404">
        <v>0.04</v>
      </c>
      <c r="N32" s="145"/>
      <c r="O32" s="145"/>
      <c r="P32"/>
    </row>
    <row r="33" spans="1:16" ht="33.75" customHeight="1" x14ac:dyDescent="0.2">
      <c r="A33" s="1163"/>
      <c r="B33" s="1185"/>
      <c r="C33" s="1186" t="s">
        <v>524</v>
      </c>
      <c r="D33" s="398" t="s">
        <v>183</v>
      </c>
      <c r="E33" s="398" t="s">
        <v>183</v>
      </c>
      <c r="F33" s="3" t="s">
        <v>355</v>
      </c>
      <c r="G33" s="145" t="s">
        <v>525</v>
      </c>
      <c r="H33" s="145" t="s">
        <v>505</v>
      </c>
      <c r="I33" s="405" t="s">
        <v>514</v>
      </c>
      <c r="J33" s="145" t="s">
        <v>450</v>
      </c>
      <c r="K33" s="68"/>
      <c r="L33" s="145"/>
      <c r="M33" s="145"/>
      <c r="N33" s="145"/>
      <c r="O33" s="145"/>
      <c r="P33"/>
    </row>
    <row r="34" spans="1:16" ht="23.25" customHeight="1" x14ac:dyDescent="0.2">
      <c r="A34" s="1163"/>
      <c r="B34" s="1185"/>
      <c r="C34" s="1186"/>
      <c r="D34" s="398"/>
      <c r="E34" s="398"/>
      <c r="F34" s="389"/>
      <c r="G34" s="406"/>
      <c r="H34" s="145" t="s">
        <v>448</v>
      </c>
      <c r="I34" s="406"/>
      <c r="J34" s="406"/>
      <c r="N34" s="145"/>
      <c r="O34" s="145"/>
      <c r="P34"/>
    </row>
    <row r="35" spans="1:16" ht="29.1" customHeight="1" x14ac:dyDescent="0.2">
      <c r="A35" s="1163"/>
      <c r="B35" s="1185"/>
      <c r="C35" s="1186" t="s">
        <v>526</v>
      </c>
      <c r="D35" s="398" t="s">
        <v>183</v>
      </c>
      <c r="E35" s="398"/>
      <c r="F35" s="420" t="s">
        <v>356</v>
      </c>
      <c r="G35" s="145"/>
      <c r="H35" s="145" t="s">
        <v>527</v>
      </c>
      <c r="I35" s="145" t="s">
        <v>528</v>
      </c>
      <c r="J35" s="145"/>
      <c r="K35" s="145"/>
      <c r="L35" s="145"/>
      <c r="M35" s="145"/>
      <c r="N35" s="145"/>
      <c r="O35" s="145"/>
      <c r="P35"/>
    </row>
    <row r="36" spans="1:16" ht="29.1" customHeight="1" x14ac:dyDescent="0.2">
      <c r="A36" s="1163"/>
      <c r="B36" s="1185"/>
      <c r="C36" s="1186"/>
      <c r="D36" s="398" t="s">
        <v>183</v>
      </c>
      <c r="E36" s="398"/>
      <c r="F36" s="420" t="s">
        <v>357</v>
      </c>
      <c r="G36" s="145"/>
      <c r="H36" s="145" t="s">
        <v>527</v>
      </c>
      <c r="I36" s="145" t="s">
        <v>528</v>
      </c>
      <c r="J36" s="145"/>
      <c r="K36" s="145"/>
      <c r="L36" s="145"/>
      <c r="M36" s="145"/>
      <c r="N36" s="145"/>
      <c r="O36" s="145"/>
      <c r="P36"/>
    </row>
    <row r="37" spans="1:16" ht="29.1" customHeight="1" x14ac:dyDescent="0.2">
      <c r="A37" s="1163"/>
      <c r="B37" s="1185"/>
      <c r="C37" s="1186"/>
      <c r="D37" s="398" t="s">
        <v>183</v>
      </c>
      <c r="E37" s="398"/>
      <c r="F37" s="420" t="s">
        <v>358</v>
      </c>
      <c r="G37" s="145"/>
      <c r="H37" s="145"/>
      <c r="I37" s="145"/>
      <c r="J37" s="145"/>
      <c r="K37" s="145"/>
      <c r="L37" s="145"/>
      <c r="M37" s="145"/>
      <c r="N37" s="145"/>
      <c r="O37" s="145"/>
      <c r="P37"/>
    </row>
    <row r="38" spans="1:16" ht="29.1" customHeight="1" x14ac:dyDescent="0.2">
      <c r="A38" s="1163"/>
      <c r="B38" s="1178" t="s">
        <v>529</v>
      </c>
      <c r="C38" s="1179" t="s">
        <v>529</v>
      </c>
      <c r="D38" s="398" t="s">
        <v>183</v>
      </c>
      <c r="E38" s="145"/>
      <c r="F38" s="399" t="s">
        <v>359</v>
      </c>
      <c r="G38" s="404">
        <v>0.15</v>
      </c>
      <c r="H38" s="145" t="s">
        <v>448</v>
      </c>
      <c r="I38" s="145"/>
      <c r="J38" s="145" t="s">
        <v>530</v>
      </c>
      <c r="K38" s="145" t="s">
        <v>456</v>
      </c>
      <c r="L38" s="145" t="s">
        <v>456</v>
      </c>
      <c r="M38" s="145" t="s">
        <v>531</v>
      </c>
      <c r="N38" s="145"/>
      <c r="O38" s="145"/>
      <c r="P38"/>
    </row>
    <row r="39" spans="1:16" ht="29.1" customHeight="1" x14ac:dyDescent="0.2">
      <c r="A39" s="1163"/>
      <c r="B39" s="1178"/>
      <c r="C39" s="1180"/>
      <c r="D39" s="398" t="s">
        <v>183</v>
      </c>
      <c r="E39" s="145"/>
      <c r="F39" s="399" t="s">
        <v>360</v>
      </c>
      <c r="G39" s="145">
        <v>0</v>
      </c>
      <c r="H39" s="145" t="s">
        <v>484</v>
      </c>
      <c r="I39" s="145"/>
      <c r="J39" s="145" t="s">
        <v>532</v>
      </c>
      <c r="K39" s="145" t="s">
        <v>471</v>
      </c>
      <c r="L39" s="145"/>
      <c r="M39" s="145"/>
      <c r="N39" s="145"/>
      <c r="O39" s="145"/>
      <c r="P39"/>
    </row>
    <row r="40" spans="1:16" ht="29.1" customHeight="1" x14ac:dyDescent="0.2">
      <c r="A40" s="1163"/>
      <c r="B40" s="1178"/>
      <c r="C40" s="1180"/>
      <c r="D40" s="145"/>
      <c r="E40" s="145"/>
      <c r="F40" s="68"/>
      <c r="G40" s="145"/>
      <c r="H40" s="145"/>
      <c r="I40" s="145"/>
      <c r="J40" s="145"/>
      <c r="K40" s="145"/>
      <c r="L40" s="145"/>
      <c r="M40" s="145"/>
      <c r="N40" s="145"/>
      <c r="O40" s="145"/>
      <c r="P40"/>
    </row>
    <row r="41" spans="1:16" ht="23.25" customHeight="1" thickBot="1" x14ac:dyDescent="0.25">
      <c r="A41" s="407"/>
      <c r="B41" s="408"/>
      <c r="C41" s="409"/>
      <c r="D41" s="410"/>
      <c r="E41" s="410"/>
      <c r="F41" s="450"/>
      <c r="G41" s="411"/>
      <c r="H41" s="412"/>
      <c r="I41" s="411"/>
      <c r="J41" s="411"/>
      <c r="K41" s="411"/>
      <c r="L41" s="411"/>
      <c r="M41" s="411"/>
      <c r="N41" s="413"/>
      <c r="O41" s="413"/>
      <c r="P41"/>
    </row>
    <row r="42" spans="1:16" s="969" customFormat="1" ht="36" customHeight="1" thickBot="1" x14ac:dyDescent="0.25">
      <c r="A42" s="961"/>
      <c r="B42" s="962"/>
      <c r="C42" s="1187" t="s">
        <v>533</v>
      </c>
      <c r="D42" s="963" t="s">
        <v>183</v>
      </c>
      <c r="E42" s="964"/>
      <c r="F42" s="965" t="s">
        <v>361</v>
      </c>
      <c r="G42" s="966" t="s">
        <v>534</v>
      </c>
      <c r="H42" s="1189" t="s">
        <v>448</v>
      </c>
      <c r="I42" s="967" t="s">
        <v>535</v>
      </c>
      <c r="J42" s="967" t="s">
        <v>455</v>
      </c>
      <c r="K42" s="967" t="s">
        <v>536</v>
      </c>
      <c r="L42" s="967"/>
      <c r="M42" s="967" t="s">
        <v>534</v>
      </c>
      <c r="N42" s="968"/>
      <c r="O42" s="968"/>
      <c r="P42" s="968"/>
    </row>
    <row r="43" spans="1:16" s="969" customFormat="1" ht="43.5" customHeight="1" thickBot="1" x14ac:dyDescent="0.25">
      <c r="A43" s="961"/>
      <c r="B43" s="970"/>
      <c r="C43" s="1187"/>
      <c r="D43" s="963" t="s">
        <v>183</v>
      </c>
      <c r="E43" s="964"/>
      <c r="F43" s="965" t="s">
        <v>362</v>
      </c>
      <c r="G43" s="966" t="s">
        <v>537</v>
      </c>
      <c r="H43" s="1190"/>
      <c r="I43" s="967" t="s">
        <v>538</v>
      </c>
      <c r="J43" s="967" t="s">
        <v>455</v>
      </c>
      <c r="K43" s="967" t="s">
        <v>539</v>
      </c>
      <c r="L43" s="967"/>
      <c r="M43" s="967" t="s">
        <v>537</v>
      </c>
      <c r="N43" s="967"/>
      <c r="O43" s="967"/>
      <c r="P43" s="968"/>
    </row>
    <row r="44" spans="1:16" s="969" customFormat="1" ht="40.5" customHeight="1" thickBot="1" x14ac:dyDescent="0.25">
      <c r="A44" s="961"/>
      <c r="B44" s="970"/>
      <c r="C44" s="1187"/>
      <c r="D44" s="963" t="s">
        <v>183</v>
      </c>
      <c r="E44" s="964"/>
      <c r="F44" s="965" t="s">
        <v>363</v>
      </c>
      <c r="G44" s="971">
        <v>3.5000000000000003E-2</v>
      </c>
      <c r="H44" s="1190"/>
      <c r="I44" s="967" t="s">
        <v>471</v>
      </c>
      <c r="J44" s="967" t="s">
        <v>455</v>
      </c>
      <c r="K44" s="967" t="s">
        <v>540</v>
      </c>
      <c r="L44" s="972" t="s">
        <v>541</v>
      </c>
      <c r="M44" s="973">
        <v>3.5000000000000003E-2</v>
      </c>
      <c r="N44" s="973"/>
      <c r="O44" s="973"/>
      <c r="P44" s="968"/>
    </row>
    <row r="45" spans="1:16" ht="23.25" customHeight="1" x14ac:dyDescent="0.2">
      <c r="A45" s="414"/>
      <c r="B45" s="415"/>
      <c r="C45" s="1187"/>
      <c r="D45" s="398" t="s">
        <v>183</v>
      </c>
      <c r="E45" s="51"/>
      <c r="F45" s="452" t="s">
        <v>364</v>
      </c>
      <c r="G45" s="145" t="s">
        <v>542</v>
      </c>
      <c r="H45" s="1190"/>
      <c r="I45" s="145" t="s">
        <v>449</v>
      </c>
      <c r="J45" s="145" t="s">
        <v>455</v>
      </c>
      <c r="K45" s="145" t="s">
        <v>543</v>
      </c>
      <c r="L45" s="145"/>
      <c r="M45" s="145" t="s">
        <v>542</v>
      </c>
      <c r="N45" s="145"/>
      <c r="O45" s="145"/>
    </row>
    <row r="46" spans="1:16" ht="34.5" customHeight="1" x14ac:dyDescent="0.2">
      <c r="A46" s="414"/>
      <c r="B46" s="415"/>
      <c r="C46" s="1187"/>
      <c r="D46" s="398" t="s">
        <v>183</v>
      </c>
      <c r="E46" s="51"/>
      <c r="F46" s="402" t="s">
        <v>365</v>
      </c>
      <c r="G46" s="145"/>
      <c r="H46" s="1190"/>
      <c r="I46" s="145" t="s">
        <v>513</v>
      </c>
      <c r="J46" s="145" t="s">
        <v>455</v>
      </c>
      <c r="K46" s="145" t="s">
        <v>544</v>
      </c>
      <c r="L46" s="145"/>
      <c r="M46" s="145"/>
      <c r="N46" s="145"/>
      <c r="O46" s="145"/>
    </row>
    <row r="47" spans="1:16" ht="27.6" customHeight="1" x14ac:dyDescent="0.2">
      <c r="A47" s="414"/>
      <c r="B47" s="415"/>
      <c r="C47" s="1187"/>
      <c r="D47" s="398" t="s">
        <v>183</v>
      </c>
      <c r="E47" s="51"/>
      <c r="F47" s="402" t="s">
        <v>366</v>
      </c>
      <c r="G47" s="404">
        <v>0.01</v>
      </c>
      <c r="H47" s="1190"/>
      <c r="I47" s="145" t="s">
        <v>449</v>
      </c>
      <c r="J47" s="145" t="s">
        <v>455</v>
      </c>
      <c r="K47" s="11" t="s">
        <v>545</v>
      </c>
      <c r="L47" s="145"/>
      <c r="M47" s="404">
        <v>0.01</v>
      </c>
      <c r="N47" s="404"/>
      <c r="O47" s="404"/>
    </row>
    <row r="48" spans="1:16" s="969" customFormat="1" ht="27.6" customHeight="1" thickBot="1" x14ac:dyDescent="0.25">
      <c r="A48" s="974"/>
      <c r="B48" s="970"/>
      <c r="C48" s="1187"/>
      <c r="D48" s="963" t="s">
        <v>183</v>
      </c>
      <c r="E48" s="975"/>
      <c r="F48" s="976" t="s">
        <v>367</v>
      </c>
      <c r="G48" s="977">
        <v>0.02</v>
      </c>
      <c r="H48" s="1190"/>
      <c r="I48" s="967" t="s">
        <v>479</v>
      </c>
      <c r="J48" s="967" t="s">
        <v>455</v>
      </c>
      <c r="K48" s="967"/>
      <c r="L48" s="967"/>
      <c r="M48" s="977">
        <v>0.02</v>
      </c>
      <c r="N48" s="977"/>
      <c r="O48" s="977"/>
    </row>
    <row r="49" spans="1:16" ht="30.75" customHeight="1" x14ac:dyDescent="0.2">
      <c r="A49" s="1192" t="s">
        <v>546</v>
      </c>
      <c r="B49" s="416"/>
      <c r="C49" s="1187"/>
      <c r="D49" s="398" t="s">
        <v>183</v>
      </c>
      <c r="E49" s="51"/>
      <c r="F49" s="402" t="s">
        <v>368</v>
      </c>
      <c r="G49" s="145" t="s">
        <v>547</v>
      </c>
      <c r="H49" s="1190"/>
      <c r="I49" s="145" t="s">
        <v>479</v>
      </c>
      <c r="J49" s="145" t="s">
        <v>455</v>
      </c>
      <c r="K49" s="145"/>
      <c r="L49" s="145"/>
      <c r="M49" s="145" t="s">
        <v>547</v>
      </c>
      <c r="N49" s="145"/>
      <c r="O49" s="145"/>
      <c r="P49"/>
    </row>
    <row r="50" spans="1:16" ht="23.1" customHeight="1" thickBot="1" x14ac:dyDescent="0.25">
      <c r="A50" s="1192"/>
      <c r="B50" s="416"/>
      <c r="C50" s="1187"/>
      <c r="D50" s="398" t="s">
        <v>183</v>
      </c>
      <c r="E50" s="51"/>
      <c r="F50" s="451" t="s">
        <v>369</v>
      </c>
      <c r="G50" s="145" t="s">
        <v>460</v>
      </c>
      <c r="H50" s="1191"/>
      <c r="I50" s="145" t="s">
        <v>548</v>
      </c>
      <c r="J50" s="145" t="s">
        <v>455</v>
      </c>
      <c r="K50" s="145"/>
      <c r="L50" s="145"/>
      <c r="M50" s="145" t="s">
        <v>460</v>
      </c>
      <c r="N50" s="145"/>
      <c r="O50" s="145"/>
      <c r="P50"/>
    </row>
    <row r="51" spans="1:16" ht="63" customHeight="1" thickBot="1" x14ac:dyDescent="0.25">
      <c r="A51" s="1192"/>
      <c r="B51" s="416"/>
      <c r="C51" s="1188"/>
      <c r="D51" s="398" t="s">
        <v>183</v>
      </c>
      <c r="E51" s="449"/>
      <c r="F51" s="453" t="s">
        <v>370</v>
      </c>
      <c r="G51" s="68" t="s">
        <v>549</v>
      </c>
      <c r="H51" s="1189" t="s">
        <v>448</v>
      </c>
      <c r="I51" s="145" t="s">
        <v>489</v>
      </c>
      <c r="J51" s="145" t="s">
        <v>455</v>
      </c>
      <c r="K51" s="145" t="s">
        <v>550</v>
      </c>
      <c r="L51" s="145"/>
      <c r="M51" s="145" t="s">
        <v>549</v>
      </c>
      <c r="N51" s="145"/>
      <c r="O51" s="145"/>
    </row>
    <row r="52" spans="1:16" ht="53.1" customHeight="1" x14ac:dyDescent="0.2">
      <c r="A52" s="1192"/>
      <c r="B52" s="416"/>
      <c r="C52" s="1193" t="s">
        <v>551</v>
      </c>
      <c r="D52" s="398"/>
      <c r="E52" s="123"/>
      <c r="F52" s="452" t="s">
        <v>371</v>
      </c>
      <c r="G52" s="145" t="s">
        <v>471</v>
      </c>
      <c r="H52" s="1190"/>
      <c r="I52" s="145" t="s">
        <v>552</v>
      </c>
      <c r="J52" s="145" t="s">
        <v>455</v>
      </c>
      <c r="K52" s="145" t="s">
        <v>553</v>
      </c>
      <c r="L52" s="145"/>
      <c r="M52" s="145" t="s">
        <v>471</v>
      </c>
      <c r="N52" s="145"/>
      <c r="O52" s="145"/>
    </row>
    <row r="53" spans="1:16" ht="33" customHeight="1" x14ac:dyDescent="0.2">
      <c r="A53" s="1192"/>
      <c r="B53" s="416"/>
      <c r="C53" s="1194"/>
      <c r="D53" s="398"/>
      <c r="E53" s="123"/>
      <c r="F53" s="402" t="s">
        <v>372</v>
      </c>
      <c r="G53" s="404">
        <v>0.15</v>
      </c>
      <c r="H53" s="1190"/>
      <c r="I53" s="145" t="s">
        <v>552</v>
      </c>
      <c r="J53" s="145" t="s">
        <v>455</v>
      </c>
      <c r="K53" s="145" t="s">
        <v>554</v>
      </c>
      <c r="L53" s="145"/>
      <c r="M53" s="404">
        <v>0.15</v>
      </c>
      <c r="N53" s="404"/>
      <c r="O53" s="404"/>
    </row>
    <row r="54" spans="1:16" ht="21.75" customHeight="1" x14ac:dyDescent="0.2">
      <c r="A54" s="1192"/>
      <c r="B54" s="416"/>
      <c r="C54" s="1194"/>
      <c r="D54" s="398"/>
      <c r="E54" s="123"/>
      <c r="F54" s="399" t="s">
        <v>373</v>
      </c>
      <c r="G54" s="404" t="s">
        <v>555</v>
      </c>
      <c r="H54" s="1190"/>
      <c r="I54" s="145" t="s">
        <v>552</v>
      </c>
      <c r="J54" s="145" t="s">
        <v>455</v>
      </c>
      <c r="K54" s="145"/>
      <c r="L54" s="145"/>
      <c r="M54" s="404" t="s">
        <v>555</v>
      </c>
      <c r="N54" s="404"/>
      <c r="O54" s="404"/>
      <c r="P54"/>
    </row>
    <row r="55" spans="1:16" ht="22.5" customHeight="1" x14ac:dyDescent="0.2">
      <c r="A55" s="1192"/>
      <c r="B55" s="416"/>
      <c r="C55" s="1194"/>
      <c r="D55" s="398"/>
      <c r="E55" s="123"/>
      <c r="F55" s="402" t="s">
        <v>374</v>
      </c>
      <c r="G55" s="145" t="s">
        <v>487</v>
      </c>
      <c r="H55" s="1190"/>
      <c r="I55" s="145" t="s">
        <v>449</v>
      </c>
      <c r="J55" s="145" t="s">
        <v>455</v>
      </c>
      <c r="K55" s="145"/>
      <c r="L55" s="145"/>
      <c r="M55" s="145" t="s">
        <v>487</v>
      </c>
      <c r="N55" s="145"/>
      <c r="O55" s="145"/>
      <c r="P55"/>
    </row>
    <row r="56" spans="1:16" ht="33.75" customHeight="1" x14ac:dyDescent="0.2">
      <c r="A56" s="1192"/>
      <c r="B56" s="416"/>
      <c r="C56" s="1194"/>
      <c r="D56" s="398"/>
      <c r="E56" s="123"/>
      <c r="F56" s="402" t="s">
        <v>375</v>
      </c>
      <c r="G56" s="145" t="s">
        <v>556</v>
      </c>
      <c r="H56" s="1190"/>
      <c r="I56" s="145" t="s">
        <v>557</v>
      </c>
      <c r="J56" s="145" t="s">
        <v>455</v>
      </c>
      <c r="K56" s="145"/>
      <c r="L56" s="145"/>
      <c r="M56" s="145" t="s">
        <v>556</v>
      </c>
      <c r="N56" s="145"/>
      <c r="O56" s="145"/>
      <c r="P56"/>
    </row>
    <row r="57" spans="1:16" ht="22.5" customHeight="1" x14ac:dyDescent="0.2">
      <c r="A57" s="1192"/>
      <c r="B57" s="416"/>
      <c r="C57" s="1194"/>
      <c r="D57" s="398"/>
      <c r="E57" s="123"/>
      <c r="F57" s="402" t="s">
        <v>376</v>
      </c>
      <c r="G57" s="404" t="s">
        <v>558</v>
      </c>
      <c r="H57" s="1190"/>
      <c r="I57" s="145" t="s">
        <v>479</v>
      </c>
      <c r="J57" s="145" t="s">
        <v>455</v>
      </c>
      <c r="K57" s="145"/>
      <c r="L57" s="145"/>
      <c r="M57" s="404" t="s">
        <v>558</v>
      </c>
      <c r="N57" s="404"/>
      <c r="O57" s="404"/>
      <c r="P57"/>
    </row>
    <row r="58" spans="1:16" ht="39" customHeight="1" x14ac:dyDescent="0.2">
      <c r="A58" s="1192"/>
      <c r="B58" s="416"/>
      <c r="C58" s="1194"/>
      <c r="D58" s="398"/>
      <c r="E58" s="123"/>
      <c r="F58" s="402" t="s">
        <v>377</v>
      </c>
      <c r="G58" s="417" t="s">
        <v>559</v>
      </c>
      <c r="H58" s="1190"/>
      <c r="I58" s="145" t="s">
        <v>557</v>
      </c>
      <c r="J58" s="145" t="s">
        <v>455</v>
      </c>
      <c r="K58" s="145"/>
      <c r="L58" s="145"/>
      <c r="M58" s="417" t="s">
        <v>559</v>
      </c>
      <c r="N58" s="417"/>
      <c r="O58" s="417"/>
      <c r="P58"/>
    </row>
    <row r="59" spans="1:16" ht="63.75" customHeight="1" x14ac:dyDescent="0.2">
      <c r="A59" s="1192"/>
      <c r="B59" s="416"/>
      <c r="C59" s="1194"/>
      <c r="D59" s="398"/>
      <c r="E59" s="123"/>
      <c r="F59" s="402" t="s">
        <v>378</v>
      </c>
      <c r="G59" s="404">
        <v>0.1</v>
      </c>
      <c r="H59" s="1191"/>
      <c r="I59" s="145" t="s">
        <v>479</v>
      </c>
      <c r="J59" s="145" t="s">
        <v>455</v>
      </c>
      <c r="K59" s="145"/>
      <c r="L59" s="145"/>
      <c r="M59" s="404">
        <v>0.1</v>
      </c>
      <c r="N59" s="404"/>
      <c r="O59" s="404"/>
      <c r="P59"/>
    </row>
    <row r="60" spans="1:16" ht="51.75" customHeight="1" thickBot="1" x14ac:dyDescent="0.25">
      <c r="A60" s="1192"/>
      <c r="B60" s="416"/>
      <c r="C60" s="1195"/>
      <c r="D60" s="398"/>
      <c r="E60" s="123"/>
      <c r="F60" s="402" t="s">
        <v>379</v>
      </c>
      <c r="G60" s="145" t="s">
        <v>560</v>
      </c>
      <c r="H60" s="1189" t="s">
        <v>448</v>
      </c>
      <c r="I60" s="145" t="s">
        <v>557</v>
      </c>
      <c r="J60" s="145" t="s">
        <v>455</v>
      </c>
      <c r="K60" s="145"/>
      <c r="L60" s="145"/>
      <c r="M60" s="145" t="s">
        <v>507</v>
      </c>
      <c r="N60" s="145"/>
      <c r="O60" s="145"/>
      <c r="P60"/>
    </row>
    <row r="61" spans="1:16" ht="43.5" customHeight="1" x14ac:dyDescent="0.2">
      <c r="A61" s="1192"/>
      <c r="B61" s="416"/>
      <c r="C61" s="1193" t="s">
        <v>561</v>
      </c>
      <c r="D61" s="398"/>
      <c r="E61" s="123"/>
      <c r="F61" s="402" t="s">
        <v>380</v>
      </c>
      <c r="G61" s="145" t="s">
        <v>471</v>
      </c>
      <c r="H61" s="1190"/>
      <c r="I61" s="145" t="s">
        <v>471</v>
      </c>
      <c r="J61" s="145" t="s">
        <v>455</v>
      </c>
      <c r="K61" s="145" t="s">
        <v>562</v>
      </c>
      <c r="L61" s="145"/>
      <c r="M61" s="145"/>
      <c r="N61" s="145"/>
      <c r="O61" s="145"/>
    </row>
    <row r="62" spans="1:16" ht="45.6" customHeight="1" x14ac:dyDescent="0.2">
      <c r="A62" s="1192"/>
      <c r="B62" s="416"/>
      <c r="C62" s="1194"/>
      <c r="D62" s="398"/>
      <c r="E62" s="123"/>
      <c r="F62" s="402" t="s">
        <v>381</v>
      </c>
      <c r="G62" s="404">
        <v>0.1</v>
      </c>
      <c r="H62" s="1190"/>
      <c r="I62" s="145" t="s">
        <v>489</v>
      </c>
      <c r="J62" s="145" t="s">
        <v>455</v>
      </c>
      <c r="K62" s="145" t="s">
        <v>563</v>
      </c>
      <c r="L62" s="145"/>
      <c r="M62" s="404">
        <v>0.1</v>
      </c>
      <c r="N62" s="145"/>
      <c r="O62" s="145"/>
    </row>
    <row r="63" spans="1:16" ht="53.45" customHeight="1" x14ac:dyDescent="0.2">
      <c r="A63" s="1192"/>
      <c r="B63" s="416"/>
      <c r="C63" s="1194"/>
      <c r="D63" s="398"/>
      <c r="E63" s="123"/>
      <c r="F63" s="402" t="s">
        <v>382</v>
      </c>
      <c r="G63" s="1189" t="s">
        <v>564</v>
      </c>
      <c r="H63" s="1190"/>
      <c r="I63" s="145" t="s">
        <v>565</v>
      </c>
      <c r="J63" s="145" t="s">
        <v>455</v>
      </c>
      <c r="K63" s="145" t="s">
        <v>566</v>
      </c>
      <c r="L63" s="145"/>
      <c r="M63" s="418"/>
      <c r="N63" s="145"/>
      <c r="O63" s="145"/>
    </row>
    <row r="64" spans="1:16" ht="42.95" customHeight="1" x14ac:dyDescent="0.2">
      <c r="A64" s="1192"/>
      <c r="B64" s="416"/>
      <c r="C64" s="1194"/>
      <c r="D64" s="398"/>
      <c r="E64" s="123"/>
      <c r="F64" s="402" t="s">
        <v>383</v>
      </c>
      <c r="G64" s="1191"/>
      <c r="H64" s="1190"/>
      <c r="I64" s="145" t="s">
        <v>565</v>
      </c>
      <c r="J64" s="145" t="s">
        <v>455</v>
      </c>
      <c r="K64" s="145" t="s">
        <v>567</v>
      </c>
      <c r="L64" s="145"/>
      <c r="M64" s="145"/>
      <c r="N64" s="145"/>
      <c r="O64" s="145"/>
    </row>
    <row r="65" spans="1:16" ht="34.5" customHeight="1" x14ac:dyDescent="0.2">
      <c r="A65" s="1192"/>
      <c r="B65" s="416"/>
      <c r="C65" s="1194"/>
      <c r="D65" s="398"/>
      <c r="E65" s="123"/>
      <c r="F65" s="402" t="s">
        <v>384</v>
      </c>
      <c r="G65" s="145" t="s">
        <v>568</v>
      </c>
      <c r="H65" s="1190"/>
      <c r="I65" s="145" t="s">
        <v>565</v>
      </c>
      <c r="J65" s="145" t="s">
        <v>455</v>
      </c>
      <c r="K65" s="145" t="s">
        <v>569</v>
      </c>
      <c r="L65" s="145"/>
      <c r="M65" s="145"/>
      <c r="N65" s="145"/>
      <c r="O65" s="145"/>
    </row>
    <row r="66" spans="1:16" ht="69.75" customHeight="1" x14ac:dyDescent="0.2">
      <c r="A66" s="1192"/>
      <c r="B66" s="416"/>
      <c r="C66" s="1194"/>
      <c r="D66" s="398"/>
      <c r="E66" s="123"/>
      <c r="F66" s="402" t="s">
        <v>385</v>
      </c>
      <c r="G66" s="145" t="s">
        <v>570</v>
      </c>
      <c r="H66" s="1190"/>
      <c r="I66" s="145" t="s">
        <v>557</v>
      </c>
      <c r="J66" s="145" t="s">
        <v>455</v>
      </c>
      <c r="K66" s="145"/>
      <c r="L66" s="145"/>
      <c r="M66" s="145"/>
      <c r="N66" s="145"/>
      <c r="O66" s="145"/>
      <c r="P66"/>
    </row>
    <row r="67" spans="1:16" ht="43.5" customHeight="1" x14ac:dyDescent="0.2">
      <c r="A67" s="1192"/>
      <c r="B67" s="416"/>
      <c r="C67" s="1194"/>
      <c r="D67" s="398"/>
      <c r="E67" s="123"/>
      <c r="F67" s="400" t="s">
        <v>386</v>
      </c>
      <c r="G67" s="145" t="s">
        <v>483</v>
      </c>
      <c r="H67" s="1191"/>
      <c r="I67" s="145" t="s">
        <v>565</v>
      </c>
      <c r="J67" s="145" t="s">
        <v>455</v>
      </c>
      <c r="K67" s="145"/>
      <c r="L67" s="145"/>
      <c r="M67" s="145"/>
      <c r="N67" s="145"/>
      <c r="O67" s="145"/>
      <c r="P67"/>
    </row>
    <row r="68" spans="1:16" ht="39" customHeight="1" thickBot="1" x14ac:dyDescent="0.25">
      <c r="A68" s="1192"/>
      <c r="B68" s="416"/>
      <c r="C68" s="1195"/>
      <c r="D68" s="398"/>
      <c r="E68" s="123"/>
      <c r="F68" s="402" t="s">
        <v>387</v>
      </c>
      <c r="G68" s="404">
        <v>0.5</v>
      </c>
      <c r="H68" s="1196" t="s">
        <v>448</v>
      </c>
      <c r="I68" s="145" t="s">
        <v>535</v>
      </c>
      <c r="J68" s="145" t="s">
        <v>455</v>
      </c>
      <c r="K68" s="145" t="s">
        <v>571</v>
      </c>
      <c r="L68" s="145"/>
      <c r="M68" s="145"/>
      <c r="N68" s="145"/>
      <c r="O68" s="145"/>
    </row>
    <row r="69" spans="1:16" ht="39.75" customHeight="1" x14ac:dyDescent="0.2">
      <c r="A69" s="1192"/>
      <c r="B69" s="416"/>
      <c r="C69" s="1193" t="s">
        <v>572</v>
      </c>
      <c r="D69" s="398"/>
      <c r="E69" s="123"/>
      <c r="F69" s="402" t="s">
        <v>388</v>
      </c>
      <c r="G69" s="419">
        <v>0.22</v>
      </c>
      <c r="H69" s="1196"/>
      <c r="I69" s="145" t="s">
        <v>535</v>
      </c>
      <c r="J69" s="145" t="s">
        <v>455</v>
      </c>
      <c r="K69" s="145"/>
      <c r="L69" s="145"/>
      <c r="M69" s="145"/>
      <c r="N69" s="145"/>
      <c r="O69" s="145"/>
      <c r="P69"/>
    </row>
    <row r="70" spans="1:16" ht="56.25" customHeight="1" x14ac:dyDescent="0.2">
      <c r="A70" s="1192"/>
      <c r="B70" s="416"/>
      <c r="C70" s="1194"/>
      <c r="D70" s="398"/>
      <c r="E70" s="123"/>
      <c r="F70" s="402" t="s">
        <v>389</v>
      </c>
      <c r="G70" s="419">
        <v>0.11</v>
      </c>
      <c r="H70" s="1196"/>
      <c r="I70" s="145" t="s">
        <v>535</v>
      </c>
      <c r="J70" s="145" t="s">
        <v>455</v>
      </c>
      <c r="K70" s="145"/>
      <c r="L70" s="145"/>
      <c r="M70" s="145"/>
      <c r="N70" s="145"/>
      <c r="O70" s="145"/>
      <c r="P70"/>
    </row>
    <row r="71" spans="1:16" ht="55.5" customHeight="1" x14ac:dyDescent="0.2">
      <c r="A71" s="1192"/>
      <c r="B71" s="416"/>
      <c r="C71" s="1194"/>
      <c r="D71" s="398"/>
      <c r="E71" s="123"/>
      <c r="F71" s="402" t="s">
        <v>390</v>
      </c>
      <c r="G71" s="68" t="s">
        <v>471</v>
      </c>
      <c r="H71" s="1196"/>
      <c r="I71" s="145"/>
      <c r="J71" s="145" t="s">
        <v>455</v>
      </c>
      <c r="K71" s="145" t="s">
        <v>573</v>
      </c>
      <c r="L71" s="145"/>
      <c r="M71" s="145"/>
      <c r="N71" s="145"/>
      <c r="O71" s="145"/>
    </row>
    <row r="72" spans="1:16" ht="36.75" customHeight="1" x14ac:dyDescent="0.2">
      <c r="A72" s="1192"/>
      <c r="B72" s="416"/>
      <c r="C72" s="1194"/>
      <c r="D72" s="398"/>
      <c r="E72" s="123"/>
      <c r="F72" s="402" t="s">
        <v>391</v>
      </c>
      <c r="G72" s="68" t="s">
        <v>471</v>
      </c>
      <c r="H72" s="1196"/>
      <c r="I72" s="145"/>
      <c r="J72" s="145" t="s">
        <v>455</v>
      </c>
      <c r="K72" s="145" t="s">
        <v>574</v>
      </c>
      <c r="L72" s="145"/>
      <c r="M72" s="145"/>
      <c r="N72" s="145"/>
      <c r="O72" s="145"/>
    </row>
    <row r="73" spans="1:16" ht="37.5" customHeight="1" x14ac:dyDescent="0.2">
      <c r="A73" s="1192"/>
      <c r="B73" s="416"/>
      <c r="C73" s="1194"/>
      <c r="D73" s="398"/>
      <c r="E73" s="123"/>
      <c r="F73" s="402" t="s">
        <v>392</v>
      </c>
      <c r="G73" s="68" t="s">
        <v>471</v>
      </c>
      <c r="H73" s="1196"/>
      <c r="I73" s="145"/>
      <c r="J73" s="145" t="s">
        <v>455</v>
      </c>
      <c r="K73" s="145" t="s">
        <v>575</v>
      </c>
      <c r="L73" s="145"/>
      <c r="M73" s="145"/>
      <c r="N73" s="145"/>
      <c r="O73" s="145"/>
    </row>
    <row r="74" spans="1:16" ht="36.75" customHeight="1" x14ac:dyDescent="0.2">
      <c r="A74" s="1192"/>
      <c r="B74" s="416"/>
      <c r="C74" s="1194"/>
      <c r="D74" s="398"/>
      <c r="E74" s="123"/>
      <c r="F74" s="402" t="s">
        <v>393</v>
      </c>
      <c r="G74" s="68" t="s">
        <v>471</v>
      </c>
      <c r="H74" s="1196"/>
      <c r="I74" s="145"/>
      <c r="J74" s="145" t="s">
        <v>455</v>
      </c>
      <c r="K74" s="145" t="s">
        <v>576</v>
      </c>
      <c r="L74" s="145"/>
      <c r="M74" s="145"/>
      <c r="N74" s="145"/>
      <c r="O74" s="145"/>
    </row>
    <row r="75" spans="1:16" ht="28.5" customHeight="1" x14ac:dyDescent="0.2">
      <c r="A75" s="1192"/>
      <c r="B75" s="416"/>
      <c r="C75" s="1194"/>
      <c r="D75" s="398"/>
      <c r="E75" s="123"/>
      <c r="F75" s="402" t="s">
        <v>394</v>
      </c>
      <c r="G75" s="145" t="s">
        <v>471</v>
      </c>
      <c r="H75" s="1196"/>
      <c r="I75" s="145"/>
      <c r="J75" s="145" t="s">
        <v>455</v>
      </c>
      <c r="K75" s="145" t="s">
        <v>577</v>
      </c>
      <c r="L75" s="145"/>
      <c r="M75" s="145"/>
      <c r="N75" s="145"/>
      <c r="O75" s="145"/>
    </row>
    <row r="76" spans="1:16" ht="39" customHeight="1" x14ac:dyDescent="0.2">
      <c r="A76" s="1192"/>
      <c r="B76" s="416"/>
      <c r="C76" s="1194"/>
      <c r="D76" s="398"/>
      <c r="E76" s="123"/>
      <c r="F76" s="402" t="s">
        <v>395</v>
      </c>
      <c r="G76" s="145" t="s">
        <v>471</v>
      </c>
      <c r="H76" s="1196"/>
      <c r="I76" s="145"/>
      <c r="J76" s="145" t="s">
        <v>455</v>
      </c>
      <c r="K76" s="145" t="s">
        <v>578</v>
      </c>
      <c r="L76" s="145"/>
      <c r="M76" s="145"/>
      <c r="N76" s="145"/>
      <c r="O76" s="145"/>
    </row>
    <row r="77" spans="1:16" ht="39" customHeight="1" x14ac:dyDescent="0.2">
      <c r="A77" s="416"/>
      <c r="B77" s="416"/>
      <c r="C77" s="1194"/>
      <c r="D77" s="398"/>
      <c r="E77" s="123"/>
      <c r="F77" s="402" t="s">
        <v>396</v>
      </c>
      <c r="G77" s="145" t="s">
        <v>471</v>
      </c>
      <c r="H77" s="1196"/>
      <c r="I77" s="145"/>
      <c r="J77" s="145" t="s">
        <v>455</v>
      </c>
      <c r="K77" s="145" t="s">
        <v>579</v>
      </c>
      <c r="L77" s="145"/>
      <c r="M77" s="145"/>
      <c r="N77" s="145"/>
      <c r="O77" s="145"/>
    </row>
  </sheetData>
  <autoFilter ref="G1:O77" xr:uid="{AB30F4C8-586A-4175-8194-7B6208390980}"/>
  <mergeCells count="26">
    <mergeCell ref="C42:C51"/>
    <mergeCell ref="H42:H50"/>
    <mergeCell ref="A49:A76"/>
    <mergeCell ref="H51:H59"/>
    <mergeCell ref="C52:C60"/>
    <mergeCell ref="H60:H67"/>
    <mergeCell ref="C61:C68"/>
    <mergeCell ref="G63:G64"/>
    <mergeCell ref="H68:H77"/>
    <mergeCell ref="C69:C77"/>
    <mergeCell ref="K16:K18"/>
    <mergeCell ref="C20:C26"/>
    <mergeCell ref="B27:B37"/>
    <mergeCell ref="C27:C32"/>
    <mergeCell ref="C33:C34"/>
    <mergeCell ref="C35:C37"/>
    <mergeCell ref="A2:A40"/>
    <mergeCell ref="B2:B15"/>
    <mergeCell ref="C2:C3"/>
    <mergeCell ref="C4:C9"/>
    <mergeCell ref="C10:C12"/>
    <mergeCell ref="C13:C15"/>
    <mergeCell ref="B16:B26"/>
    <mergeCell ref="C16:C19"/>
    <mergeCell ref="B38:B40"/>
    <mergeCell ref="C38:C40"/>
  </mergeCells>
  <hyperlinks>
    <hyperlink ref="L44" r:id="rId1" xr:uid="{960DB3BE-985B-4030-AFBB-35506D17C699}"/>
  </hyperlinks>
  <pageMargins left="0.70866141732283472" right="0.70866141732283472" top="0.74803149606299213" bottom="0.74803149606299213" header="0.31496062992125984" footer="0.31496062992125984"/>
  <pageSetup paperSize="8" scale="59" fitToHeight="10" orientation="landscape" verticalDpi="150"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7C6D1-D6FB-43F7-BCB1-00EE039BB4F7}">
  <sheetPr>
    <tabColor theme="5" tint="0.79998168889431442"/>
  </sheetPr>
  <dimension ref="D3:H9"/>
  <sheetViews>
    <sheetView showGridLines="0" workbookViewId="0">
      <selection activeCell="D9" sqref="D9"/>
    </sheetView>
  </sheetViews>
  <sheetFormatPr baseColWidth="10" defaultColWidth="11" defaultRowHeight="14.25" x14ac:dyDescent="0.2"/>
  <cols>
    <col min="4" max="4" width="39.625" customWidth="1"/>
    <col min="5" max="5" width="13.375" customWidth="1"/>
    <col min="6" max="6" width="15" customWidth="1"/>
    <col min="7" max="7" width="13.875" customWidth="1"/>
    <col min="8" max="8" width="15.625" customWidth="1"/>
  </cols>
  <sheetData>
    <row r="3" spans="4:8" ht="18" x14ac:dyDescent="0.25">
      <c r="D3" s="573" t="s">
        <v>580</v>
      </c>
    </row>
    <row r="6" spans="4:8" ht="15" x14ac:dyDescent="0.25">
      <c r="E6" s="888" t="s">
        <v>581</v>
      </c>
      <c r="F6" s="888" t="s">
        <v>582</v>
      </c>
      <c r="G6" s="888" t="s">
        <v>583</v>
      </c>
      <c r="H6" s="888" t="s">
        <v>584</v>
      </c>
    </row>
    <row r="7" spans="4:8" x14ac:dyDescent="0.2">
      <c r="D7" s="15" t="s">
        <v>585</v>
      </c>
      <c r="E7" s="15">
        <v>44000</v>
      </c>
      <c r="F7" s="15">
        <v>14000</v>
      </c>
      <c r="G7" s="15">
        <v>39000</v>
      </c>
      <c r="H7" s="15">
        <v>29500</v>
      </c>
    </row>
    <row r="8" spans="4:8" x14ac:dyDescent="0.2">
      <c r="D8" s="15" t="s">
        <v>3535</v>
      </c>
      <c r="E8" s="15">
        <v>30</v>
      </c>
      <c r="F8" s="15">
        <v>6.5</v>
      </c>
      <c r="G8" s="15">
        <v>40</v>
      </c>
      <c r="H8" s="15">
        <v>40</v>
      </c>
    </row>
    <row r="9" spans="4:8" x14ac:dyDescent="0.2">
      <c r="D9" s="15" t="s">
        <v>586</v>
      </c>
      <c r="E9" s="15">
        <v>30</v>
      </c>
      <c r="F9" s="15">
        <v>7.2</v>
      </c>
      <c r="G9" s="15">
        <v>43</v>
      </c>
      <c r="H9" s="15">
        <v>43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AA9B3-C4EA-44A1-923A-D81A1CE803BF}">
  <sheetPr>
    <tabColor rgb="FFFCCECE"/>
  </sheetPr>
  <dimension ref="B3:J13"/>
  <sheetViews>
    <sheetView showGridLines="0" workbookViewId="0">
      <selection activeCell="H17" sqref="H17"/>
    </sheetView>
  </sheetViews>
  <sheetFormatPr baseColWidth="10" defaultColWidth="11" defaultRowHeight="14.25" x14ac:dyDescent="0.2"/>
  <cols>
    <col min="2" max="2" width="21.875" customWidth="1"/>
    <col min="3" max="3" width="32.875" customWidth="1"/>
    <col min="4" max="4" width="21.875" customWidth="1"/>
    <col min="5" max="5" width="34.5" customWidth="1"/>
    <col min="8" max="8" width="43.375" customWidth="1"/>
  </cols>
  <sheetData>
    <row r="3" spans="2:10" ht="18" x14ac:dyDescent="0.25">
      <c r="B3" s="43" t="s">
        <v>587</v>
      </c>
      <c r="H3" s="43" t="s">
        <v>588</v>
      </c>
    </row>
    <row r="4" spans="2:10" ht="15" thickBot="1" x14ac:dyDescent="0.25"/>
    <row r="5" spans="2:10" x14ac:dyDescent="0.2">
      <c r="B5" s="484" t="s">
        <v>589</v>
      </c>
      <c r="C5" s="485" t="s">
        <v>590</v>
      </c>
      <c r="D5" s="485" t="s">
        <v>591</v>
      </c>
      <c r="E5" s="486" t="s">
        <v>592</v>
      </c>
      <c r="H5" s="504" t="s">
        <v>593</v>
      </c>
      <c r="I5" s="362">
        <v>30.6</v>
      </c>
      <c r="J5" s="358"/>
    </row>
    <row r="6" spans="2:10" x14ac:dyDescent="0.2">
      <c r="B6" s="487" t="s">
        <v>594</v>
      </c>
      <c r="C6" s="488">
        <f>AVERAGE(D6:D7)</f>
        <v>35</v>
      </c>
      <c r="D6" s="488">
        <v>0</v>
      </c>
      <c r="E6" s="489">
        <v>0</v>
      </c>
      <c r="H6" s="359" t="s">
        <v>595</v>
      </c>
      <c r="I6" s="503">
        <f t="shared" ref="I6:I13" si="0">J6*$I$5</f>
        <v>0.79559999999999997</v>
      </c>
      <c r="J6" s="505">
        <v>2.5999999999999999E-2</v>
      </c>
    </row>
    <row r="7" spans="2:10" x14ac:dyDescent="0.2">
      <c r="B7" s="490" t="s">
        <v>596</v>
      </c>
      <c r="C7" s="488">
        <f>AVERAGE(D7:D8)</f>
        <v>90</v>
      </c>
      <c r="D7" s="488">
        <v>70</v>
      </c>
      <c r="E7" s="491">
        <v>6</v>
      </c>
      <c r="H7" s="359" t="s">
        <v>597</v>
      </c>
      <c r="I7" s="503">
        <f t="shared" si="0"/>
        <v>1.4076</v>
      </c>
      <c r="J7" s="505">
        <v>4.5999999999999999E-2</v>
      </c>
    </row>
    <row r="8" spans="2:10" x14ac:dyDescent="0.2">
      <c r="B8" s="490" t="s">
        <v>598</v>
      </c>
      <c r="C8" s="488">
        <f>AVERAGE(D8:D9)</f>
        <v>145</v>
      </c>
      <c r="D8" s="488">
        <v>110</v>
      </c>
      <c r="E8" s="491">
        <v>11</v>
      </c>
      <c r="H8" s="359" t="s">
        <v>599</v>
      </c>
      <c r="I8" s="503">
        <f t="shared" si="0"/>
        <v>7.8642000000000003</v>
      </c>
      <c r="J8" s="505">
        <v>0.25700000000000001</v>
      </c>
    </row>
    <row r="9" spans="2:10" x14ac:dyDescent="0.2">
      <c r="B9" s="490" t="s">
        <v>600</v>
      </c>
      <c r="C9" s="488">
        <f t="shared" ref="C9:C11" si="1">AVERAGE(D9:D10)</f>
        <v>215</v>
      </c>
      <c r="D9" s="488">
        <v>180</v>
      </c>
      <c r="E9" s="491">
        <v>30</v>
      </c>
      <c r="H9" s="359" t="s">
        <v>601</v>
      </c>
      <c r="I9" s="503">
        <f t="shared" si="0"/>
        <v>9.8226000000000013</v>
      </c>
      <c r="J9" s="505">
        <v>0.32100000000000001</v>
      </c>
    </row>
    <row r="10" spans="2:10" x14ac:dyDescent="0.2">
      <c r="B10" s="490" t="s">
        <v>602</v>
      </c>
      <c r="C10" s="495">
        <f t="shared" si="1"/>
        <v>290.5</v>
      </c>
      <c r="D10" s="495">
        <v>250</v>
      </c>
      <c r="E10" s="491">
        <v>50</v>
      </c>
      <c r="H10" s="359" t="s">
        <v>603</v>
      </c>
      <c r="I10" s="503">
        <f t="shared" si="0"/>
        <v>6.4565999999999999</v>
      </c>
      <c r="J10" s="505">
        <v>0.21099999999999999</v>
      </c>
    </row>
    <row r="11" spans="2:10" x14ac:dyDescent="0.2">
      <c r="B11" s="490" t="s">
        <v>604</v>
      </c>
      <c r="C11" s="488">
        <f t="shared" si="1"/>
        <v>331</v>
      </c>
      <c r="D11" s="488">
        <v>331</v>
      </c>
      <c r="E11" s="491">
        <v>70</v>
      </c>
      <c r="H11" s="359" t="s">
        <v>605</v>
      </c>
      <c r="I11" s="503">
        <f t="shared" si="0"/>
        <v>2.4786000000000001</v>
      </c>
      <c r="J11" s="505">
        <v>8.1000000000000003E-2</v>
      </c>
    </row>
    <row r="12" spans="2:10" ht="15" thickBot="1" x14ac:dyDescent="0.25">
      <c r="B12" s="492" t="s">
        <v>606</v>
      </c>
      <c r="C12" s="493">
        <f>500</f>
        <v>500</v>
      </c>
      <c r="D12" s="496" t="s">
        <v>607</v>
      </c>
      <c r="E12" s="494" t="s">
        <v>608</v>
      </c>
      <c r="H12" s="359" t="s">
        <v>609</v>
      </c>
      <c r="I12" s="503">
        <f t="shared" si="0"/>
        <v>1.7442000000000002</v>
      </c>
      <c r="J12" s="505">
        <v>5.7000000000000002E-2</v>
      </c>
    </row>
    <row r="13" spans="2:10" ht="15" thickBot="1" x14ac:dyDescent="0.25">
      <c r="H13" s="361" t="s">
        <v>610</v>
      </c>
      <c r="I13" s="506">
        <f t="shared" si="0"/>
        <v>4.2228000000000003</v>
      </c>
      <c r="J13" s="507">
        <f>J11+J12</f>
        <v>0.13800000000000001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FCA3D-8B54-413F-A5E6-F416ABB8B6A7}">
  <sheetPr>
    <tabColor theme="6" tint="0.59999389629810485"/>
  </sheetPr>
  <dimension ref="A1"/>
  <sheetViews>
    <sheetView workbookViewId="0">
      <selection activeCell="C47" sqref="C47"/>
    </sheetView>
  </sheetViews>
  <sheetFormatPr baseColWidth="10" defaultColWidth="11" defaultRowHeight="14.25" x14ac:dyDescent="0.2"/>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EBB96-CA77-4E52-8844-62DF45300B49}">
  <sheetPr>
    <tabColor theme="5" tint="0.79998168889431442"/>
  </sheetPr>
  <dimension ref="B4:R114"/>
  <sheetViews>
    <sheetView showGridLines="0" topLeftCell="A23" zoomScaleNormal="100" workbookViewId="0">
      <selection activeCell="C47" sqref="C47"/>
    </sheetView>
  </sheetViews>
  <sheetFormatPr baseColWidth="10" defaultColWidth="11" defaultRowHeight="14.25" x14ac:dyDescent="0.2"/>
  <cols>
    <col min="1" max="1" width="5.75" customWidth="1"/>
    <col min="2" max="2" width="59.75" bestFit="1" customWidth="1"/>
    <col min="3" max="3" width="19.5" bestFit="1" customWidth="1"/>
    <col min="4" max="4" width="16.25" customWidth="1"/>
    <col min="5" max="5" width="49.75" bestFit="1" customWidth="1"/>
    <col min="6" max="6" width="20.75" bestFit="1" customWidth="1"/>
    <col min="7" max="7" width="13.625" customWidth="1"/>
    <col min="8" max="8" width="49.75" bestFit="1" customWidth="1"/>
    <col min="9" max="9" width="20.75" bestFit="1" customWidth="1"/>
    <col min="10" max="10" width="13.75" customWidth="1"/>
    <col min="11" max="11" width="6.375" customWidth="1"/>
    <col min="12" max="12" width="10.5" customWidth="1"/>
    <col min="13" max="13" width="37.25" customWidth="1"/>
    <col min="14" max="14" width="25.375" customWidth="1"/>
    <col min="15" max="15" width="23.375" customWidth="1"/>
    <col min="16" max="16" width="41.125" customWidth="1"/>
    <col min="17" max="17" width="23.625" customWidth="1"/>
  </cols>
  <sheetData>
    <row r="4" spans="2:18" ht="18" x14ac:dyDescent="0.25">
      <c r="B4" s="89" t="s">
        <v>611</v>
      </c>
    </row>
    <row r="7" spans="2:18" ht="18" x14ac:dyDescent="0.25">
      <c r="B7" s="1197" t="s">
        <v>612</v>
      </c>
      <c r="C7" s="1197"/>
      <c r="D7" s="1197"/>
      <c r="E7" s="1197"/>
      <c r="F7" s="1197"/>
      <c r="G7" s="1197"/>
      <c r="H7" s="1197"/>
      <c r="I7" s="1197"/>
      <c r="J7" s="1197"/>
      <c r="K7" s="1197"/>
      <c r="L7" s="1197"/>
      <c r="M7" s="1197"/>
      <c r="N7" s="1197"/>
      <c r="O7" s="1197"/>
      <c r="P7" s="1197"/>
      <c r="Q7" s="1197"/>
      <c r="R7" s="1197"/>
    </row>
    <row r="9" spans="2:18" ht="15" x14ac:dyDescent="0.25">
      <c r="B9" s="1" t="s">
        <v>613</v>
      </c>
      <c r="E9" s="1" t="s">
        <v>614</v>
      </c>
      <c r="G9" s="1"/>
      <c r="H9" s="1" t="s">
        <v>615</v>
      </c>
    </row>
    <row r="10" spans="2:18" ht="15" x14ac:dyDescent="0.25">
      <c r="B10" s="249" t="s">
        <v>616</v>
      </c>
      <c r="C10" t="s">
        <v>617</v>
      </c>
      <c r="E10" s="249" t="s">
        <v>616</v>
      </c>
      <c r="F10" t="s">
        <v>618</v>
      </c>
      <c r="H10" s="249" t="s">
        <v>616</v>
      </c>
      <c r="I10" t="s">
        <v>619</v>
      </c>
      <c r="M10" s="1" t="s">
        <v>620</v>
      </c>
      <c r="P10" s="1" t="s">
        <v>621</v>
      </c>
    </row>
    <row r="11" spans="2:18" x14ac:dyDescent="0.2">
      <c r="B11" s="249" t="s">
        <v>622</v>
      </c>
      <c r="C11" t="s">
        <v>623</v>
      </c>
      <c r="E11" s="249" t="s">
        <v>622</v>
      </c>
      <c r="F11" t="s">
        <v>623</v>
      </c>
      <c r="H11" s="249" t="s">
        <v>622</v>
      </c>
      <c r="I11" t="s">
        <v>623</v>
      </c>
      <c r="M11" s="249" t="s">
        <v>616</v>
      </c>
      <c r="N11" t="s">
        <v>624</v>
      </c>
      <c r="P11" s="249" t="s">
        <v>616</v>
      </c>
      <c r="Q11" t="s">
        <v>624</v>
      </c>
    </row>
    <row r="12" spans="2:18" x14ac:dyDescent="0.2">
      <c r="B12" s="249" t="s">
        <v>625</v>
      </c>
      <c r="C12" t="s">
        <v>626</v>
      </c>
      <c r="E12" s="249" t="s">
        <v>625</v>
      </c>
      <c r="F12" t="s">
        <v>626</v>
      </c>
      <c r="H12" s="249" t="s">
        <v>625</v>
      </c>
      <c r="I12" t="s">
        <v>626</v>
      </c>
      <c r="K12" s="1198" t="s">
        <v>627</v>
      </c>
      <c r="M12" s="249" t="s">
        <v>622</v>
      </c>
      <c r="N12" t="s">
        <v>623</v>
      </c>
      <c r="P12" s="249" t="s">
        <v>622</v>
      </c>
      <c r="Q12" t="s">
        <v>623</v>
      </c>
    </row>
    <row r="13" spans="2:18" x14ac:dyDescent="0.2">
      <c r="B13" s="249" t="s">
        <v>628</v>
      </c>
      <c r="C13" t="s">
        <v>629</v>
      </c>
      <c r="E13" s="249" t="s">
        <v>628</v>
      </c>
      <c r="F13" t="s">
        <v>629</v>
      </c>
      <c r="H13" s="249" t="s">
        <v>628</v>
      </c>
      <c r="I13" t="s">
        <v>629</v>
      </c>
      <c r="K13" s="1198"/>
      <c r="M13" s="249" t="s">
        <v>625</v>
      </c>
      <c r="N13" t="s">
        <v>626</v>
      </c>
      <c r="P13" s="249" t="s">
        <v>625</v>
      </c>
      <c r="Q13" t="s">
        <v>630</v>
      </c>
    </row>
    <row r="14" spans="2:18" x14ac:dyDescent="0.2">
      <c r="B14" s="249" t="s">
        <v>631</v>
      </c>
      <c r="C14" t="s">
        <v>629</v>
      </c>
      <c r="E14" s="249" t="s">
        <v>631</v>
      </c>
      <c r="F14" t="s">
        <v>629</v>
      </c>
      <c r="H14" s="249" t="s">
        <v>631</v>
      </c>
      <c r="I14" t="s">
        <v>629</v>
      </c>
      <c r="K14" s="1198"/>
      <c r="M14" s="249" t="s">
        <v>628</v>
      </c>
      <c r="N14" t="s">
        <v>629</v>
      </c>
      <c r="P14" s="249" t="s">
        <v>628</v>
      </c>
      <c r="Q14" t="s">
        <v>629</v>
      </c>
    </row>
    <row r="15" spans="2:18" x14ac:dyDescent="0.2">
      <c r="B15" s="249" t="s">
        <v>632</v>
      </c>
      <c r="C15" t="s">
        <v>629</v>
      </c>
      <c r="E15" s="249" t="s">
        <v>632</v>
      </c>
      <c r="F15" t="s">
        <v>629</v>
      </c>
      <c r="H15" s="249" t="s">
        <v>632</v>
      </c>
      <c r="I15" t="s">
        <v>629</v>
      </c>
      <c r="K15" s="1198"/>
      <c r="M15" s="249" t="s">
        <v>631</v>
      </c>
      <c r="N15" t="s">
        <v>629</v>
      </c>
      <c r="P15" s="249" t="s">
        <v>631</v>
      </c>
      <c r="Q15" t="s">
        <v>629</v>
      </c>
    </row>
    <row r="16" spans="2:18" x14ac:dyDescent="0.2">
      <c r="B16" s="249" t="s">
        <v>633</v>
      </c>
      <c r="C16" t="s">
        <v>629</v>
      </c>
      <c r="E16" s="249" t="s">
        <v>633</v>
      </c>
      <c r="F16" t="s">
        <v>629</v>
      </c>
      <c r="H16" s="249" t="s">
        <v>633</v>
      </c>
      <c r="I16" t="s">
        <v>629</v>
      </c>
      <c r="K16" s="1198"/>
      <c r="M16" s="249" t="s">
        <v>632</v>
      </c>
      <c r="N16" t="s">
        <v>629</v>
      </c>
      <c r="P16" s="249" t="s">
        <v>632</v>
      </c>
      <c r="Q16" t="s">
        <v>629</v>
      </c>
    </row>
    <row r="17" spans="2:17" x14ac:dyDescent="0.2">
      <c r="B17" s="249" t="s">
        <v>634</v>
      </c>
      <c r="C17" t="s">
        <v>629</v>
      </c>
      <c r="E17" s="249" t="s">
        <v>634</v>
      </c>
      <c r="F17" t="s">
        <v>629</v>
      </c>
      <c r="H17" s="249" t="s">
        <v>634</v>
      </c>
      <c r="I17" t="s">
        <v>629</v>
      </c>
      <c r="K17" s="1198"/>
      <c r="M17" s="249" t="s">
        <v>633</v>
      </c>
      <c r="N17" t="s">
        <v>629</v>
      </c>
      <c r="P17" s="249" t="s">
        <v>633</v>
      </c>
      <c r="Q17" t="s">
        <v>629</v>
      </c>
    </row>
    <row r="18" spans="2:17" x14ac:dyDescent="0.2">
      <c r="K18" s="1198"/>
      <c r="M18" s="249" t="s">
        <v>634</v>
      </c>
      <c r="N18" t="s">
        <v>629</v>
      </c>
      <c r="P18" s="249" t="s">
        <v>634</v>
      </c>
      <c r="Q18" t="s">
        <v>629</v>
      </c>
    </row>
    <row r="19" spans="2:17" x14ac:dyDescent="0.2">
      <c r="B19" s="249" t="s">
        <v>635</v>
      </c>
      <c r="E19" s="249" t="s">
        <v>635</v>
      </c>
      <c r="H19" s="249" t="s">
        <v>635</v>
      </c>
      <c r="K19" s="1198"/>
    </row>
    <row r="20" spans="2:17" x14ac:dyDescent="0.2">
      <c r="B20" s="250" t="s">
        <v>626</v>
      </c>
      <c r="E20" s="250" t="s">
        <v>626</v>
      </c>
      <c r="H20" s="250" t="s">
        <v>626</v>
      </c>
      <c r="K20" s="1198"/>
      <c r="M20" s="249" t="s">
        <v>635</v>
      </c>
      <c r="P20" s="249" t="s">
        <v>635</v>
      </c>
    </row>
    <row r="21" spans="2:17" x14ac:dyDescent="0.2">
      <c r="B21" s="94" t="s">
        <v>198</v>
      </c>
      <c r="E21" s="94" t="s">
        <v>198</v>
      </c>
      <c r="H21" s="94" t="s">
        <v>198</v>
      </c>
      <c r="K21" s="1198"/>
      <c r="M21" s="250" t="s">
        <v>626</v>
      </c>
      <c r="N21" s="93">
        <f>AVERAGE(M23:M27)</f>
        <v>0.19227484032662301</v>
      </c>
      <c r="P21" s="250" t="s">
        <v>636</v>
      </c>
      <c r="Q21" s="93">
        <f>AVERAGE(P23:P27)</f>
        <v>0.20262238840490329</v>
      </c>
    </row>
    <row r="22" spans="2:17" x14ac:dyDescent="0.2">
      <c r="B22" s="251">
        <v>0.17857142857142858</v>
      </c>
      <c r="E22" s="251">
        <v>0.16842105263157894</v>
      </c>
      <c r="H22" s="677">
        <v>0.23333333333333334</v>
      </c>
      <c r="K22" s="1198"/>
      <c r="M22" s="94" t="s">
        <v>198</v>
      </c>
      <c r="P22" s="94" t="s">
        <v>198</v>
      </c>
    </row>
    <row r="23" spans="2:17" x14ac:dyDescent="0.2">
      <c r="B23" s="250" t="s">
        <v>637</v>
      </c>
      <c r="E23" s="250" t="s">
        <v>637</v>
      </c>
      <c r="H23" s="250" t="s">
        <v>637</v>
      </c>
      <c r="K23" s="1198"/>
      <c r="M23" s="677">
        <v>0.16842105263157894</v>
      </c>
      <c r="P23" s="677">
        <v>0.14285714285714285</v>
      </c>
    </row>
    <row r="24" spans="2:17" x14ac:dyDescent="0.2">
      <c r="B24" s="94" t="s">
        <v>198</v>
      </c>
      <c r="E24" s="94" t="s">
        <v>198</v>
      </c>
      <c r="H24" s="94" t="s">
        <v>198</v>
      </c>
      <c r="K24" s="1198"/>
      <c r="M24" s="677">
        <v>0.17857142857142858</v>
      </c>
      <c r="P24" s="677">
        <v>0.19642857142857142</v>
      </c>
    </row>
    <row r="25" spans="2:17" ht="15" x14ac:dyDescent="0.25">
      <c r="B25" s="251">
        <v>0.30357142857142855</v>
      </c>
      <c r="E25" s="251">
        <v>0.26315789473684209</v>
      </c>
      <c r="G25" s="1"/>
      <c r="H25" s="677">
        <v>0.4</v>
      </c>
      <c r="K25" s="1198"/>
      <c r="M25" s="677">
        <v>0.1875</v>
      </c>
      <c r="P25" s="677">
        <v>0.2</v>
      </c>
    </row>
    <row r="26" spans="2:17" ht="15" x14ac:dyDescent="0.25">
      <c r="B26" s="250" t="s">
        <v>638</v>
      </c>
      <c r="E26" s="250" t="s">
        <v>638</v>
      </c>
      <c r="G26" s="1"/>
      <c r="H26" s="250" t="s">
        <v>638</v>
      </c>
      <c r="K26" s="1198"/>
      <c r="M26" s="677">
        <v>0.19354838709677419</v>
      </c>
      <c r="P26" s="677">
        <v>0.23529411764705882</v>
      </c>
    </row>
    <row r="27" spans="2:17" ht="15" x14ac:dyDescent="0.25">
      <c r="G27" s="1"/>
      <c r="K27" s="1198"/>
      <c r="M27" s="677">
        <v>0.23333333333333334</v>
      </c>
      <c r="P27" s="677">
        <v>0.23853211009174313</v>
      </c>
    </row>
    <row r="28" spans="2:17" ht="15" x14ac:dyDescent="0.25">
      <c r="G28" s="1"/>
      <c r="K28" s="1198"/>
      <c r="M28" s="250" t="s">
        <v>637</v>
      </c>
      <c r="N28" s="93">
        <f>AVERAGE(M30:M34)</f>
        <v>0.34576521950036376</v>
      </c>
      <c r="P28" s="250" t="s">
        <v>630</v>
      </c>
      <c r="Q28" s="93">
        <f>AVERAGE(P30:P34)</f>
        <v>0.14075202275687976</v>
      </c>
    </row>
    <row r="29" spans="2:17" ht="15" x14ac:dyDescent="0.25">
      <c r="G29" s="1"/>
      <c r="K29" s="1198"/>
      <c r="M29" s="94" t="s">
        <v>198</v>
      </c>
      <c r="P29" s="94" t="s">
        <v>198</v>
      </c>
    </row>
    <row r="30" spans="2:17" ht="15" x14ac:dyDescent="0.25">
      <c r="G30" s="1"/>
      <c r="K30" s="1198"/>
      <c r="M30" s="677">
        <v>0.26315789473684209</v>
      </c>
      <c r="P30" s="677">
        <v>0.12307692307692308</v>
      </c>
    </row>
    <row r="31" spans="2:17" ht="15" x14ac:dyDescent="0.25">
      <c r="G31" s="1"/>
      <c r="K31" s="1198"/>
      <c r="M31" s="677">
        <v>0.30357142857142855</v>
      </c>
      <c r="P31" s="677">
        <v>0.125</v>
      </c>
    </row>
    <row r="32" spans="2:17" ht="15" x14ac:dyDescent="0.25">
      <c r="G32" s="1"/>
      <c r="K32" s="1198"/>
      <c r="M32" s="677">
        <v>0.375</v>
      </c>
      <c r="P32" s="677">
        <v>0.14285714285714285</v>
      </c>
    </row>
    <row r="33" spans="2:17" ht="15" x14ac:dyDescent="0.25">
      <c r="G33" s="1"/>
      <c r="K33" s="1198"/>
      <c r="M33" s="677">
        <v>0.38709677419354838</v>
      </c>
      <c r="P33" s="677">
        <v>0.15596330275229359</v>
      </c>
    </row>
    <row r="34" spans="2:17" x14ac:dyDescent="0.2">
      <c r="K34" s="1198"/>
      <c r="M34" s="677">
        <v>0.4</v>
      </c>
      <c r="P34" s="677">
        <v>0.15686274509803921</v>
      </c>
    </row>
    <row r="35" spans="2:17" x14ac:dyDescent="0.2">
      <c r="K35" s="1198"/>
      <c r="M35" s="250" t="s">
        <v>638</v>
      </c>
      <c r="P35" s="250" t="s">
        <v>639</v>
      </c>
      <c r="Q35" s="93">
        <f>AVERAGE(P37:P41)</f>
        <v>0.89438449480003723</v>
      </c>
    </row>
    <row r="36" spans="2:17" x14ac:dyDescent="0.2">
      <c r="K36" s="1198"/>
      <c r="P36" s="94" t="s">
        <v>198</v>
      </c>
    </row>
    <row r="37" spans="2:17" x14ac:dyDescent="0.2">
      <c r="K37" s="1198"/>
      <c r="P37" s="677">
        <v>0.88571428571428568</v>
      </c>
    </row>
    <row r="38" spans="2:17" ht="15" x14ac:dyDescent="0.25">
      <c r="B38" s="1" t="s">
        <v>640</v>
      </c>
      <c r="E38" s="1" t="s">
        <v>641</v>
      </c>
      <c r="H38" s="1" t="s">
        <v>642</v>
      </c>
      <c r="K38" s="1198"/>
      <c r="P38" s="677">
        <v>0.89230769230769236</v>
      </c>
    </row>
    <row r="39" spans="2:17" x14ac:dyDescent="0.2">
      <c r="B39" s="249" t="s">
        <v>616</v>
      </c>
      <c r="C39" t="s">
        <v>617</v>
      </c>
      <c r="E39" s="249" t="s">
        <v>616</v>
      </c>
      <c r="F39" t="s">
        <v>618</v>
      </c>
      <c r="H39" s="249" t="s">
        <v>616</v>
      </c>
      <c r="I39" t="s">
        <v>619</v>
      </c>
      <c r="K39" s="1198"/>
      <c r="P39" s="677">
        <v>0.8928571428571429</v>
      </c>
    </row>
    <row r="40" spans="2:17" x14ac:dyDescent="0.2">
      <c r="B40" s="249" t="s">
        <v>622</v>
      </c>
      <c r="C40" t="s">
        <v>623</v>
      </c>
      <c r="E40" s="249" t="s">
        <v>622</v>
      </c>
      <c r="F40" t="s">
        <v>623</v>
      </c>
      <c r="H40" s="249" t="s">
        <v>622</v>
      </c>
      <c r="I40" t="s">
        <v>623</v>
      </c>
      <c r="K40" s="1198"/>
      <c r="P40" s="677">
        <v>0.8990825688073395</v>
      </c>
    </row>
    <row r="41" spans="2:17" x14ac:dyDescent="0.2">
      <c r="B41" s="249" t="s">
        <v>625</v>
      </c>
      <c r="C41" t="s">
        <v>630</v>
      </c>
      <c r="E41" s="249" t="s">
        <v>625</v>
      </c>
      <c r="F41" t="s">
        <v>630</v>
      </c>
      <c r="H41" s="249" t="s">
        <v>625</v>
      </c>
      <c r="I41" t="s">
        <v>630</v>
      </c>
      <c r="K41" s="1198"/>
      <c r="P41" s="677">
        <v>0.90196078431372551</v>
      </c>
    </row>
    <row r="42" spans="2:17" x14ac:dyDescent="0.2">
      <c r="B42" s="249" t="s">
        <v>628</v>
      </c>
      <c r="C42" t="s">
        <v>629</v>
      </c>
      <c r="E42" s="249" t="s">
        <v>628</v>
      </c>
      <c r="F42" t="s">
        <v>468</v>
      </c>
      <c r="H42" s="249" t="s">
        <v>628</v>
      </c>
      <c r="I42" t="s">
        <v>468</v>
      </c>
      <c r="K42" s="1198"/>
      <c r="P42" s="250" t="s">
        <v>643</v>
      </c>
      <c r="Q42" s="93">
        <f>AVERAGE(P44:P47)</f>
        <v>0.68596269533070675</v>
      </c>
    </row>
    <row r="43" spans="2:17" x14ac:dyDescent="0.2">
      <c r="B43" s="249" t="s">
        <v>631</v>
      </c>
      <c r="C43" t="s">
        <v>629</v>
      </c>
      <c r="E43" s="249" t="s">
        <v>631</v>
      </c>
      <c r="F43" t="s">
        <v>468</v>
      </c>
      <c r="H43" s="249" t="s">
        <v>631</v>
      </c>
      <c r="I43" t="s">
        <v>468</v>
      </c>
      <c r="K43" s="1198"/>
      <c r="P43" s="94" t="s">
        <v>198</v>
      </c>
    </row>
    <row r="44" spans="2:17" x14ac:dyDescent="0.2">
      <c r="B44" s="249" t="s">
        <v>632</v>
      </c>
      <c r="C44" t="s">
        <v>629</v>
      </c>
      <c r="E44" s="249" t="s">
        <v>632</v>
      </c>
      <c r="F44" t="s">
        <v>468</v>
      </c>
      <c r="H44" s="249" t="s">
        <v>632</v>
      </c>
      <c r="I44" t="s">
        <v>468</v>
      </c>
      <c r="K44" s="1198"/>
      <c r="P44" s="677">
        <v>0.66684866369781837</v>
      </c>
    </row>
    <row r="45" spans="2:17" x14ac:dyDescent="0.2">
      <c r="B45" s="249" t="s">
        <v>633</v>
      </c>
      <c r="C45" t="s">
        <v>629</v>
      </c>
      <c r="E45" s="249" t="s">
        <v>633</v>
      </c>
      <c r="F45" t="s">
        <v>468</v>
      </c>
      <c r="H45" s="249" t="s">
        <v>633</v>
      </c>
      <c r="I45" t="s">
        <v>468</v>
      </c>
      <c r="K45" s="1198"/>
      <c r="P45" s="677">
        <v>0.68219930800619788</v>
      </c>
    </row>
    <row r="46" spans="2:17" x14ac:dyDescent="0.2">
      <c r="B46" s="249" t="s">
        <v>634</v>
      </c>
      <c r="C46" t="s">
        <v>629</v>
      </c>
      <c r="E46" s="249" t="s">
        <v>634</v>
      </c>
      <c r="F46" t="s">
        <v>468</v>
      </c>
      <c r="H46" s="249" t="s">
        <v>634</v>
      </c>
      <c r="I46" t="s">
        <v>468</v>
      </c>
      <c r="K46" s="1198"/>
      <c r="P46" s="677">
        <v>0.68471409784511039</v>
      </c>
    </row>
    <row r="47" spans="2:17" x14ac:dyDescent="0.2">
      <c r="K47" s="1198"/>
      <c r="P47" s="677">
        <v>0.71008871177370014</v>
      </c>
    </row>
    <row r="48" spans="2:17" x14ac:dyDescent="0.2">
      <c r="B48" s="249" t="s">
        <v>635</v>
      </c>
      <c r="E48" s="249" t="s">
        <v>635</v>
      </c>
      <c r="H48" s="249" t="s">
        <v>635</v>
      </c>
      <c r="K48" s="1198"/>
      <c r="P48" s="250" t="s">
        <v>644</v>
      </c>
      <c r="Q48" s="93">
        <f>P50</f>
        <v>0.66153846153846152</v>
      </c>
    </row>
    <row r="49" spans="2:16" x14ac:dyDescent="0.2">
      <c r="B49" s="250" t="s">
        <v>636</v>
      </c>
      <c r="E49" s="250" t="s">
        <v>636</v>
      </c>
      <c r="H49" s="250" t="s">
        <v>636</v>
      </c>
      <c r="K49" s="1198"/>
      <c r="P49" s="94" t="s">
        <v>198</v>
      </c>
    </row>
    <row r="50" spans="2:16" x14ac:dyDescent="0.2">
      <c r="B50" s="94" t="s">
        <v>198</v>
      </c>
      <c r="E50" s="94" t="s">
        <v>198</v>
      </c>
      <c r="H50" s="94" t="s">
        <v>198</v>
      </c>
      <c r="K50" s="1198"/>
      <c r="P50" s="677">
        <v>0.66153846153846152</v>
      </c>
    </row>
    <row r="51" spans="2:16" x14ac:dyDescent="0.2">
      <c r="B51" s="677">
        <v>0.19642857142857142</v>
      </c>
      <c r="E51" s="251">
        <v>0.84403669724770647</v>
      </c>
      <c r="H51" s="251">
        <v>0.7384615384615385</v>
      </c>
      <c r="K51" s="1198"/>
      <c r="P51" s="250" t="s">
        <v>638</v>
      </c>
    </row>
    <row r="52" spans="2:16" x14ac:dyDescent="0.2">
      <c r="B52" s="250" t="s">
        <v>630</v>
      </c>
      <c r="E52" s="250" t="s">
        <v>630</v>
      </c>
      <c r="H52" s="250" t="s">
        <v>630</v>
      </c>
      <c r="K52" s="1198"/>
      <c r="P52" s="678"/>
    </row>
    <row r="53" spans="2:16" x14ac:dyDescent="0.2">
      <c r="B53" s="94" t="s">
        <v>198</v>
      </c>
      <c r="E53" s="94" t="s">
        <v>645</v>
      </c>
      <c r="H53" s="94" t="s">
        <v>645</v>
      </c>
      <c r="K53" s="1198"/>
      <c r="N53" s="678"/>
      <c r="O53" s="678"/>
    </row>
    <row r="54" spans="2:16" x14ac:dyDescent="0.2">
      <c r="B54" s="677">
        <v>0.125</v>
      </c>
      <c r="E54" s="251">
        <v>0.66972477064220182</v>
      </c>
      <c r="H54" s="251">
        <v>0.6</v>
      </c>
      <c r="K54" s="1198"/>
      <c r="N54" s="678"/>
      <c r="O54" s="678"/>
    </row>
    <row r="55" spans="2:16" x14ac:dyDescent="0.2">
      <c r="B55" s="250" t="s">
        <v>639</v>
      </c>
      <c r="E55" s="94" t="s">
        <v>198</v>
      </c>
      <c r="H55" s="94" t="s">
        <v>198</v>
      </c>
      <c r="K55" s="1198"/>
      <c r="N55" s="677"/>
      <c r="O55" s="677"/>
    </row>
    <row r="56" spans="2:16" x14ac:dyDescent="0.2">
      <c r="B56" s="94" t="s">
        <v>198</v>
      </c>
      <c r="E56" s="251">
        <v>0.79816513761467889</v>
      </c>
      <c r="H56" s="251">
        <v>0.66153846153846152</v>
      </c>
    </row>
    <row r="57" spans="2:16" x14ac:dyDescent="0.2">
      <c r="B57" s="677">
        <v>0.8928571428571429</v>
      </c>
      <c r="E57" s="250" t="s">
        <v>639</v>
      </c>
      <c r="H57" s="250" t="s">
        <v>639</v>
      </c>
    </row>
    <row r="58" spans="2:16" x14ac:dyDescent="0.2">
      <c r="B58" s="250" t="s">
        <v>643</v>
      </c>
      <c r="E58" s="94" t="s">
        <v>198</v>
      </c>
      <c r="H58" s="94" t="s">
        <v>198</v>
      </c>
    </row>
    <row r="59" spans="2:16" x14ac:dyDescent="0.2">
      <c r="B59" s="94" t="s">
        <v>198</v>
      </c>
      <c r="E59" s="251">
        <v>0.97247706422018354</v>
      </c>
      <c r="H59" s="251">
        <v>0.96923076923076923</v>
      </c>
    </row>
    <row r="60" spans="2:16" x14ac:dyDescent="0.2">
      <c r="B60" s="677">
        <v>0.68471409784511039</v>
      </c>
      <c r="E60" s="250" t="s">
        <v>643</v>
      </c>
      <c r="H60" s="250" t="s">
        <v>643</v>
      </c>
    </row>
    <row r="61" spans="2:16" x14ac:dyDescent="0.2">
      <c r="B61" s="250" t="s">
        <v>638</v>
      </c>
      <c r="E61" s="94" t="s">
        <v>198</v>
      </c>
      <c r="H61" s="94" t="s">
        <v>198</v>
      </c>
    </row>
    <row r="62" spans="2:16" x14ac:dyDescent="0.2">
      <c r="E62" s="251">
        <v>0.88882582951070332</v>
      </c>
      <c r="H62" s="251">
        <v>0.8530134958791209</v>
      </c>
    </row>
    <row r="63" spans="2:16" x14ac:dyDescent="0.2">
      <c r="E63" s="250" t="s">
        <v>638</v>
      </c>
      <c r="H63" s="250" t="s">
        <v>638</v>
      </c>
    </row>
    <row r="66" spans="2:18" ht="18" x14ac:dyDescent="0.25">
      <c r="B66" s="1197" t="s">
        <v>646</v>
      </c>
      <c r="C66" s="1197"/>
      <c r="D66" s="1197"/>
      <c r="E66" s="1197"/>
      <c r="F66" s="1197"/>
      <c r="G66" s="1197"/>
      <c r="H66" s="1197"/>
      <c r="I66" s="1197"/>
      <c r="J66" s="1197"/>
      <c r="K66" s="1197"/>
      <c r="L66" s="1197"/>
      <c r="M66" s="1197"/>
      <c r="N66" s="1197"/>
      <c r="O66" s="1197"/>
      <c r="P66" s="1197"/>
      <c r="Q66" s="1197"/>
      <c r="R66" s="1197"/>
    </row>
    <row r="69" spans="2:18" ht="15" x14ac:dyDescent="0.25">
      <c r="M69" s="1" t="s">
        <v>621</v>
      </c>
    </row>
    <row r="70" spans="2:18" x14ac:dyDescent="0.2">
      <c r="M70" s="249" t="s">
        <v>616</v>
      </c>
      <c r="N70" t="s">
        <v>624</v>
      </c>
    </row>
    <row r="71" spans="2:18" x14ac:dyDescent="0.2">
      <c r="M71" s="249" t="s">
        <v>622</v>
      </c>
      <c r="N71" t="s">
        <v>623</v>
      </c>
    </row>
    <row r="72" spans="2:18" x14ac:dyDescent="0.2">
      <c r="M72" s="249" t="s">
        <v>625</v>
      </c>
      <c r="N72" t="s">
        <v>630</v>
      </c>
    </row>
    <row r="73" spans="2:18" x14ac:dyDescent="0.2">
      <c r="M73" s="249" t="s">
        <v>628</v>
      </c>
      <c r="N73" t="s">
        <v>468</v>
      </c>
    </row>
    <row r="74" spans="2:18" x14ac:dyDescent="0.2">
      <c r="M74" s="249" t="s">
        <v>631</v>
      </c>
      <c r="N74" t="s">
        <v>468</v>
      </c>
    </row>
    <row r="75" spans="2:18" x14ac:dyDescent="0.2">
      <c r="M75" s="249" t="s">
        <v>632</v>
      </c>
      <c r="N75" t="s">
        <v>468</v>
      </c>
    </row>
    <row r="76" spans="2:18" x14ac:dyDescent="0.2">
      <c r="M76" s="249" t="s">
        <v>633</v>
      </c>
      <c r="N76" t="s">
        <v>468</v>
      </c>
    </row>
    <row r="77" spans="2:18" x14ac:dyDescent="0.2">
      <c r="M77" s="249" t="s">
        <v>634</v>
      </c>
      <c r="N77" t="s">
        <v>468</v>
      </c>
    </row>
    <row r="79" spans="2:18" x14ac:dyDescent="0.2">
      <c r="M79" s="249" t="s">
        <v>635</v>
      </c>
    </row>
    <row r="80" spans="2:18" x14ac:dyDescent="0.2">
      <c r="M80" s="250" t="s">
        <v>636</v>
      </c>
    </row>
    <row r="81" spans="13:14" x14ac:dyDescent="0.2">
      <c r="M81" s="94" t="s">
        <v>198</v>
      </c>
      <c r="N81" s="93">
        <f>AVERAGE(M82:M86)</f>
        <v>0.76051925498498618</v>
      </c>
    </row>
    <row r="82" spans="13:14" x14ac:dyDescent="0.2">
      <c r="M82" s="251">
        <v>0.7321428571428571</v>
      </c>
    </row>
    <row r="83" spans="13:14" x14ac:dyDescent="0.2">
      <c r="M83" s="251">
        <v>0.7384615384615385</v>
      </c>
    </row>
    <row r="84" spans="13:14" x14ac:dyDescent="0.2">
      <c r="M84" s="251">
        <v>0.74285714285714288</v>
      </c>
    </row>
    <row r="85" spans="13:14" x14ac:dyDescent="0.2">
      <c r="M85" s="251">
        <v>0.74509803921568629</v>
      </c>
    </row>
    <row r="86" spans="13:14" x14ac:dyDescent="0.2">
      <c r="M86" s="251">
        <v>0.84403669724770647</v>
      </c>
    </row>
    <row r="87" spans="13:14" x14ac:dyDescent="0.2">
      <c r="M87" s="250" t="s">
        <v>630</v>
      </c>
    </row>
    <row r="88" spans="13:14" x14ac:dyDescent="0.2">
      <c r="M88" s="94" t="s">
        <v>645</v>
      </c>
      <c r="N88" s="93">
        <f>AVERAGE(M89:M93)</f>
        <v>0.60159201295196973</v>
      </c>
    </row>
    <row r="89" spans="13:14" x14ac:dyDescent="0.2">
      <c r="M89" s="251">
        <v>0.54285714285714282</v>
      </c>
    </row>
    <row r="90" spans="13:14" x14ac:dyDescent="0.2">
      <c r="M90" s="251">
        <v>0.58823529411764708</v>
      </c>
    </row>
    <row r="91" spans="13:14" x14ac:dyDescent="0.2">
      <c r="M91" s="251">
        <v>0.6</v>
      </c>
    </row>
    <row r="92" spans="13:14" x14ac:dyDescent="0.2">
      <c r="M92" s="251">
        <v>0.6071428571428571</v>
      </c>
    </row>
    <row r="93" spans="13:14" x14ac:dyDescent="0.2">
      <c r="M93" s="251">
        <v>0.66972477064220182</v>
      </c>
    </row>
    <row r="94" spans="13:14" x14ac:dyDescent="0.2">
      <c r="M94" s="94" t="s">
        <v>198</v>
      </c>
      <c r="N94" s="93">
        <f>AVERAGE(M95:M99)</f>
        <v>0.6792096273936532</v>
      </c>
    </row>
    <row r="95" spans="13:14" x14ac:dyDescent="0.2">
      <c r="M95" s="251">
        <v>0.62857142857142856</v>
      </c>
    </row>
    <row r="96" spans="13:14" x14ac:dyDescent="0.2">
      <c r="M96" s="251">
        <v>0.6470588235294118</v>
      </c>
    </row>
    <row r="97" spans="13:14" x14ac:dyDescent="0.2">
      <c r="M97" s="251">
        <v>0.6607142857142857</v>
      </c>
    </row>
    <row r="98" spans="13:14" x14ac:dyDescent="0.2">
      <c r="M98" s="251">
        <v>0.66153846153846152</v>
      </c>
    </row>
    <row r="99" spans="13:14" x14ac:dyDescent="0.2">
      <c r="M99" s="251">
        <v>0.79816513761467889</v>
      </c>
    </row>
    <row r="100" spans="13:14" x14ac:dyDescent="0.2">
      <c r="M100" s="250" t="s">
        <v>639</v>
      </c>
    </row>
    <row r="101" spans="13:14" x14ac:dyDescent="0.2">
      <c r="M101" s="94" t="s">
        <v>198</v>
      </c>
      <c r="N101" s="93">
        <f>AVERAGE(M102:M106)</f>
        <v>0.96764128657814585</v>
      </c>
    </row>
    <row r="102" spans="13:14" x14ac:dyDescent="0.2">
      <c r="M102" s="251">
        <v>0.96078431372549022</v>
      </c>
    </row>
    <row r="103" spans="13:14" x14ac:dyDescent="0.2">
      <c r="M103" s="251">
        <v>0.9642857142857143</v>
      </c>
    </row>
    <row r="104" spans="13:14" x14ac:dyDescent="0.2">
      <c r="M104" s="251">
        <v>0.96923076923076923</v>
      </c>
    </row>
    <row r="105" spans="13:14" x14ac:dyDescent="0.2">
      <c r="M105" s="251">
        <v>0.97142857142857142</v>
      </c>
    </row>
    <row r="106" spans="13:14" x14ac:dyDescent="0.2">
      <c r="M106" s="251">
        <v>0.97247706422018354</v>
      </c>
    </row>
    <row r="107" spans="13:14" x14ac:dyDescent="0.2">
      <c r="M107" s="250" t="s">
        <v>643</v>
      </c>
      <c r="N107" s="93">
        <f>AVERAGE(M109:M112)</f>
        <v>0.85929384428771616</v>
      </c>
    </row>
    <row r="108" spans="13:14" x14ac:dyDescent="0.2">
      <c r="M108" s="94" t="s">
        <v>198</v>
      </c>
    </row>
    <row r="109" spans="13:14" x14ac:dyDescent="0.2">
      <c r="M109" s="251">
        <v>0.81586462307371921</v>
      </c>
    </row>
    <row r="110" spans="13:14" x14ac:dyDescent="0.2">
      <c r="M110" s="251">
        <v>0.8530134958791209</v>
      </c>
    </row>
    <row r="111" spans="13:14" x14ac:dyDescent="0.2">
      <c r="M111" s="251">
        <v>0.87947142868732109</v>
      </c>
    </row>
    <row r="112" spans="13:14" x14ac:dyDescent="0.2">
      <c r="M112" s="251">
        <v>0.88882582951070332</v>
      </c>
    </row>
    <row r="113" spans="13:13" x14ac:dyDescent="0.2">
      <c r="M113" s="251" t="s">
        <v>647</v>
      </c>
    </row>
    <row r="114" spans="13:13" x14ac:dyDescent="0.2">
      <c r="M114" s="250" t="s">
        <v>638</v>
      </c>
    </row>
  </sheetData>
  <mergeCells count="3">
    <mergeCell ref="B7:R7"/>
    <mergeCell ref="B66:R66"/>
    <mergeCell ref="K12:K55"/>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6B2C2-DA99-4FAF-ADA8-B8E5E312B4A7}">
  <dimension ref="A1:L39"/>
  <sheetViews>
    <sheetView zoomScale="90" zoomScaleNormal="90" workbookViewId="0">
      <selection activeCell="F66" sqref="F66"/>
    </sheetView>
  </sheetViews>
  <sheetFormatPr baseColWidth="10" defaultColWidth="11" defaultRowHeight="14.25" x14ac:dyDescent="0.2"/>
  <cols>
    <col min="1" max="1" width="46.125" customWidth="1"/>
    <col min="2" max="2" width="13.125" bestFit="1" customWidth="1"/>
    <col min="3" max="3" width="12.875" customWidth="1"/>
    <col min="4" max="4" width="22.25" bestFit="1" customWidth="1"/>
    <col min="5" max="5" width="28" customWidth="1"/>
    <col min="6" max="6" width="24.875" customWidth="1"/>
    <col min="7" max="7" width="21.375" bestFit="1" customWidth="1"/>
    <col min="8" max="8" width="15.375" bestFit="1" customWidth="1"/>
    <col min="9" max="9" width="19.75" bestFit="1" customWidth="1"/>
    <col min="10" max="10" width="12.375" bestFit="1" customWidth="1"/>
    <col min="11" max="11" width="24" customWidth="1"/>
    <col min="12" max="12" width="22.5" customWidth="1"/>
  </cols>
  <sheetData>
    <row r="1" spans="1:12" ht="15" x14ac:dyDescent="0.25">
      <c r="A1" s="674" t="s">
        <v>648</v>
      </c>
    </row>
    <row r="2" spans="1:12" x14ac:dyDescent="0.2">
      <c r="F2" s="1199" t="s">
        <v>649</v>
      </c>
      <c r="G2" s="1199"/>
      <c r="H2" s="1199"/>
      <c r="I2" s="1199"/>
      <c r="J2" s="1199"/>
      <c r="K2" s="1200" t="s">
        <v>650</v>
      </c>
      <c r="L2" s="1200"/>
    </row>
    <row r="3" spans="1:12" x14ac:dyDescent="0.2">
      <c r="C3" s="15" t="s">
        <v>651</v>
      </c>
      <c r="D3" s="15" t="s">
        <v>652</v>
      </c>
      <c r="E3" s="15" t="s">
        <v>653</v>
      </c>
      <c r="F3" s="675" t="s">
        <v>654</v>
      </c>
      <c r="G3" s="15" t="s">
        <v>655</v>
      </c>
      <c r="H3" s="15" t="s">
        <v>656</v>
      </c>
      <c r="I3" s="15" t="s">
        <v>657</v>
      </c>
      <c r="J3" s="15" t="s">
        <v>658</v>
      </c>
      <c r="K3" s="15" t="s">
        <v>659</v>
      </c>
      <c r="L3" s="15" t="s">
        <v>660</v>
      </c>
    </row>
    <row r="4" spans="1:12" x14ac:dyDescent="0.2">
      <c r="A4" s="1201" t="s">
        <v>661</v>
      </c>
      <c r="B4" s="15" t="s">
        <v>617</v>
      </c>
      <c r="C4" s="15">
        <v>100</v>
      </c>
      <c r="D4" s="15">
        <f>2*490</f>
        <v>980</v>
      </c>
      <c r="E4" s="15" t="s">
        <v>662</v>
      </c>
      <c r="F4" s="676">
        <f>B$31/2+B$28*C31</f>
        <v>107750</v>
      </c>
      <c r="G4" s="230">
        <f>F4+B$18*D4</f>
        <v>254750</v>
      </c>
      <c r="H4" s="230">
        <f>G4+B37*D4*(B$19+B$20/2)</f>
        <v>371370</v>
      </c>
      <c r="I4" s="230">
        <f>G4+C4*B$26*B$27</f>
        <v>364750</v>
      </c>
      <c r="J4" s="230">
        <f t="shared" ref="J4:J9" si="0">F4+(B$19+B$20)*D4*B$39</f>
        <v>656550</v>
      </c>
      <c r="K4" s="15">
        <f>((B$23+B$24)*C4+B$28*C31)*0.8</f>
        <v>194200</v>
      </c>
      <c r="L4" s="15">
        <f>((B$23+B$24)*C4+B$28*450+B$25*C4)*0.8</f>
        <v>346200</v>
      </c>
    </row>
    <row r="5" spans="1:12" x14ac:dyDescent="0.2">
      <c r="A5" s="1201"/>
      <c r="B5" s="15" t="s">
        <v>619</v>
      </c>
      <c r="C5" s="15">
        <v>40</v>
      </c>
      <c r="D5" s="15">
        <v>290</v>
      </c>
      <c r="E5" s="15" t="s">
        <v>662</v>
      </c>
      <c r="F5" s="676">
        <f>B$32/1.5+B$28*C32</f>
        <v>85666.666666666672</v>
      </c>
      <c r="G5" s="230">
        <f>F5+B$18*D5</f>
        <v>129166.66666666667</v>
      </c>
      <c r="H5" s="230">
        <f>G5+B37*D5*(B$19+B$20/2)</f>
        <v>163676.66666666669</v>
      </c>
      <c r="I5" s="230">
        <f>G5+C5*B$26*B$27</f>
        <v>173166.66666666669</v>
      </c>
      <c r="J5" s="230">
        <f t="shared" si="0"/>
        <v>248066.66666666669</v>
      </c>
      <c r="K5" s="15">
        <f>(B$23+B$24)*C5+B$28*C32</f>
        <v>99000</v>
      </c>
      <c r="L5" s="15">
        <f>(B$23+B$24)*C5+B$28*450+B$25*C5</f>
        <v>198750</v>
      </c>
    </row>
    <row r="6" spans="1:12" x14ac:dyDescent="0.2">
      <c r="A6" s="1201"/>
      <c r="B6" s="15" t="s">
        <v>618</v>
      </c>
      <c r="C6" s="15">
        <v>5</v>
      </c>
      <c r="D6" s="15">
        <v>80</v>
      </c>
      <c r="E6" s="15" t="s">
        <v>662</v>
      </c>
      <c r="F6" s="676">
        <f>B$33/1.1+B$28*C33</f>
        <v>74817.272727272721</v>
      </c>
      <c r="G6" s="230">
        <f>F6+B$18*D6</f>
        <v>86817.272727272721</v>
      </c>
      <c r="H6" s="230">
        <f>G6+B37*D6*(B$19+B$20/2)</f>
        <v>96337.272727272721</v>
      </c>
      <c r="I6" s="230">
        <f>G6+C6*B$26*B$27*2</f>
        <v>97817.272727272721</v>
      </c>
      <c r="J6" s="230">
        <f t="shared" si="0"/>
        <v>119617.27272727272</v>
      </c>
      <c r="K6" s="15">
        <f>(B$23+B$24)*C6+B$28*C33</f>
        <v>12090</v>
      </c>
      <c r="L6" s="15">
        <f>(B$23+B$24)*C6+B$28*450+B$25*C6</f>
        <v>62250</v>
      </c>
    </row>
    <row r="7" spans="1:12" x14ac:dyDescent="0.2">
      <c r="A7" s="1201"/>
      <c r="B7" s="15" t="s">
        <v>663</v>
      </c>
      <c r="C7" s="15">
        <v>45</v>
      </c>
      <c r="D7" s="15">
        <f>2*150</f>
        <v>300</v>
      </c>
      <c r="E7" s="15" t="s">
        <v>662</v>
      </c>
      <c r="F7" s="676">
        <f>B$34/1.5+B$28*C34</f>
        <v>95295</v>
      </c>
      <c r="G7" s="230">
        <f>F7+B$18*D7</f>
        <v>140295</v>
      </c>
      <c r="H7" s="230">
        <f>G7+B37*D7*(B$19+B$20/2)</f>
        <v>175995</v>
      </c>
      <c r="I7" s="230">
        <f>G7+C7*B$26*B$27</f>
        <v>189795</v>
      </c>
      <c r="J7" s="230">
        <f t="shared" si="0"/>
        <v>263295</v>
      </c>
      <c r="K7" s="15">
        <f>(B$23+B$24)*C7+B$28*C34</f>
        <v>105295</v>
      </c>
      <c r="L7" s="15">
        <f>(B$23+B$24)*C7+B$28*450+B$25*C7</f>
        <v>218250</v>
      </c>
    </row>
    <row r="8" spans="1:12" x14ac:dyDescent="0.2">
      <c r="A8" s="1201"/>
      <c r="B8" s="15" t="s">
        <v>664</v>
      </c>
      <c r="C8" s="15">
        <v>62</v>
      </c>
      <c r="D8" s="15">
        <f>2*300</f>
        <v>600</v>
      </c>
      <c r="E8" s="15" t="s">
        <v>662</v>
      </c>
      <c r="F8" s="676">
        <f>B$35/1.8+B$28*C35</f>
        <v>100728.33333333333</v>
      </c>
      <c r="G8" s="230">
        <f>F8+B$18*D8</f>
        <v>190728.33333333331</v>
      </c>
      <c r="H8" s="230">
        <f>G8+B37*D8*(B$19+B$20/2)</f>
        <v>262128.33333333331</v>
      </c>
      <c r="I8" s="230">
        <f>G8+C8*B$26*B$27</f>
        <v>258928.33333333331</v>
      </c>
      <c r="J8" s="230">
        <f t="shared" si="0"/>
        <v>436728.33333333331</v>
      </c>
      <c r="K8" s="15">
        <f>((B$23+B$24)*C8+B$28*C35)*0.8</f>
        <v>125116</v>
      </c>
      <c r="L8" s="15">
        <f>((B$23+B$24)*C8+B$28*450+B$25*C8)*0.8</f>
        <v>227640</v>
      </c>
    </row>
    <row r="9" spans="1:12" x14ac:dyDescent="0.2">
      <c r="A9" s="1201" t="s">
        <v>665</v>
      </c>
      <c r="B9" s="15" t="s">
        <v>617</v>
      </c>
      <c r="C9" s="15">
        <f>C4</f>
        <v>100</v>
      </c>
      <c r="D9" s="15">
        <f>D4/2</f>
        <v>490</v>
      </c>
      <c r="E9" s="15">
        <v>2186000</v>
      </c>
      <c r="F9" s="676">
        <f>F4</f>
        <v>107750</v>
      </c>
      <c r="G9" s="230">
        <f>F9+D9*B$18</f>
        <v>181250</v>
      </c>
      <c r="H9" s="230">
        <f>G9+B$38*D9*(B$19+B$20/2)</f>
        <v>267000</v>
      </c>
      <c r="I9" s="230">
        <f>G9+C9*B$26*B$27</f>
        <v>291250</v>
      </c>
      <c r="J9" s="230">
        <f t="shared" si="0"/>
        <v>382150</v>
      </c>
      <c r="K9" s="15">
        <f t="shared" ref="K9:L13" si="1">K4</f>
        <v>194200</v>
      </c>
      <c r="L9" s="15">
        <f t="shared" si="1"/>
        <v>346200</v>
      </c>
    </row>
    <row r="10" spans="1:12" x14ac:dyDescent="0.2">
      <c r="A10" s="1201"/>
      <c r="B10" s="15" t="s">
        <v>619</v>
      </c>
      <c r="C10" s="15">
        <f t="shared" ref="C10:C13" si="2">C5</f>
        <v>40</v>
      </c>
      <c r="D10" s="15">
        <f t="shared" ref="D10:D13" si="3">D5/2</f>
        <v>145</v>
      </c>
      <c r="E10" s="15">
        <v>875000</v>
      </c>
      <c r="F10" s="676">
        <f>F5</f>
        <v>85666.666666666672</v>
      </c>
      <c r="G10" s="230">
        <f>F10+D10*B$18</f>
        <v>107416.66666666667</v>
      </c>
      <c r="H10" s="230">
        <f>G10+B$38*D10*(B$19+B$20/2)</f>
        <v>132791.66666666669</v>
      </c>
      <c r="I10" s="230">
        <f>G10+C10*B$26*B$27</f>
        <v>151416.66666666669</v>
      </c>
      <c r="J10" s="230">
        <f>F10+B$19*D10*B$39</f>
        <v>146566.66666666666</v>
      </c>
      <c r="K10" s="15">
        <f t="shared" si="1"/>
        <v>99000</v>
      </c>
      <c r="L10" s="15">
        <f t="shared" si="1"/>
        <v>198750</v>
      </c>
    </row>
    <row r="11" spans="1:12" x14ac:dyDescent="0.2">
      <c r="A11" s="1201"/>
      <c r="B11" s="15" t="s">
        <v>618</v>
      </c>
      <c r="C11" s="15">
        <f t="shared" si="2"/>
        <v>5</v>
      </c>
      <c r="D11" s="15">
        <f t="shared" si="3"/>
        <v>40</v>
      </c>
      <c r="E11" s="15">
        <v>119000</v>
      </c>
      <c r="F11" s="676">
        <f>F6</f>
        <v>74817.272727272721</v>
      </c>
      <c r="G11" s="230">
        <f>F11+B$18*D11</f>
        <v>80817.272727272721</v>
      </c>
      <c r="H11" s="230">
        <f>G11+B$38*D11*(B$19+B$20/2)</f>
        <v>87817.272727272721</v>
      </c>
      <c r="I11" s="230">
        <f>G11+C11*B$26*B$27*2</f>
        <v>91817.272727272721</v>
      </c>
      <c r="J11" s="230">
        <f>F11+(B$19+B$20)*D11*B$39</f>
        <v>97217.272727272721</v>
      </c>
      <c r="K11" s="15">
        <f t="shared" si="1"/>
        <v>12090</v>
      </c>
      <c r="L11" s="15">
        <f t="shared" si="1"/>
        <v>62250</v>
      </c>
    </row>
    <row r="12" spans="1:12" x14ac:dyDescent="0.2">
      <c r="A12" s="1201"/>
      <c r="B12" s="15" t="s">
        <v>663</v>
      </c>
      <c r="C12" s="15">
        <f t="shared" si="2"/>
        <v>45</v>
      </c>
      <c r="D12" s="15">
        <f t="shared" si="3"/>
        <v>150</v>
      </c>
      <c r="E12" s="15">
        <v>662000</v>
      </c>
      <c r="F12" s="676">
        <f t="shared" ref="F12:F13" si="4">F7</f>
        <v>95295</v>
      </c>
      <c r="G12" s="230">
        <f>F12+D12*B$18</f>
        <v>117795</v>
      </c>
      <c r="H12" s="230">
        <f>G12+B$38*D12*(B$19+B$20/2)</f>
        <v>144045</v>
      </c>
      <c r="I12" s="230">
        <f>G12+C12*B$26*B$27</f>
        <v>167295</v>
      </c>
      <c r="J12" s="230">
        <f>F12+(B$19+B$20)*D12*B$39</f>
        <v>179295</v>
      </c>
      <c r="K12" s="15">
        <f t="shared" si="1"/>
        <v>105295</v>
      </c>
      <c r="L12" s="15">
        <f t="shared" si="1"/>
        <v>218250</v>
      </c>
    </row>
    <row r="13" spans="1:12" x14ac:dyDescent="0.2">
      <c r="A13" s="1201"/>
      <c r="B13" s="15" t="s">
        <v>664</v>
      </c>
      <c r="C13" s="15">
        <f t="shared" si="2"/>
        <v>62</v>
      </c>
      <c r="D13" s="15">
        <f t="shared" si="3"/>
        <v>300</v>
      </c>
      <c r="E13" s="15">
        <v>1373000</v>
      </c>
      <c r="F13" s="676">
        <f t="shared" si="4"/>
        <v>100728.33333333333</v>
      </c>
      <c r="G13" s="230">
        <f>F13+D13*B18</f>
        <v>145728.33333333331</v>
      </c>
      <c r="H13" s="230">
        <f>G13+B$38*D13*(B$19+B$20/2)</f>
        <v>198228.33333333331</v>
      </c>
      <c r="I13" s="230">
        <f>G13+C13*B$26*B$27</f>
        <v>213928.33333333331</v>
      </c>
      <c r="J13" s="230">
        <f>F13+(B$19+B$20)*D13*B$39</f>
        <v>268728.33333333331</v>
      </c>
      <c r="K13" s="15">
        <f t="shared" si="1"/>
        <v>125116</v>
      </c>
      <c r="L13" s="15">
        <f t="shared" si="1"/>
        <v>227640</v>
      </c>
    </row>
    <row r="16" spans="1:12" ht="15" x14ac:dyDescent="0.25">
      <c r="A16" s="674" t="s">
        <v>666</v>
      </c>
    </row>
    <row r="18" spans="1:3" x14ac:dyDescent="0.2">
      <c r="A18" s="15" t="s">
        <v>667</v>
      </c>
      <c r="B18" s="15">
        <v>150</v>
      </c>
    </row>
    <row r="19" spans="1:3" x14ac:dyDescent="0.2">
      <c r="A19" s="15" t="s">
        <v>668</v>
      </c>
      <c r="B19" s="15">
        <v>600</v>
      </c>
    </row>
    <row r="20" spans="1:3" x14ac:dyDescent="0.2">
      <c r="A20" s="15" t="s">
        <v>669</v>
      </c>
      <c r="B20" s="15">
        <v>200</v>
      </c>
    </row>
    <row r="21" spans="1:3" x14ac:dyDescent="0.2">
      <c r="A21" s="15" t="s">
        <v>670</v>
      </c>
      <c r="B21" s="15">
        <v>3000</v>
      </c>
    </row>
    <row r="22" spans="1:3" x14ac:dyDescent="0.2">
      <c r="A22" s="15" t="s">
        <v>671</v>
      </c>
      <c r="B22" s="15">
        <v>1000</v>
      </c>
    </row>
    <row r="23" spans="1:3" x14ac:dyDescent="0.2">
      <c r="A23" s="15" t="s">
        <v>672</v>
      </c>
      <c r="B23" s="15">
        <v>1200</v>
      </c>
    </row>
    <row r="24" spans="1:3" x14ac:dyDescent="0.2">
      <c r="A24" s="15" t="s">
        <v>673</v>
      </c>
      <c r="B24" s="15">
        <v>800</v>
      </c>
    </row>
    <row r="25" spans="1:3" x14ac:dyDescent="0.2">
      <c r="A25" s="15" t="s">
        <v>674</v>
      </c>
      <c r="B25" s="15">
        <f>1300+600</f>
        <v>1900</v>
      </c>
    </row>
    <row r="26" spans="1:3" x14ac:dyDescent="0.2">
      <c r="A26" s="15" t="s">
        <v>675</v>
      </c>
      <c r="B26" s="15">
        <v>1000</v>
      </c>
    </row>
    <row r="27" spans="1:3" x14ac:dyDescent="0.2">
      <c r="A27" s="15" t="s">
        <v>676</v>
      </c>
      <c r="B27" s="15">
        <v>1.1000000000000001</v>
      </c>
    </row>
    <row r="28" spans="1:3" x14ac:dyDescent="0.2">
      <c r="A28" s="15" t="s">
        <v>677</v>
      </c>
      <c r="B28" s="15">
        <v>95</v>
      </c>
    </row>
    <row r="30" spans="1:3" x14ac:dyDescent="0.2">
      <c r="A30" s="15" t="s">
        <v>678</v>
      </c>
      <c r="B30" s="15"/>
      <c r="C30" s="15" t="s">
        <v>679</v>
      </c>
    </row>
    <row r="31" spans="1:3" x14ac:dyDescent="0.2">
      <c r="A31" s="15" t="s">
        <v>617</v>
      </c>
      <c r="B31" s="15">
        <v>130000</v>
      </c>
      <c r="C31" s="15">
        <v>450</v>
      </c>
    </row>
    <row r="32" spans="1:3" x14ac:dyDescent="0.2">
      <c r="A32" s="15" t="s">
        <v>619</v>
      </c>
      <c r="B32" s="15">
        <v>100000</v>
      </c>
      <c r="C32" s="15">
        <v>200</v>
      </c>
    </row>
    <row r="33" spans="1:3" x14ac:dyDescent="0.2">
      <c r="A33" s="15" t="s">
        <v>618</v>
      </c>
      <c r="B33" s="15">
        <v>80000</v>
      </c>
      <c r="C33" s="15">
        <v>22</v>
      </c>
    </row>
    <row r="34" spans="1:3" x14ac:dyDescent="0.2">
      <c r="A34" s="15" t="s">
        <v>663</v>
      </c>
      <c r="B34" s="15">
        <v>120000</v>
      </c>
      <c r="C34" s="15">
        <v>161</v>
      </c>
    </row>
    <row r="35" spans="1:3" x14ac:dyDescent="0.2">
      <c r="A35" s="15" t="s">
        <v>664</v>
      </c>
      <c r="B35" s="15">
        <v>123000</v>
      </c>
      <c r="C35" s="15">
        <v>341</v>
      </c>
    </row>
    <row r="37" spans="1:3" x14ac:dyDescent="0.2">
      <c r="A37" s="15" t="s">
        <v>680</v>
      </c>
      <c r="B37" s="15">
        <v>0.17</v>
      </c>
    </row>
    <row r="38" spans="1:3" x14ac:dyDescent="0.2">
      <c r="A38" s="15" t="s">
        <v>681</v>
      </c>
      <c r="B38" s="15">
        <v>0.25</v>
      </c>
    </row>
    <row r="39" spans="1:3" x14ac:dyDescent="0.2">
      <c r="A39" s="15" t="s">
        <v>682</v>
      </c>
      <c r="B39" s="15">
        <v>0.7</v>
      </c>
    </row>
  </sheetData>
  <mergeCells count="4">
    <mergeCell ref="F2:J2"/>
    <mergeCell ref="K2:L2"/>
    <mergeCell ref="A4:A8"/>
    <mergeCell ref="A9:A13"/>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04C89-C44C-40B7-815E-6DBCAA9E67D4}">
  <sheetPr filterMode="1"/>
  <dimension ref="A3:AL215"/>
  <sheetViews>
    <sheetView topLeftCell="N1" zoomScale="94" zoomScaleNormal="115" workbookViewId="0">
      <pane ySplit="4" topLeftCell="A7" activePane="bottomLeft" state="frozen"/>
      <selection activeCell="C47" sqref="C47"/>
      <selection pane="bottomLeft" activeCell="C47" sqref="C47"/>
    </sheetView>
  </sheetViews>
  <sheetFormatPr baseColWidth="10" defaultColWidth="10.5" defaultRowHeight="14.25" x14ac:dyDescent="0.2"/>
  <cols>
    <col min="1" max="4" width="6.25" customWidth="1"/>
    <col min="5" max="9" width="3.625" customWidth="1"/>
    <col min="10" max="10" width="22.375" customWidth="1"/>
    <col min="11" max="12" width="6.25" customWidth="1"/>
    <col min="13" max="14" width="3.875" customWidth="1"/>
    <col min="15" max="15" width="12.25" customWidth="1"/>
    <col min="16" max="17" width="3.875" customWidth="1"/>
    <col min="18" max="18" width="6.25" customWidth="1"/>
    <col min="19" max="22" width="4.125" customWidth="1"/>
    <col min="23" max="23" width="3.5" bestFit="1" customWidth="1"/>
    <col min="24" max="24" width="43.5" customWidth="1"/>
    <col min="25" max="31" width="6.25" customWidth="1"/>
    <col min="32" max="33" width="6.125" customWidth="1"/>
    <col min="34" max="34" width="9.25" customWidth="1"/>
    <col min="36" max="36" width="5.5" bestFit="1" customWidth="1"/>
    <col min="37" max="37" width="4.375" bestFit="1" customWidth="1"/>
    <col min="38" max="38" width="4.875" bestFit="1" customWidth="1"/>
  </cols>
  <sheetData>
    <row r="3" spans="1:38" x14ac:dyDescent="0.2">
      <c r="E3" s="1202" t="s">
        <v>683</v>
      </c>
      <c r="F3" s="1203"/>
      <c r="G3" s="1203"/>
      <c r="H3" s="1203"/>
      <c r="I3" s="1203"/>
      <c r="J3" s="1203"/>
      <c r="K3" s="1203"/>
      <c r="L3" s="1203"/>
      <c r="M3" s="1203"/>
      <c r="N3" s="1203"/>
      <c r="O3" s="1203"/>
      <c r="P3" s="1203"/>
      <c r="Q3" s="1203"/>
      <c r="R3" s="1204"/>
      <c r="S3" s="1202" t="s">
        <v>684</v>
      </c>
      <c r="T3" s="1203"/>
      <c r="U3" s="1203"/>
      <c r="V3" s="1203"/>
      <c r="W3" s="1203"/>
      <c r="X3" s="1203"/>
      <c r="Y3" s="1203"/>
      <c r="Z3" s="1203"/>
      <c r="AA3" s="1203"/>
      <c r="AB3" s="1203"/>
      <c r="AC3" s="1203"/>
      <c r="AD3" s="1203"/>
      <c r="AE3" s="1204"/>
      <c r="AJ3" s="1205" t="s">
        <v>685</v>
      </c>
      <c r="AK3" s="1205"/>
      <c r="AL3" s="1205"/>
    </row>
    <row r="4" spans="1:38" s="218" customFormat="1" ht="297" x14ac:dyDescent="0.2">
      <c r="A4" s="208" t="s">
        <v>686</v>
      </c>
      <c r="B4" s="209" t="s">
        <v>616</v>
      </c>
      <c r="C4" s="210" t="s">
        <v>622</v>
      </c>
      <c r="D4" s="209" t="s">
        <v>687</v>
      </c>
      <c r="E4" s="211" t="s">
        <v>688</v>
      </c>
      <c r="F4" s="212" t="s">
        <v>689</v>
      </c>
      <c r="G4" s="211" t="s">
        <v>690</v>
      </c>
      <c r="H4" s="212" t="s">
        <v>691</v>
      </c>
      <c r="I4" s="211" t="s">
        <v>692</v>
      </c>
      <c r="J4" s="213" t="s">
        <v>625</v>
      </c>
      <c r="K4" s="214" t="s">
        <v>693</v>
      </c>
      <c r="L4" s="212" t="s">
        <v>694</v>
      </c>
      <c r="M4" s="215" t="s">
        <v>695</v>
      </c>
      <c r="N4" s="216" t="s">
        <v>696</v>
      </c>
      <c r="O4" s="215" t="s">
        <v>697</v>
      </c>
      <c r="P4" s="216" t="s">
        <v>698</v>
      </c>
      <c r="Q4" s="216" t="s">
        <v>699</v>
      </c>
      <c r="R4" s="216" t="s">
        <v>700</v>
      </c>
      <c r="S4" s="211" t="s">
        <v>688</v>
      </c>
      <c r="T4" s="212" t="s">
        <v>689</v>
      </c>
      <c r="U4" s="211" t="s">
        <v>690</v>
      </c>
      <c r="V4" s="212" t="s">
        <v>691</v>
      </c>
      <c r="W4" s="211" t="s">
        <v>692</v>
      </c>
      <c r="X4" s="213" t="s">
        <v>701</v>
      </c>
      <c r="Y4" s="214" t="s">
        <v>693</v>
      </c>
      <c r="Z4" s="212" t="s">
        <v>694</v>
      </c>
      <c r="AA4" s="215" t="s">
        <v>695</v>
      </c>
      <c r="AB4" s="216" t="s">
        <v>702</v>
      </c>
      <c r="AC4" s="215" t="s">
        <v>703</v>
      </c>
      <c r="AD4" s="216" t="s">
        <v>704</v>
      </c>
      <c r="AE4" s="216" t="s">
        <v>705</v>
      </c>
      <c r="AF4" s="217" t="s">
        <v>706</v>
      </c>
      <c r="AG4" s="217" t="s">
        <v>707</v>
      </c>
      <c r="AH4" s="217" t="s">
        <v>708</v>
      </c>
      <c r="AJ4" s="215" t="s">
        <v>709</v>
      </c>
      <c r="AK4" s="216" t="s">
        <v>710</v>
      </c>
      <c r="AL4" s="217" t="s">
        <v>707</v>
      </c>
    </row>
    <row r="5" spans="1:38" hidden="1" x14ac:dyDescent="0.2">
      <c r="A5" s="88">
        <v>600</v>
      </c>
      <c r="B5" s="219" t="s">
        <v>618</v>
      </c>
      <c r="C5" s="220" t="s">
        <v>711</v>
      </c>
      <c r="D5" s="219">
        <v>240</v>
      </c>
      <c r="E5" s="219" t="s">
        <v>629</v>
      </c>
      <c r="F5" s="219" t="s">
        <v>629</v>
      </c>
      <c r="G5" s="219" t="s">
        <v>629</v>
      </c>
      <c r="H5" s="219" t="s">
        <v>629</v>
      </c>
      <c r="I5" s="219" t="s">
        <v>629</v>
      </c>
      <c r="J5" s="219" t="s">
        <v>626</v>
      </c>
      <c r="K5" s="221" t="s">
        <v>712</v>
      </c>
      <c r="L5" s="219" t="s">
        <v>645</v>
      </c>
      <c r="M5" s="219">
        <v>473</v>
      </c>
      <c r="N5" s="219" t="s">
        <v>606</v>
      </c>
      <c r="O5" s="219">
        <v>104</v>
      </c>
      <c r="P5" s="219" t="s">
        <v>606</v>
      </c>
      <c r="Q5" s="222" t="s">
        <v>606</v>
      </c>
      <c r="R5" s="219">
        <v>8595</v>
      </c>
      <c r="S5" s="219" t="s">
        <v>629</v>
      </c>
      <c r="T5" s="219" t="s">
        <v>629</v>
      </c>
      <c r="U5" s="219" t="s">
        <v>629</v>
      </c>
      <c r="V5" s="219" t="s">
        <v>629</v>
      </c>
      <c r="W5" s="219" t="s">
        <v>629</v>
      </c>
      <c r="X5" s="219" t="s">
        <v>626</v>
      </c>
      <c r="Y5" s="219" t="s">
        <v>712</v>
      </c>
      <c r="Z5" s="219" t="s">
        <v>198</v>
      </c>
      <c r="AA5" s="223">
        <v>394</v>
      </c>
      <c r="AB5" s="219" t="s">
        <v>604</v>
      </c>
      <c r="AC5" s="223">
        <v>86</v>
      </c>
      <c r="AD5" s="219" t="s">
        <v>604</v>
      </c>
      <c r="AE5" s="88">
        <v>7352</v>
      </c>
      <c r="AF5" s="224">
        <f t="shared" ref="AF5:AF68" si="0">(M5-AA5)/M5</f>
        <v>0.16701902748414377</v>
      </c>
      <c r="AG5" s="224">
        <f>(O5-AC5)/O5</f>
        <v>0.17307692307692307</v>
      </c>
      <c r="AH5" s="224">
        <f t="shared" ref="AH5:AH68" si="1">(R5-AE5)/R5</f>
        <v>0.14461896451425246</v>
      </c>
      <c r="AI5" s="87"/>
      <c r="AJ5" s="225">
        <v>17.146380833333335</v>
      </c>
      <c r="AK5" s="219" t="s">
        <v>598</v>
      </c>
      <c r="AL5" s="226">
        <f t="shared" ref="AL5:AL68" si="2">(O5-AJ5)/O5</f>
        <v>0.83513095352564093</v>
      </c>
    </row>
    <row r="6" spans="1:38" hidden="1" x14ac:dyDescent="0.2">
      <c r="A6" s="88">
        <v>602</v>
      </c>
      <c r="B6" s="219" t="s">
        <v>618</v>
      </c>
      <c r="C6" s="220" t="s">
        <v>711</v>
      </c>
      <c r="D6" s="219">
        <v>240</v>
      </c>
      <c r="E6" s="219" t="s">
        <v>629</v>
      </c>
      <c r="F6" s="219" t="s">
        <v>629</v>
      </c>
      <c r="G6" s="219" t="s">
        <v>629</v>
      </c>
      <c r="H6" s="219" t="s">
        <v>629</v>
      </c>
      <c r="I6" s="219" t="s">
        <v>629</v>
      </c>
      <c r="J6" s="219" t="s">
        <v>626</v>
      </c>
      <c r="K6" s="221" t="s">
        <v>712</v>
      </c>
      <c r="L6" s="219" t="s">
        <v>645</v>
      </c>
      <c r="M6" s="219">
        <v>473</v>
      </c>
      <c r="N6" s="219" t="s">
        <v>606</v>
      </c>
      <c r="O6" s="219">
        <v>104</v>
      </c>
      <c r="P6" s="219" t="s">
        <v>606</v>
      </c>
      <c r="Q6" s="222" t="s">
        <v>606</v>
      </c>
      <c r="R6" s="219">
        <v>8595</v>
      </c>
      <c r="S6" s="219" t="s">
        <v>629</v>
      </c>
      <c r="T6" s="219" t="s">
        <v>629</v>
      </c>
      <c r="U6" s="219" t="s">
        <v>629</v>
      </c>
      <c r="V6" s="219" t="s">
        <v>629</v>
      </c>
      <c r="W6" s="219" t="s">
        <v>629</v>
      </c>
      <c r="X6" s="219" t="s">
        <v>637</v>
      </c>
      <c r="Y6" s="219" t="s">
        <v>712</v>
      </c>
      <c r="Z6" s="219" t="s">
        <v>198</v>
      </c>
      <c r="AA6" s="223">
        <v>369</v>
      </c>
      <c r="AB6" s="219" t="s">
        <v>604</v>
      </c>
      <c r="AC6" s="223">
        <v>77</v>
      </c>
      <c r="AD6" s="219" t="s">
        <v>604</v>
      </c>
      <c r="AE6" s="88">
        <v>7216</v>
      </c>
      <c r="AF6" s="224">
        <f t="shared" si="0"/>
        <v>0.21987315010570824</v>
      </c>
      <c r="AG6" s="224">
        <f t="shared" ref="AG6:AG68" si="3">(O6-AC6)/O6</f>
        <v>0.25961538461538464</v>
      </c>
      <c r="AH6" s="224">
        <f t="shared" si="1"/>
        <v>0.16044211751018034</v>
      </c>
      <c r="AI6" s="87"/>
      <c r="AJ6" s="225">
        <v>15.775700833333334</v>
      </c>
      <c r="AK6" s="219" t="s">
        <v>598</v>
      </c>
      <c r="AL6" s="226">
        <f t="shared" si="2"/>
        <v>0.84831056891025647</v>
      </c>
    </row>
    <row r="7" spans="1:38" x14ac:dyDescent="0.2">
      <c r="A7" s="88">
        <v>601</v>
      </c>
      <c r="B7" s="219" t="s">
        <v>618</v>
      </c>
      <c r="C7" s="220" t="s">
        <v>711</v>
      </c>
      <c r="D7" s="219">
        <v>240</v>
      </c>
      <c r="E7" s="219" t="s">
        <v>629</v>
      </c>
      <c r="F7" s="219" t="s">
        <v>629</v>
      </c>
      <c r="G7" s="219" t="s">
        <v>629</v>
      </c>
      <c r="H7" s="219" t="s">
        <v>629</v>
      </c>
      <c r="I7" s="219" t="s">
        <v>629</v>
      </c>
      <c r="J7" s="219" t="s">
        <v>626</v>
      </c>
      <c r="K7" s="221" t="s">
        <v>712</v>
      </c>
      <c r="L7" s="219" t="s">
        <v>645</v>
      </c>
      <c r="M7" s="219">
        <v>473</v>
      </c>
      <c r="N7" s="219" t="s">
        <v>606</v>
      </c>
      <c r="O7" s="219">
        <v>104</v>
      </c>
      <c r="P7" s="219" t="s">
        <v>606</v>
      </c>
      <c r="Q7" s="222" t="s">
        <v>606</v>
      </c>
      <c r="R7" s="219">
        <v>8595</v>
      </c>
      <c r="S7" s="219" t="s">
        <v>468</v>
      </c>
      <c r="T7" s="219" t="s">
        <v>468</v>
      </c>
      <c r="U7" s="219" t="s">
        <v>468</v>
      </c>
      <c r="V7" s="219" t="s">
        <v>468</v>
      </c>
      <c r="W7" s="219" t="s">
        <v>468</v>
      </c>
      <c r="X7" s="219" t="s">
        <v>626</v>
      </c>
      <c r="Y7" s="219" t="s">
        <v>712</v>
      </c>
      <c r="Z7" s="219" t="s">
        <v>198</v>
      </c>
      <c r="AA7" s="223">
        <v>123</v>
      </c>
      <c r="AB7" s="219" t="s">
        <v>598</v>
      </c>
      <c r="AC7" s="223">
        <v>24</v>
      </c>
      <c r="AD7" s="219" t="s">
        <v>598</v>
      </c>
      <c r="AE7" s="88">
        <v>3156</v>
      </c>
      <c r="AF7" s="224">
        <f t="shared" si="0"/>
        <v>0.7399577167019028</v>
      </c>
      <c r="AG7" s="224">
        <f t="shared" si="3"/>
        <v>0.76923076923076927</v>
      </c>
      <c r="AH7" s="224">
        <f t="shared" si="1"/>
        <v>0.63280977312390929</v>
      </c>
      <c r="AI7" s="87"/>
      <c r="AJ7" s="225">
        <v>5.112564166666667</v>
      </c>
      <c r="AK7" s="219" t="s">
        <v>594</v>
      </c>
      <c r="AL7" s="226">
        <f t="shared" si="2"/>
        <v>0.95084072916666662</v>
      </c>
    </row>
    <row r="8" spans="1:38" x14ac:dyDescent="0.2">
      <c r="A8" s="88">
        <v>1725</v>
      </c>
      <c r="B8" s="219" t="s">
        <v>618</v>
      </c>
      <c r="C8" s="220" t="s">
        <v>711</v>
      </c>
      <c r="D8" s="219">
        <v>240</v>
      </c>
      <c r="E8" s="219" t="s">
        <v>629</v>
      </c>
      <c r="F8" s="219" t="s">
        <v>629</v>
      </c>
      <c r="G8" s="219" t="s">
        <v>629</v>
      </c>
      <c r="H8" s="219" t="s">
        <v>629</v>
      </c>
      <c r="I8" s="219" t="s">
        <v>629</v>
      </c>
      <c r="J8" s="219" t="s">
        <v>626</v>
      </c>
      <c r="K8" s="227" t="s">
        <v>712</v>
      </c>
      <c r="L8" s="219" t="s">
        <v>645</v>
      </c>
      <c r="M8" s="219">
        <v>473</v>
      </c>
      <c r="N8" s="219" t="s">
        <v>606</v>
      </c>
      <c r="O8" s="219">
        <v>104</v>
      </c>
      <c r="P8" s="219" t="s">
        <v>606</v>
      </c>
      <c r="Q8" s="222" t="s">
        <v>606</v>
      </c>
      <c r="R8" s="219">
        <v>8595</v>
      </c>
      <c r="S8" s="219" t="s">
        <v>468</v>
      </c>
      <c r="T8" s="219" t="s">
        <v>468</v>
      </c>
      <c r="U8" s="219" t="s">
        <v>468</v>
      </c>
      <c r="V8" s="219" t="s">
        <v>468</v>
      </c>
      <c r="W8" s="219" t="s">
        <v>468</v>
      </c>
      <c r="X8" s="219" t="s">
        <v>626</v>
      </c>
      <c r="Y8" s="219" t="s">
        <v>712</v>
      </c>
      <c r="Z8" s="219" t="s">
        <v>645</v>
      </c>
      <c r="AA8" s="223">
        <v>156</v>
      </c>
      <c r="AB8" s="219" t="s">
        <v>598</v>
      </c>
      <c r="AC8" s="223">
        <v>31</v>
      </c>
      <c r="AD8" s="219" t="s">
        <v>600</v>
      </c>
      <c r="AE8" s="88">
        <v>3699</v>
      </c>
      <c r="AF8" s="224">
        <f t="shared" si="0"/>
        <v>0.67019027484143767</v>
      </c>
      <c r="AG8" s="224">
        <f t="shared" si="3"/>
        <v>0.70192307692307687</v>
      </c>
      <c r="AH8" s="224">
        <f t="shared" si="1"/>
        <v>0.56963350785340316</v>
      </c>
      <c r="AI8" s="87"/>
      <c r="AJ8" s="225">
        <v>6.6073724999999994</v>
      </c>
      <c r="AK8" s="219" t="s">
        <v>596</v>
      </c>
      <c r="AL8" s="226">
        <f t="shared" si="2"/>
        <v>0.93646757211538467</v>
      </c>
    </row>
    <row r="9" spans="1:38" x14ac:dyDescent="0.2">
      <c r="A9" s="88">
        <v>603</v>
      </c>
      <c r="B9" s="219" t="s">
        <v>618</v>
      </c>
      <c r="C9" s="220" t="s">
        <v>711</v>
      </c>
      <c r="D9" s="219">
        <v>240</v>
      </c>
      <c r="E9" s="219" t="s">
        <v>629</v>
      </c>
      <c r="F9" s="219" t="s">
        <v>629</v>
      </c>
      <c r="G9" s="219" t="s">
        <v>629</v>
      </c>
      <c r="H9" s="219" t="s">
        <v>629</v>
      </c>
      <c r="I9" s="219" t="s">
        <v>629</v>
      </c>
      <c r="J9" s="219" t="s">
        <v>626</v>
      </c>
      <c r="K9" s="221" t="s">
        <v>712</v>
      </c>
      <c r="L9" s="219" t="s">
        <v>645</v>
      </c>
      <c r="M9" s="219">
        <v>473</v>
      </c>
      <c r="N9" s="219" t="s">
        <v>606</v>
      </c>
      <c r="O9" s="219">
        <v>104</v>
      </c>
      <c r="P9" s="219" t="s">
        <v>606</v>
      </c>
      <c r="Q9" s="222" t="s">
        <v>606</v>
      </c>
      <c r="R9" s="219">
        <v>8595</v>
      </c>
      <c r="S9" s="219" t="s">
        <v>468</v>
      </c>
      <c r="T9" s="219" t="s">
        <v>468</v>
      </c>
      <c r="U9" s="219" t="s">
        <v>468</v>
      </c>
      <c r="V9" s="219" t="s">
        <v>468</v>
      </c>
      <c r="W9" s="219" t="s">
        <v>468</v>
      </c>
      <c r="X9" s="219" t="s">
        <v>637</v>
      </c>
      <c r="Y9" s="219" t="s">
        <v>712</v>
      </c>
      <c r="Z9" s="219" t="s">
        <v>198</v>
      </c>
      <c r="AA9" s="223">
        <v>94</v>
      </c>
      <c r="AB9" s="219" t="s">
        <v>596</v>
      </c>
      <c r="AC9" s="223">
        <v>14</v>
      </c>
      <c r="AD9" s="219" t="s">
        <v>598</v>
      </c>
      <c r="AE9" s="88">
        <v>2460</v>
      </c>
      <c r="AF9" s="224">
        <f t="shared" si="0"/>
        <v>0.80126849894291752</v>
      </c>
      <c r="AG9" s="224">
        <f t="shared" si="3"/>
        <v>0.86538461538461542</v>
      </c>
      <c r="AH9" s="224">
        <f t="shared" si="1"/>
        <v>0.71378708551483416</v>
      </c>
      <c r="AI9" s="87"/>
      <c r="AJ9" s="225">
        <v>3.5866008333333337</v>
      </c>
      <c r="AK9" s="219" t="s">
        <v>594</v>
      </c>
      <c r="AL9" s="226">
        <f t="shared" si="2"/>
        <v>0.965513453525641</v>
      </c>
    </row>
    <row r="10" spans="1:38" hidden="1" x14ac:dyDescent="0.2">
      <c r="A10" s="88">
        <v>676</v>
      </c>
      <c r="B10" s="219" t="s">
        <v>618</v>
      </c>
      <c r="C10" s="220" t="s">
        <v>623</v>
      </c>
      <c r="D10" s="219">
        <v>240</v>
      </c>
      <c r="E10" s="219" t="s">
        <v>629</v>
      </c>
      <c r="F10" s="219" t="s">
        <v>629</v>
      </c>
      <c r="G10" s="219" t="s">
        <v>629</v>
      </c>
      <c r="H10" s="219" t="s">
        <v>629</v>
      </c>
      <c r="I10" s="219" t="s">
        <v>629</v>
      </c>
      <c r="J10" s="219" t="s">
        <v>626</v>
      </c>
      <c r="K10" s="221" t="s">
        <v>712</v>
      </c>
      <c r="L10" s="219" t="s">
        <v>645</v>
      </c>
      <c r="M10" s="219">
        <v>434</v>
      </c>
      <c r="N10" s="219" t="s">
        <v>606</v>
      </c>
      <c r="O10" s="219">
        <v>95</v>
      </c>
      <c r="P10" s="219" t="s">
        <v>604</v>
      </c>
      <c r="Q10" s="222" t="s">
        <v>606</v>
      </c>
      <c r="R10" s="219">
        <v>7985</v>
      </c>
      <c r="S10" s="219" t="s">
        <v>629</v>
      </c>
      <c r="T10" s="219" t="s">
        <v>629</v>
      </c>
      <c r="U10" s="219" t="s">
        <v>629</v>
      </c>
      <c r="V10" s="219" t="s">
        <v>629</v>
      </c>
      <c r="W10" s="219" t="s">
        <v>629</v>
      </c>
      <c r="X10" s="219" t="s">
        <v>626</v>
      </c>
      <c r="Y10" s="219" t="s">
        <v>712</v>
      </c>
      <c r="Z10" s="219" t="s">
        <v>198</v>
      </c>
      <c r="AA10" s="223">
        <v>361</v>
      </c>
      <c r="AB10" s="219" t="s">
        <v>604</v>
      </c>
      <c r="AC10" s="223">
        <v>79</v>
      </c>
      <c r="AD10" s="219" t="s">
        <v>604</v>
      </c>
      <c r="AE10" s="88">
        <v>6837</v>
      </c>
      <c r="AF10" s="224">
        <f t="shared" si="0"/>
        <v>0.16820276497695852</v>
      </c>
      <c r="AG10" s="224">
        <f t="shared" si="3"/>
        <v>0.16842105263157894</v>
      </c>
      <c r="AH10" s="224">
        <f t="shared" si="1"/>
        <v>0.14376956793988729</v>
      </c>
      <c r="AI10" s="87"/>
      <c r="AJ10" s="225">
        <v>15.697363333333332</v>
      </c>
      <c r="AK10" s="219" t="s">
        <v>598</v>
      </c>
      <c r="AL10" s="226">
        <f t="shared" si="2"/>
        <v>0.83476459649122814</v>
      </c>
    </row>
    <row r="11" spans="1:38" hidden="1" x14ac:dyDescent="0.2">
      <c r="A11" s="88">
        <v>678</v>
      </c>
      <c r="B11" s="219" t="s">
        <v>618</v>
      </c>
      <c r="C11" s="220" t="s">
        <v>623</v>
      </c>
      <c r="D11" s="219">
        <v>240</v>
      </c>
      <c r="E11" s="219" t="s">
        <v>629</v>
      </c>
      <c r="F11" s="219" t="s">
        <v>629</v>
      </c>
      <c r="G11" s="219" t="s">
        <v>629</v>
      </c>
      <c r="H11" s="219" t="s">
        <v>629</v>
      </c>
      <c r="I11" s="219" t="s">
        <v>629</v>
      </c>
      <c r="J11" s="219" t="s">
        <v>626</v>
      </c>
      <c r="K11" s="221" t="s">
        <v>712</v>
      </c>
      <c r="L11" s="219" t="s">
        <v>645</v>
      </c>
      <c r="M11" s="219">
        <v>434</v>
      </c>
      <c r="N11" s="219" t="s">
        <v>606</v>
      </c>
      <c r="O11" s="219">
        <v>95</v>
      </c>
      <c r="P11" s="219" t="s">
        <v>604</v>
      </c>
      <c r="Q11" s="222" t="s">
        <v>606</v>
      </c>
      <c r="R11" s="219">
        <v>7985</v>
      </c>
      <c r="S11" s="219" t="s">
        <v>629</v>
      </c>
      <c r="T11" s="219" t="s">
        <v>629</v>
      </c>
      <c r="U11" s="219" t="s">
        <v>629</v>
      </c>
      <c r="V11" s="219" t="s">
        <v>629</v>
      </c>
      <c r="W11" s="219" t="s">
        <v>629</v>
      </c>
      <c r="X11" s="219" t="s">
        <v>637</v>
      </c>
      <c r="Y11" s="219" t="s">
        <v>712</v>
      </c>
      <c r="Z11" s="219" t="s">
        <v>198</v>
      </c>
      <c r="AA11" s="223">
        <v>337</v>
      </c>
      <c r="AB11" s="219" t="s">
        <v>604</v>
      </c>
      <c r="AC11" s="223">
        <v>70</v>
      </c>
      <c r="AD11" s="219" t="s">
        <v>604</v>
      </c>
      <c r="AE11" s="88">
        <v>6700</v>
      </c>
      <c r="AF11" s="224">
        <f t="shared" si="0"/>
        <v>0.22350230414746544</v>
      </c>
      <c r="AG11" s="224">
        <f t="shared" si="3"/>
        <v>0.26315789473684209</v>
      </c>
      <c r="AH11" s="224">
        <f t="shared" si="1"/>
        <v>0.16092673763306198</v>
      </c>
      <c r="AI11" s="87"/>
      <c r="AJ11" s="225">
        <v>14.362369583333333</v>
      </c>
      <c r="AK11" s="219" t="s">
        <v>598</v>
      </c>
      <c r="AL11" s="226">
        <f t="shared" si="2"/>
        <v>0.84881716228070181</v>
      </c>
    </row>
    <row r="12" spans="1:38" x14ac:dyDescent="0.2">
      <c r="A12" s="88">
        <v>677</v>
      </c>
      <c r="B12" s="219" t="s">
        <v>618</v>
      </c>
      <c r="C12" s="220" t="s">
        <v>623</v>
      </c>
      <c r="D12" s="219">
        <v>240</v>
      </c>
      <c r="E12" s="219" t="s">
        <v>629</v>
      </c>
      <c r="F12" s="219" t="s">
        <v>629</v>
      </c>
      <c r="G12" s="219" t="s">
        <v>629</v>
      </c>
      <c r="H12" s="219" t="s">
        <v>629</v>
      </c>
      <c r="I12" s="219" t="s">
        <v>629</v>
      </c>
      <c r="J12" s="219" t="s">
        <v>626</v>
      </c>
      <c r="K12" s="221" t="s">
        <v>712</v>
      </c>
      <c r="L12" s="219" t="s">
        <v>645</v>
      </c>
      <c r="M12" s="219">
        <v>434</v>
      </c>
      <c r="N12" s="219" t="s">
        <v>606</v>
      </c>
      <c r="O12" s="219">
        <v>95</v>
      </c>
      <c r="P12" s="219" t="s">
        <v>604</v>
      </c>
      <c r="Q12" s="222" t="s">
        <v>606</v>
      </c>
      <c r="R12" s="219">
        <v>7985</v>
      </c>
      <c r="S12" s="219" t="s">
        <v>468</v>
      </c>
      <c r="T12" s="219" t="s">
        <v>468</v>
      </c>
      <c r="U12" s="219" t="s">
        <v>468</v>
      </c>
      <c r="V12" s="219" t="s">
        <v>468</v>
      </c>
      <c r="W12" s="219" t="s">
        <v>468</v>
      </c>
      <c r="X12" s="219" t="s">
        <v>626</v>
      </c>
      <c r="Y12" s="219" t="s">
        <v>712</v>
      </c>
      <c r="Z12" s="219" t="s">
        <v>198</v>
      </c>
      <c r="AA12" s="223">
        <v>111</v>
      </c>
      <c r="AB12" s="219" t="s">
        <v>598</v>
      </c>
      <c r="AC12" s="223">
        <v>21</v>
      </c>
      <c r="AD12" s="219" t="s">
        <v>598</v>
      </c>
      <c r="AE12" s="88">
        <v>2684</v>
      </c>
      <c r="AF12" s="224">
        <f t="shared" si="0"/>
        <v>0.74423963133640558</v>
      </c>
      <c r="AG12" s="224">
        <f t="shared" si="3"/>
        <v>0.77894736842105261</v>
      </c>
      <c r="AH12" s="224">
        <f t="shared" si="1"/>
        <v>0.66386975579211016</v>
      </c>
      <c r="AI12" s="87"/>
      <c r="AJ12" s="225">
        <v>4.6265099999999997</v>
      </c>
      <c r="AK12" s="219" t="s">
        <v>594</v>
      </c>
      <c r="AL12" s="226">
        <f t="shared" si="2"/>
        <v>0.95129989473684218</v>
      </c>
    </row>
    <row r="13" spans="1:38" x14ac:dyDescent="0.2">
      <c r="A13" s="88">
        <v>1726</v>
      </c>
      <c r="B13" s="219" t="s">
        <v>618</v>
      </c>
      <c r="C13" s="220" t="s">
        <v>623</v>
      </c>
      <c r="D13" s="219">
        <v>240</v>
      </c>
      <c r="E13" s="219" t="s">
        <v>629</v>
      </c>
      <c r="F13" s="219" t="s">
        <v>629</v>
      </c>
      <c r="G13" s="219" t="s">
        <v>629</v>
      </c>
      <c r="H13" s="219" t="s">
        <v>629</v>
      </c>
      <c r="I13" s="219" t="s">
        <v>629</v>
      </c>
      <c r="J13" s="219" t="s">
        <v>626</v>
      </c>
      <c r="K13" s="227" t="s">
        <v>712</v>
      </c>
      <c r="L13" s="219" t="s">
        <v>645</v>
      </c>
      <c r="M13" s="219">
        <v>434</v>
      </c>
      <c r="N13" s="219" t="s">
        <v>606</v>
      </c>
      <c r="O13" s="219">
        <v>95</v>
      </c>
      <c r="P13" s="219" t="s">
        <v>604</v>
      </c>
      <c r="Q13" s="222" t="s">
        <v>606</v>
      </c>
      <c r="R13" s="219">
        <v>7985</v>
      </c>
      <c r="S13" s="219" t="s">
        <v>468</v>
      </c>
      <c r="T13" s="219" t="s">
        <v>468</v>
      </c>
      <c r="U13" s="219" t="s">
        <v>468</v>
      </c>
      <c r="V13" s="219" t="s">
        <v>468</v>
      </c>
      <c r="W13" s="219" t="s">
        <v>468</v>
      </c>
      <c r="X13" s="219" t="s">
        <v>626</v>
      </c>
      <c r="Y13" s="219" t="s">
        <v>712</v>
      </c>
      <c r="Z13" s="219" t="s">
        <v>645</v>
      </c>
      <c r="AA13" s="223">
        <v>145</v>
      </c>
      <c r="AB13" s="219" t="s">
        <v>598</v>
      </c>
      <c r="AC13" s="223">
        <v>29</v>
      </c>
      <c r="AD13" s="219" t="s">
        <v>598</v>
      </c>
      <c r="AE13" s="88">
        <v>3521</v>
      </c>
      <c r="AF13" s="224">
        <f t="shared" si="0"/>
        <v>0.66589861751152069</v>
      </c>
      <c r="AG13" s="224">
        <f t="shared" si="3"/>
        <v>0.69473684210526321</v>
      </c>
      <c r="AH13" s="224">
        <f t="shared" si="1"/>
        <v>0.55904821540388228</v>
      </c>
      <c r="AI13" s="87"/>
      <c r="AJ13" s="225">
        <v>6.1012249999999995</v>
      </c>
      <c r="AK13" s="219" t="s">
        <v>596</v>
      </c>
      <c r="AL13" s="226">
        <f t="shared" si="2"/>
        <v>0.93577657894736843</v>
      </c>
    </row>
    <row r="14" spans="1:38" x14ac:dyDescent="0.2">
      <c r="A14" s="88">
        <v>679</v>
      </c>
      <c r="B14" s="219" t="s">
        <v>618</v>
      </c>
      <c r="C14" s="220" t="s">
        <v>623</v>
      </c>
      <c r="D14" s="219">
        <v>240</v>
      </c>
      <c r="E14" s="219" t="s">
        <v>629</v>
      </c>
      <c r="F14" s="219" t="s">
        <v>629</v>
      </c>
      <c r="G14" s="219" t="s">
        <v>629</v>
      </c>
      <c r="H14" s="219" t="s">
        <v>629</v>
      </c>
      <c r="I14" s="219" t="s">
        <v>629</v>
      </c>
      <c r="J14" s="219" t="s">
        <v>626</v>
      </c>
      <c r="K14" s="221" t="s">
        <v>712</v>
      </c>
      <c r="L14" s="219" t="s">
        <v>645</v>
      </c>
      <c r="M14" s="219">
        <v>434</v>
      </c>
      <c r="N14" s="219" t="s">
        <v>606</v>
      </c>
      <c r="O14" s="219">
        <v>95</v>
      </c>
      <c r="P14" s="219" t="s">
        <v>604</v>
      </c>
      <c r="Q14" s="222" t="s">
        <v>606</v>
      </c>
      <c r="R14" s="219">
        <v>7985</v>
      </c>
      <c r="S14" s="219" t="s">
        <v>468</v>
      </c>
      <c r="T14" s="219" t="s">
        <v>468</v>
      </c>
      <c r="U14" s="219" t="s">
        <v>468</v>
      </c>
      <c r="V14" s="219" t="s">
        <v>468</v>
      </c>
      <c r="W14" s="219" t="s">
        <v>468</v>
      </c>
      <c r="X14" s="219" t="s">
        <v>637</v>
      </c>
      <c r="Y14" s="219" t="s">
        <v>712</v>
      </c>
      <c r="Z14" s="219" t="s">
        <v>198</v>
      </c>
      <c r="AA14" s="223">
        <v>86</v>
      </c>
      <c r="AB14" s="219" t="s">
        <v>596</v>
      </c>
      <c r="AC14" s="223">
        <v>12</v>
      </c>
      <c r="AD14" s="219" t="s">
        <v>598</v>
      </c>
      <c r="AE14" s="88">
        <v>2245</v>
      </c>
      <c r="AF14" s="224">
        <f t="shared" si="0"/>
        <v>0.8018433179723502</v>
      </c>
      <c r="AG14" s="224">
        <f t="shared" si="3"/>
        <v>0.87368421052631584</v>
      </c>
      <c r="AH14" s="224">
        <f t="shared" si="1"/>
        <v>0.71884783969943644</v>
      </c>
      <c r="AI14" s="87"/>
      <c r="AJ14" s="225">
        <v>3.2393295833333338</v>
      </c>
      <c r="AK14" s="219" t="s">
        <v>594</v>
      </c>
      <c r="AL14" s="226">
        <f t="shared" si="2"/>
        <v>0.96590179385964914</v>
      </c>
    </row>
    <row r="15" spans="1:38" hidden="1" x14ac:dyDescent="0.2">
      <c r="A15" s="88">
        <v>733</v>
      </c>
      <c r="B15" s="219" t="s">
        <v>618</v>
      </c>
      <c r="C15" s="220" t="s">
        <v>713</v>
      </c>
      <c r="D15" s="219">
        <v>240</v>
      </c>
      <c r="E15" s="219" t="s">
        <v>629</v>
      </c>
      <c r="F15" s="219" t="s">
        <v>629</v>
      </c>
      <c r="G15" s="219" t="s">
        <v>629</v>
      </c>
      <c r="H15" s="219" t="s">
        <v>629</v>
      </c>
      <c r="I15" s="219" t="s">
        <v>629</v>
      </c>
      <c r="J15" s="219" t="s">
        <v>626</v>
      </c>
      <c r="K15" s="221" t="s">
        <v>712</v>
      </c>
      <c r="L15" s="219" t="s">
        <v>645</v>
      </c>
      <c r="M15" s="219">
        <v>312</v>
      </c>
      <c r="N15" s="219" t="s">
        <v>602</v>
      </c>
      <c r="O15" s="219">
        <v>68</v>
      </c>
      <c r="P15" s="219" t="s">
        <v>602</v>
      </c>
      <c r="Q15" s="222" t="s">
        <v>602</v>
      </c>
      <c r="R15" s="219">
        <v>6085</v>
      </c>
      <c r="S15" s="219" t="s">
        <v>629</v>
      </c>
      <c r="T15" s="219" t="s">
        <v>629</v>
      </c>
      <c r="U15" s="219" t="s">
        <v>629</v>
      </c>
      <c r="V15" s="219" t="s">
        <v>629</v>
      </c>
      <c r="W15" s="219" t="s">
        <v>629</v>
      </c>
      <c r="X15" s="219" t="s">
        <v>626</v>
      </c>
      <c r="Y15" s="219" t="s">
        <v>712</v>
      </c>
      <c r="Z15" s="219" t="s">
        <v>198</v>
      </c>
      <c r="AA15" s="223">
        <v>259</v>
      </c>
      <c r="AB15" s="219" t="s">
        <v>602</v>
      </c>
      <c r="AC15" s="223">
        <v>56</v>
      </c>
      <c r="AD15" s="219" t="s">
        <v>602</v>
      </c>
      <c r="AE15" s="88">
        <v>5245</v>
      </c>
      <c r="AF15" s="224">
        <f t="shared" si="0"/>
        <v>0.16987179487179488</v>
      </c>
      <c r="AG15" s="224">
        <f t="shared" si="3"/>
        <v>0.17647058823529413</v>
      </c>
      <c r="AH15" s="224">
        <f t="shared" si="1"/>
        <v>0.13804437140509448</v>
      </c>
      <c r="AI15" s="87"/>
      <c r="AJ15" s="225">
        <v>11.248061666666667</v>
      </c>
      <c r="AK15" s="219" t="s">
        <v>598</v>
      </c>
      <c r="AL15" s="226">
        <f t="shared" si="2"/>
        <v>0.83458732843137262</v>
      </c>
    </row>
    <row r="16" spans="1:38" hidden="1" x14ac:dyDescent="0.2">
      <c r="A16" s="88">
        <v>735</v>
      </c>
      <c r="B16" s="219" t="s">
        <v>618</v>
      </c>
      <c r="C16" s="220" t="s">
        <v>713</v>
      </c>
      <c r="D16" s="219">
        <v>240</v>
      </c>
      <c r="E16" s="219" t="s">
        <v>629</v>
      </c>
      <c r="F16" s="219" t="s">
        <v>629</v>
      </c>
      <c r="G16" s="219" t="s">
        <v>629</v>
      </c>
      <c r="H16" s="219" t="s">
        <v>629</v>
      </c>
      <c r="I16" s="219" t="s">
        <v>629</v>
      </c>
      <c r="J16" s="219" t="s">
        <v>626</v>
      </c>
      <c r="K16" s="221" t="s">
        <v>712</v>
      </c>
      <c r="L16" s="219" t="s">
        <v>645</v>
      </c>
      <c r="M16" s="219">
        <v>312</v>
      </c>
      <c r="N16" s="219" t="s">
        <v>602</v>
      </c>
      <c r="O16" s="219">
        <v>68</v>
      </c>
      <c r="P16" s="219" t="s">
        <v>602</v>
      </c>
      <c r="Q16" s="222" t="s">
        <v>602</v>
      </c>
      <c r="R16" s="219">
        <v>6085</v>
      </c>
      <c r="S16" s="219" t="s">
        <v>629</v>
      </c>
      <c r="T16" s="219" t="s">
        <v>629</v>
      </c>
      <c r="U16" s="219" t="s">
        <v>629</v>
      </c>
      <c r="V16" s="219" t="s">
        <v>629</v>
      </c>
      <c r="W16" s="219" t="s">
        <v>629</v>
      </c>
      <c r="X16" s="219" t="s">
        <v>637</v>
      </c>
      <c r="Y16" s="219" t="s">
        <v>712</v>
      </c>
      <c r="Z16" s="219" t="s">
        <v>198</v>
      </c>
      <c r="AA16" s="223">
        <v>238</v>
      </c>
      <c r="AB16" s="219" t="s">
        <v>600</v>
      </c>
      <c r="AC16" s="223">
        <v>48</v>
      </c>
      <c r="AD16" s="219" t="s">
        <v>600</v>
      </c>
      <c r="AE16" s="88">
        <v>5132</v>
      </c>
      <c r="AF16" s="224">
        <f t="shared" si="0"/>
        <v>0.23717948717948717</v>
      </c>
      <c r="AG16" s="224">
        <f t="shared" si="3"/>
        <v>0.29411764705882354</v>
      </c>
      <c r="AH16" s="224">
        <f t="shared" si="1"/>
        <v>0.15661462612982743</v>
      </c>
      <c r="AI16" s="87"/>
      <c r="AJ16" s="225">
        <v>10.095802916666665</v>
      </c>
      <c r="AK16" s="219" t="s">
        <v>596</v>
      </c>
      <c r="AL16" s="226">
        <f t="shared" si="2"/>
        <v>0.85153231004901964</v>
      </c>
    </row>
    <row r="17" spans="1:38" x14ac:dyDescent="0.2">
      <c r="A17" s="88">
        <v>734</v>
      </c>
      <c r="B17" s="219" t="s">
        <v>618</v>
      </c>
      <c r="C17" s="220" t="s">
        <v>713</v>
      </c>
      <c r="D17" s="219">
        <v>240</v>
      </c>
      <c r="E17" s="219" t="s">
        <v>629</v>
      </c>
      <c r="F17" s="219" t="s">
        <v>629</v>
      </c>
      <c r="G17" s="219" t="s">
        <v>629</v>
      </c>
      <c r="H17" s="219" t="s">
        <v>629</v>
      </c>
      <c r="I17" s="219" t="s">
        <v>629</v>
      </c>
      <c r="J17" s="219" t="s">
        <v>626</v>
      </c>
      <c r="K17" s="221" t="s">
        <v>712</v>
      </c>
      <c r="L17" s="219" t="s">
        <v>645</v>
      </c>
      <c r="M17" s="219">
        <v>312</v>
      </c>
      <c r="N17" s="219" t="s">
        <v>602</v>
      </c>
      <c r="O17" s="219">
        <v>68</v>
      </c>
      <c r="P17" s="219" t="s">
        <v>602</v>
      </c>
      <c r="Q17" s="222" t="s">
        <v>602</v>
      </c>
      <c r="R17" s="219">
        <v>6085</v>
      </c>
      <c r="S17" s="219" t="s">
        <v>468</v>
      </c>
      <c r="T17" s="219" t="s">
        <v>468</v>
      </c>
      <c r="U17" s="219" t="s">
        <v>468</v>
      </c>
      <c r="V17" s="219" t="s">
        <v>468</v>
      </c>
      <c r="W17" s="219" t="s">
        <v>468</v>
      </c>
      <c r="X17" s="219" t="s">
        <v>626</v>
      </c>
      <c r="Y17" s="219" t="s">
        <v>712</v>
      </c>
      <c r="Z17" s="219" t="s">
        <v>198</v>
      </c>
      <c r="AA17" s="223">
        <v>86</v>
      </c>
      <c r="AB17" s="219" t="s">
        <v>596</v>
      </c>
      <c r="AC17" s="223">
        <v>16</v>
      </c>
      <c r="AD17" s="219" t="s">
        <v>598</v>
      </c>
      <c r="AE17" s="88">
        <v>2215</v>
      </c>
      <c r="AF17" s="224">
        <f t="shared" si="0"/>
        <v>0.72435897435897434</v>
      </c>
      <c r="AG17" s="224">
        <f t="shared" si="3"/>
        <v>0.76470588235294112</v>
      </c>
      <c r="AH17" s="224">
        <f t="shared" si="1"/>
        <v>0.63599013968775675</v>
      </c>
      <c r="AI17" s="87"/>
      <c r="AJ17" s="225">
        <v>3.5243933333333333</v>
      </c>
      <c r="AK17" s="219" t="s">
        <v>594</v>
      </c>
      <c r="AL17" s="226">
        <f t="shared" si="2"/>
        <v>0.94817068627450973</v>
      </c>
    </row>
    <row r="18" spans="1:38" x14ac:dyDescent="0.2">
      <c r="A18" s="88">
        <v>1727</v>
      </c>
      <c r="B18" s="219" t="s">
        <v>618</v>
      </c>
      <c r="C18" s="220" t="s">
        <v>713</v>
      </c>
      <c r="D18" s="219">
        <v>240</v>
      </c>
      <c r="E18" s="219" t="s">
        <v>629</v>
      </c>
      <c r="F18" s="219" t="s">
        <v>629</v>
      </c>
      <c r="G18" s="219" t="s">
        <v>629</v>
      </c>
      <c r="H18" s="219" t="s">
        <v>629</v>
      </c>
      <c r="I18" s="219" t="s">
        <v>629</v>
      </c>
      <c r="J18" s="219" t="s">
        <v>626</v>
      </c>
      <c r="K18" s="227" t="s">
        <v>712</v>
      </c>
      <c r="L18" s="219" t="s">
        <v>645</v>
      </c>
      <c r="M18" s="219">
        <v>312</v>
      </c>
      <c r="N18" s="219" t="s">
        <v>602</v>
      </c>
      <c r="O18" s="219">
        <v>68</v>
      </c>
      <c r="P18" s="219" t="s">
        <v>602</v>
      </c>
      <c r="Q18" s="222" t="s">
        <v>602</v>
      </c>
      <c r="R18" s="219">
        <v>6085</v>
      </c>
      <c r="S18" s="219" t="s">
        <v>468</v>
      </c>
      <c r="T18" s="219" t="s">
        <v>468</v>
      </c>
      <c r="U18" s="219" t="s">
        <v>468</v>
      </c>
      <c r="V18" s="219" t="s">
        <v>468</v>
      </c>
      <c r="W18" s="219" t="s">
        <v>468</v>
      </c>
      <c r="X18" s="219" t="s">
        <v>626</v>
      </c>
      <c r="Y18" s="219" t="s">
        <v>712</v>
      </c>
      <c r="Z18" s="219" t="s">
        <v>645</v>
      </c>
      <c r="AA18" s="223">
        <v>110</v>
      </c>
      <c r="AB18" s="219" t="s">
        <v>598</v>
      </c>
      <c r="AC18" s="223">
        <v>21</v>
      </c>
      <c r="AD18" s="219" t="s">
        <v>598</v>
      </c>
      <c r="AE18" s="88">
        <v>2878</v>
      </c>
      <c r="AF18" s="224">
        <f t="shared" si="0"/>
        <v>0.64743589743589747</v>
      </c>
      <c r="AG18" s="224">
        <f t="shared" si="3"/>
        <v>0.69117647058823528</v>
      </c>
      <c r="AH18" s="224">
        <f t="shared" si="1"/>
        <v>0.52703368940016437</v>
      </c>
      <c r="AI18" s="87"/>
      <c r="AJ18" s="225">
        <v>4.6189300000000006</v>
      </c>
      <c r="AK18" s="219" t="s">
        <v>594</v>
      </c>
      <c r="AL18" s="226">
        <f t="shared" si="2"/>
        <v>0.93207455882352941</v>
      </c>
    </row>
    <row r="19" spans="1:38" x14ac:dyDescent="0.2">
      <c r="A19" s="88">
        <v>736</v>
      </c>
      <c r="B19" s="219" t="s">
        <v>618</v>
      </c>
      <c r="C19" s="220" t="s">
        <v>713</v>
      </c>
      <c r="D19" s="219">
        <v>240</v>
      </c>
      <c r="E19" s="219" t="s">
        <v>629</v>
      </c>
      <c r="F19" s="219" t="s">
        <v>629</v>
      </c>
      <c r="G19" s="219" t="s">
        <v>629</v>
      </c>
      <c r="H19" s="219" t="s">
        <v>629</v>
      </c>
      <c r="I19" s="219" t="s">
        <v>629</v>
      </c>
      <c r="J19" s="219" t="s">
        <v>626</v>
      </c>
      <c r="K19" s="221" t="s">
        <v>712</v>
      </c>
      <c r="L19" s="219" t="s">
        <v>645</v>
      </c>
      <c r="M19" s="219">
        <v>312</v>
      </c>
      <c r="N19" s="219" t="s">
        <v>602</v>
      </c>
      <c r="O19" s="219">
        <v>68</v>
      </c>
      <c r="P19" s="219" t="s">
        <v>602</v>
      </c>
      <c r="Q19" s="222" t="s">
        <v>602</v>
      </c>
      <c r="R19" s="219">
        <v>6085</v>
      </c>
      <c r="S19" s="219" t="s">
        <v>468</v>
      </c>
      <c r="T19" s="219" t="s">
        <v>468</v>
      </c>
      <c r="U19" s="219" t="s">
        <v>468</v>
      </c>
      <c r="V19" s="219" t="s">
        <v>468</v>
      </c>
      <c r="W19" s="219" t="s">
        <v>468</v>
      </c>
      <c r="X19" s="219" t="s">
        <v>637</v>
      </c>
      <c r="Y19" s="219" t="s">
        <v>712</v>
      </c>
      <c r="Z19" s="219" t="s">
        <v>198</v>
      </c>
      <c r="AA19" s="223">
        <v>64</v>
      </c>
      <c r="AB19" s="219" t="s">
        <v>594</v>
      </c>
      <c r="AC19" s="223">
        <v>8</v>
      </c>
      <c r="AD19" s="219" t="s">
        <v>596</v>
      </c>
      <c r="AE19" s="88">
        <v>1681</v>
      </c>
      <c r="AF19" s="224">
        <f t="shared" si="0"/>
        <v>0.79487179487179482</v>
      </c>
      <c r="AG19" s="224">
        <f t="shared" si="3"/>
        <v>0.88235294117647056</v>
      </c>
      <c r="AH19" s="224">
        <f t="shared" si="1"/>
        <v>0.72374691865242402</v>
      </c>
      <c r="AI19" s="87"/>
      <c r="AJ19" s="225">
        <v>2.3255962499999998</v>
      </c>
      <c r="AK19" s="219" t="s">
        <v>594</v>
      </c>
      <c r="AL19" s="226">
        <f t="shared" si="2"/>
        <v>0.9658000551470588</v>
      </c>
    </row>
    <row r="20" spans="1:38" x14ac:dyDescent="0.2">
      <c r="A20" s="15">
        <v>1713</v>
      </c>
      <c r="B20" s="228" t="s">
        <v>618</v>
      </c>
      <c r="C20" s="229" t="s">
        <v>711</v>
      </c>
      <c r="D20" s="228">
        <v>240</v>
      </c>
      <c r="E20" s="228" t="s">
        <v>629</v>
      </c>
      <c r="F20" s="228" t="s">
        <v>629</v>
      </c>
      <c r="G20" s="228" t="s">
        <v>629</v>
      </c>
      <c r="H20" s="228" t="s">
        <v>629</v>
      </c>
      <c r="I20" s="228" t="s">
        <v>629</v>
      </c>
      <c r="J20" s="228" t="s">
        <v>630</v>
      </c>
      <c r="K20" s="228" t="s">
        <v>714</v>
      </c>
      <c r="L20" s="228" t="s">
        <v>645</v>
      </c>
      <c r="M20" s="228">
        <v>537</v>
      </c>
      <c r="N20" s="228" t="s">
        <v>606</v>
      </c>
      <c r="O20" s="228">
        <v>119</v>
      </c>
      <c r="P20" s="228" t="s">
        <v>606</v>
      </c>
      <c r="Q20" s="228" t="s">
        <v>606</v>
      </c>
      <c r="R20" s="228">
        <v>8560</v>
      </c>
      <c r="S20" s="228" t="s">
        <v>468</v>
      </c>
      <c r="T20" s="228" t="s">
        <v>468</v>
      </c>
      <c r="U20" s="228" t="s">
        <v>468</v>
      </c>
      <c r="V20" s="228" t="s">
        <v>468</v>
      </c>
      <c r="W20" s="228" t="s">
        <v>468</v>
      </c>
      <c r="X20" s="228" t="s">
        <v>630</v>
      </c>
      <c r="Y20" s="228" t="s">
        <v>714</v>
      </c>
      <c r="Z20" s="228" t="s">
        <v>645</v>
      </c>
      <c r="AA20" s="230">
        <v>186</v>
      </c>
      <c r="AB20" s="228" t="s">
        <v>600</v>
      </c>
      <c r="AC20" s="230">
        <v>39</v>
      </c>
      <c r="AD20" s="228" t="s">
        <v>600</v>
      </c>
      <c r="AE20" s="15">
        <v>3378</v>
      </c>
      <c r="AF20" s="224">
        <f t="shared" si="0"/>
        <v>0.65363128491620115</v>
      </c>
      <c r="AG20" s="224">
        <f t="shared" si="3"/>
        <v>0.67226890756302526</v>
      </c>
      <c r="AH20" s="224">
        <f t="shared" si="1"/>
        <v>0.60537383177570092</v>
      </c>
      <c r="AJ20" s="231">
        <v>8.0050574999999995</v>
      </c>
      <c r="AK20" s="228" t="s">
        <v>596</v>
      </c>
      <c r="AL20" s="226">
        <f t="shared" si="2"/>
        <v>0.93273060924369755</v>
      </c>
    </row>
    <row r="21" spans="1:38" hidden="1" x14ac:dyDescent="0.2">
      <c r="A21" s="15">
        <v>753</v>
      </c>
      <c r="B21" s="228" t="s">
        <v>618</v>
      </c>
      <c r="C21" s="229" t="s">
        <v>711</v>
      </c>
      <c r="D21" s="228">
        <v>240</v>
      </c>
      <c r="E21" s="228" t="s">
        <v>629</v>
      </c>
      <c r="F21" s="228" t="s">
        <v>629</v>
      </c>
      <c r="G21" s="228" t="s">
        <v>629</v>
      </c>
      <c r="H21" s="228" t="s">
        <v>629</v>
      </c>
      <c r="I21" s="228" t="s">
        <v>629</v>
      </c>
      <c r="J21" s="228" t="s">
        <v>630</v>
      </c>
      <c r="K21" s="228" t="s">
        <v>714</v>
      </c>
      <c r="L21" s="228" t="s">
        <v>645</v>
      </c>
      <c r="M21" s="228">
        <v>537</v>
      </c>
      <c r="N21" s="228" t="s">
        <v>606</v>
      </c>
      <c r="O21" s="228">
        <v>119</v>
      </c>
      <c r="P21" s="228" t="s">
        <v>606</v>
      </c>
      <c r="Q21" s="228" t="s">
        <v>606</v>
      </c>
      <c r="R21" s="228">
        <v>8560</v>
      </c>
      <c r="S21" s="228" t="s">
        <v>629</v>
      </c>
      <c r="T21" s="228" t="s">
        <v>629</v>
      </c>
      <c r="U21" s="228" t="s">
        <v>629</v>
      </c>
      <c r="V21" s="228" t="s">
        <v>629</v>
      </c>
      <c r="W21" s="228" t="s">
        <v>629</v>
      </c>
      <c r="X21" s="228" t="s">
        <v>630</v>
      </c>
      <c r="Y21" s="228" t="s">
        <v>714</v>
      </c>
      <c r="Z21" s="228" t="s">
        <v>198</v>
      </c>
      <c r="AA21" s="230">
        <v>456</v>
      </c>
      <c r="AB21" s="228" t="s">
        <v>606</v>
      </c>
      <c r="AC21" s="230">
        <v>101</v>
      </c>
      <c r="AD21" s="228" t="s">
        <v>606</v>
      </c>
      <c r="AE21" s="15">
        <v>7366</v>
      </c>
      <c r="AF21" s="224">
        <f t="shared" si="0"/>
        <v>0.15083798882681565</v>
      </c>
      <c r="AG21" s="224">
        <f t="shared" si="3"/>
        <v>0.15126050420168066</v>
      </c>
      <c r="AH21" s="224">
        <f t="shared" si="1"/>
        <v>0.13948598130841122</v>
      </c>
      <c r="AJ21" s="231">
        <v>19.9305375</v>
      </c>
      <c r="AK21" s="228" t="s">
        <v>598</v>
      </c>
      <c r="AL21" s="226">
        <f t="shared" si="2"/>
        <v>0.83251649159663865</v>
      </c>
    </row>
    <row r="22" spans="1:38" hidden="1" x14ac:dyDescent="0.2">
      <c r="A22" s="15">
        <v>765</v>
      </c>
      <c r="B22" s="228" t="s">
        <v>618</v>
      </c>
      <c r="C22" s="229" t="s">
        <v>711</v>
      </c>
      <c r="D22" s="228">
        <v>240</v>
      </c>
      <c r="E22" s="228" t="s">
        <v>629</v>
      </c>
      <c r="F22" s="228" t="s">
        <v>629</v>
      </c>
      <c r="G22" s="228" t="s">
        <v>629</v>
      </c>
      <c r="H22" s="228" t="s">
        <v>629</v>
      </c>
      <c r="I22" s="228" t="s">
        <v>629</v>
      </c>
      <c r="J22" s="228" t="s">
        <v>630</v>
      </c>
      <c r="K22" s="228" t="s">
        <v>714</v>
      </c>
      <c r="L22" s="228" t="s">
        <v>645</v>
      </c>
      <c r="M22" s="228">
        <v>537</v>
      </c>
      <c r="N22" s="228" t="s">
        <v>606</v>
      </c>
      <c r="O22" s="228">
        <v>119</v>
      </c>
      <c r="P22" s="228" t="s">
        <v>606</v>
      </c>
      <c r="Q22" s="228" t="s">
        <v>606</v>
      </c>
      <c r="R22" s="228">
        <v>8560</v>
      </c>
      <c r="S22" s="228" t="s">
        <v>629</v>
      </c>
      <c r="T22" s="228" t="s">
        <v>629</v>
      </c>
      <c r="U22" s="228" t="s">
        <v>629</v>
      </c>
      <c r="V22" s="228" t="s">
        <v>629</v>
      </c>
      <c r="W22" s="228" t="s">
        <v>629</v>
      </c>
      <c r="X22" s="228" t="s">
        <v>636</v>
      </c>
      <c r="Y22" s="228" t="s">
        <v>714</v>
      </c>
      <c r="Z22" s="228" t="s">
        <v>198</v>
      </c>
      <c r="AA22" s="230">
        <v>328</v>
      </c>
      <c r="AB22" s="228" t="s">
        <v>602</v>
      </c>
      <c r="AC22" s="230">
        <v>72</v>
      </c>
      <c r="AD22" s="228" t="s">
        <v>604</v>
      </c>
      <c r="AE22" s="15">
        <v>5490</v>
      </c>
      <c r="AF22" s="224">
        <f t="shared" si="0"/>
        <v>0.38919925512104281</v>
      </c>
      <c r="AG22" s="224">
        <f t="shared" si="3"/>
        <v>0.3949579831932773</v>
      </c>
      <c r="AH22" s="224">
        <f t="shared" si="1"/>
        <v>0.35864485981308414</v>
      </c>
      <c r="AJ22" s="231">
        <v>14.284805833333333</v>
      </c>
      <c r="AK22" s="228" t="s">
        <v>598</v>
      </c>
      <c r="AL22" s="226">
        <f t="shared" si="2"/>
        <v>0.87995961484593832</v>
      </c>
    </row>
    <row r="23" spans="1:38" hidden="1" x14ac:dyDescent="0.2">
      <c r="A23" s="15">
        <v>763</v>
      </c>
      <c r="B23" s="228" t="s">
        <v>618</v>
      </c>
      <c r="C23" s="229" t="s">
        <v>711</v>
      </c>
      <c r="D23" s="228">
        <v>240</v>
      </c>
      <c r="E23" s="228" t="s">
        <v>629</v>
      </c>
      <c r="F23" s="228" t="s">
        <v>629</v>
      </c>
      <c r="G23" s="228" t="s">
        <v>629</v>
      </c>
      <c r="H23" s="228" t="s">
        <v>629</v>
      </c>
      <c r="I23" s="228" t="s">
        <v>629</v>
      </c>
      <c r="J23" s="228" t="s">
        <v>630</v>
      </c>
      <c r="K23" s="228" t="s">
        <v>714</v>
      </c>
      <c r="L23" s="228" t="s">
        <v>645</v>
      </c>
      <c r="M23" s="228">
        <v>537</v>
      </c>
      <c r="N23" s="228" t="s">
        <v>606</v>
      </c>
      <c r="O23" s="228">
        <v>119</v>
      </c>
      <c r="P23" s="228" t="s">
        <v>606</v>
      </c>
      <c r="Q23" s="228" t="s">
        <v>606</v>
      </c>
      <c r="R23" s="228">
        <v>8560</v>
      </c>
      <c r="S23" s="228" t="s">
        <v>629</v>
      </c>
      <c r="T23" s="228" t="s">
        <v>629</v>
      </c>
      <c r="U23" s="228" t="s">
        <v>629</v>
      </c>
      <c r="V23" s="228" t="s">
        <v>629</v>
      </c>
      <c r="W23" s="228" t="s">
        <v>629</v>
      </c>
      <c r="X23" s="228" t="s">
        <v>643</v>
      </c>
      <c r="Y23" s="228" t="s">
        <v>714</v>
      </c>
      <c r="Z23" s="228" t="s">
        <v>198</v>
      </c>
      <c r="AA23" s="230">
        <v>400.34779166666669</v>
      </c>
      <c r="AB23" s="228" t="s">
        <v>604</v>
      </c>
      <c r="AC23" s="230">
        <v>34.332885000000005</v>
      </c>
      <c r="AD23" s="228" t="s">
        <v>600</v>
      </c>
      <c r="AE23" s="15" t="s">
        <v>629</v>
      </c>
      <c r="AF23" s="224">
        <f t="shared" si="0"/>
        <v>0.25447338609559272</v>
      </c>
      <c r="AG23" s="224">
        <f t="shared" si="3"/>
        <v>0.71148836134453775</v>
      </c>
      <c r="AH23" s="224" t="e">
        <f t="shared" si="1"/>
        <v>#VALUE!</v>
      </c>
      <c r="AJ23" s="231">
        <v>14.593513750000003</v>
      </c>
      <c r="AK23" s="228" t="s">
        <v>598</v>
      </c>
      <c r="AL23" s="226">
        <f t="shared" si="2"/>
        <v>0.87736543067226891</v>
      </c>
    </row>
    <row r="24" spans="1:38" hidden="1" x14ac:dyDescent="0.2">
      <c r="A24" s="15">
        <v>771</v>
      </c>
      <c r="B24" s="228" t="s">
        <v>618</v>
      </c>
      <c r="C24" s="229" t="s">
        <v>711</v>
      </c>
      <c r="D24" s="228">
        <v>240</v>
      </c>
      <c r="E24" s="228" t="s">
        <v>629</v>
      </c>
      <c r="F24" s="228" t="s">
        <v>629</v>
      </c>
      <c r="G24" s="228" t="s">
        <v>629</v>
      </c>
      <c r="H24" s="228" t="s">
        <v>629</v>
      </c>
      <c r="I24" s="228" t="s">
        <v>629</v>
      </c>
      <c r="J24" s="228" t="s">
        <v>630</v>
      </c>
      <c r="K24" s="228" t="s">
        <v>714</v>
      </c>
      <c r="L24" s="228" t="s">
        <v>645</v>
      </c>
      <c r="M24" s="228">
        <v>537</v>
      </c>
      <c r="N24" s="228" t="s">
        <v>606</v>
      </c>
      <c r="O24" s="228">
        <v>119</v>
      </c>
      <c r="P24" s="228" t="s">
        <v>606</v>
      </c>
      <c r="Q24" s="228" t="s">
        <v>606</v>
      </c>
      <c r="R24" s="228">
        <v>8560</v>
      </c>
      <c r="S24" s="228" t="s">
        <v>629</v>
      </c>
      <c r="T24" s="228" t="s">
        <v>629</v>
      </c>
      <c r="U24" s="228" t="s">
        <v>629</v>
      </c>
      <c r="V24" s="228" t="s">
        <v>629</v>
      </c>
      <c r="W24" s="228" t="s">
        <v>629</v>
      </c>
      <c r="X24" s="232" t="s">
        <v>639</v>
      </c>
      <c r="Y24" s="228" t="s">
        <v>714</v>
      </c>
      <c r="Z24" s="228" t="s">
        <v>198</v>
      </c>
      <c r="AA24" s="230">
        <v>378</v>
      </c>
      <c r="AB24" s="228" t="s">
        <v>604</v>
      </c>
      <c r="AC24" s="230">
        <v>12</v>
      </c>
      <c r="AD24" s="228" t="s">
        <v>598</v>
      </c>
      <c r="AE24" s="15">
        <v>6529</v>
      </c>
      <c r="AF24" s="224">
        <f t="shared" si="0"/>
        <v>0.29608938547486036</v>
      </c>
      <c r="AG24" s="224">
        <f t="shared" si="3"/>
        <v>0.89915966386554624</v>
      </c>
      <c r="AH24" s="224">
        <f t="shared" si="1"/>
        <v>0.23726635514018693</v>
      </c>
      <c r="AJ24" s="231">
        <v>12.69666</v>
      </c>
      <c r="AK24" s="228" t="s">
        <v>598</v>
      </c>
      <c r="AL24" s="226">
        <f t="shared" si="2"/>
        <v>0.89330537815126054</v>
      </c>
    </row>
    <row r="25" spans="1:38" x14ac:dyDescent="0.2">
      <c r="A25" s="15">
        <v>754</v>
      </c>
      <c r="B25" s="228" t="s">
        <v>618</v>
      </c>
      <c r="C25" s="229" t="s">
        <v>711</v>
      </c>
      <c r="D25" s="228">
        <v>240</v>
      </c>
      <c r="E25" s="228" t="s">
        <v>629</v>
      </c>
      <c r="F25" s="228" t="s">
        <v>629</v>
      </c>
      <c r="G25" s="228" t="s">
        <v>629</v>
      </c>
      <c r="H25" s="228" t="s">
        <v>629</v>
      </c>
      <c r="I25" s="228" t="s">
        <v>629</v>
      </c>
      <c r="J25" s="228" t="s">
        <v>630</v>
      </c>
      <c r="K25" s="228" t="s">
        <v>714</v>
      </c>
      <c r="L25" s="228" t="s">
        <v>645</v>
      </c>
      <c r="M25" s="228">
        <v>537</v>
      </c>
      <c r="N25" s="228" t="s">
        <v>606</v>
      </c>
      <c r="O25" s="228">
        <v>119</v>
      </c>
      <c r="P25" s="228" t="s">
        <v>606</v>
      </c>
      <c r="Q25" s="228" t="s">
        <v>606</v>
      </c>
      <c r="R25" s="228">
        <v>8560</v>
      </c>
      <c r="S25" s="228" t="s">
        <v>468</v>
      </c>
      <c r="T25" s="228" t="s">
        <v>468</v>
      </c>
      <c r="U25" s="228" t="s">
        <v>468</v>
      </c>
      <c r="V25" s="228" t="s">
        <v>468</v>
      </c>
      <c r="W25" s="228" t="s">
        <v>468</v>
      </c>
      <c r="X25" s="228" t="s">
        <v>630</v>
      </c>
      <c r="Y25" s="228" t="s">
        <v>714</v>
      </c>
      <c r="Z25" s="228" t="s">
        <v>198</v>
      </c>
      <c r="AA25" s="230">
        <v>126</v>
      </c>
      <c r="AB25" s="228" t="s">
        <v>598</v>
      </c>
      <c r="AC25" s="230">
        <v>25</v>
      </c>
      <c r="AD25" s="228" t="s">
        <v>598</v>
      </c>
      <c r="AE25" s="15">
        <v>2427</v>
      </c>
      <c r="AF25" s="224">
        <f t="shared" si="0"/>
        <v>0.76536312849162014</v>
      </c>
      <c r="AG25" s="224">
        <f t="shared" si="3"/>
        <v>0.78991596638655459</v>
      </c>
      <c r="AH25" s="224">
        <f t="shared" si="1"/>
        <v>0.71647196261682244</v>
      </c>
      <c r="AJ25" s="231">
        <v>5.3400875000000001</v>
      </c>
      <c r="AK25" s="228" t="s">
        <v>594</v>
      </c>
      <c r="AL25" s="226">
        <f t="shared" si="2"/>
        <v>0.95512531512605048</v>
      </c>
    </row>
    <row r="26" spans="1:38" x14ac:dyDescent="0.2">
      <c r="A26" s="15">
        <v>766</v>
      </c>
      <c r="B26" s="228" t="s">
        <v>618</v>
      </c>
      <c r="C26" s="229" t="s">
        <v>711</v>
      </c>
      <c r="D26" s="228">
        <v>240</v>
      </c>
      <c r="E26" s="228" t="s">
        <v>629</v>
      </c>
      <c r="F26" s="228" t="s">
        <v>629</v>
      </c>
      <c r="G26" s="228" t="s">
        <v>629</v>
      </c>
      <c r="H26" s="228" t="s">
        <v>629</v>
      </c>
      <c r="I26" s="228" t="s">
        <v>629</v>
      </c>
      <c r="J26" s="228" t="s">
        <v>630</v>
      </c>
      <c r="K26" s="228" t="s">
        <v>714</v>
      </c>
      <c r="L26" s="228" t="s">
        <v>645</v>
      </c>
      <c r="M26" s="228">
        <v>537</v>
      </c>
      <c r="N26" s="228" t="s">
        <v>606</v>
      </c>
      <c r="O26" s="228">
        <v>119</v>
      </c>
      <c r="P26" s="228" t="s">
        <v>606</v>
      </c>
      <c r="Q26" s="228" t="s">
        <v>606</v>
      </c>
      <c r="R26" s="228">
        <v>8560</v>
      </c>
      <c r="S26" s="228" t="s">
        <v>468</v>
      </c>
      <c r="T26" s="228" t="s">
        <v>468</v>
      </c>
      <c r="U26" s="228" t="s">
        <v>468</v>
      </c>
      <c r="V26" s="228" t="s">
        <v>468</v>
      </c>
      <c r="W26" s="228" t="s">
        <v>468</v>
      </c>
      <c r="X26" s="228" t="s">
        <v>636</v>
      </c>
      <c r="Y26" s="228" t="s">
        <v>714</v>
      </c>
      <c r="Z26" s="228" t="s">
        <v>198</v>
      </c>
      <c r="AA26" s="230">
        <v>106</v>
      </c>
      <c r="AB26" s="228" t="s">
        <v>596</v>
      </c>
      <c r="AC26" s="230">
        <v>21</v>
      </c>
      <c r="AD26" s="228" t="s">
        <v>598</v>
      </c>
      <c r="AE26" s="15">
        <v>2129</v>
      </c>
      <c r="AF26" s="224">
        <f t="shared" si="0"/>
        <v>0.8026070763500931</v>
      </c>
      <c r="AG26" s="224">
        <f t="shared" si="3"/>
        <v>0.82352941176470584</v>
      </c>
      <c r="AH26" s="224">
        <f t="shared" si="1"/>
        <v>0.75128504672897201</v>
      </c>
      <c r="AJ26" s="231">
        <v>4.4718358333333326</v>
      </c>
      <c r="AK26" s="228" t="s">
        <v>594</v>
      </c>
      <c r="AL26" s="226">
        <f t="shared" si="2"/>
        <v>0.96242154761904763</v>
      </c>
    </row>
    <row r="27" spans="1:38" x14ac:dyDescent="0.2">
      <c r="A27" s="15">
        <v>764</v>
      </c>
      <c r="B27" s="228" t="s">
        <v>618</v>
      </c>
      <c r="C27" s="229" t="s">
        <v>711</v>
      </c>
      <c r="D27" s="228">
        <v>240</v>
      </c>
      <c r="E27" s="228" t="s">
        <v>629</v>
      </c>
      <c r="F27" s="228" t="s">
        <v>629</v>
      </c>
      <c r="G27" s="228" t="s">
        <v>629</v>
      </c>
      <c r="H27" s="228" t="s">
        <v>629</v>
      </c>
      <c r="I27" s="228" t="s">
        <v>629</v>
      </c>
      <c r="J27" s="228" t="s">
        <v>630</v>
      </c>
      <c r="K27" s="228" t="s">
        <v>714</v>
      </c>
      <c r="L27" s="228" t="s">
        <v>645</v>
      </c>
      <c r="M27" s="228">
        <v>537</v>
      </c>
      <c r="N27" s="228" t="s">
        <v>606</v>
      </c>
      <c r="O27" s="228">
        <v>119</v>
      </c>
      <c r="P27" s="228" t="s">
        <v>606</v>
      </c>
      <c r="Q27" s="228" t="s">
        <v>606</v>
      </c>
      <c r="R27" s="228">
        <v>8560</v>
      </c>
      <c r="S27" s="228" t="s">
        <v>468</v>
      </c>
      <c r="T27" s="228" t="s">
        <v>468</v>
      </c>
      <c r="U27" s="228" t="s">
        <v>468</v>
      </c>
      <c r="V27" s="228" t="s">
        <v>468</v>
      </c>
      <c r="W27" s="228" t="s">
        <v>468</v>
      </c>
      <c r="X27" s="228" t="s">
        <v>643</v>
      </c>
      <c r="Y27" s="228" t="s">
        <v>714</v>
      </c>
      <c r="Z27" s="228" t="s">
        <v>198</v>
      </c>
      <c r="AA27" s="230">
        <v>129.08370833333336</v>
      </c>
      <c r="AB27" s="228" t="s">
        <v>598</v>
      </c>
      <c r="AC27" s="230">
        <v>13.063703333333335</v>
      </c>
      <c r="AD27" s="228" t="s">
        <v>598</v>
      </c>
      <c r="AE27" s="15" t="s">
        <v>629</v>
      </c>
      <c r="AF27" s="224">
        <f t="shared" si="0"/>
        <v>0.75962065487274988</v>
      </c>
      <c r="AG27" s="224">
        <f t="shared" si="3"/>
        <v>0.8902209803921568</v>
      </c>
      <c r="AH27" s="224" t="e">
        <f t="shared" si="1"/>
        <v>#VALUE!</v>
      </c>
      <c r="AJ27" s="231">
        <v>4.6486770833333333</v>
      </c>
      <c r="AK27" s="228" t="s">
        <v>594</v>
      </c>
      <c r="AL27" s="226">
        <f t="shared" si="2"/>
        <v>0.96093548669467777</v>
      </c>
    </row>
    <row r="28" spans="1:38" x14ac:dyDescent="0.2">
      <c r="A28" s="15">
        <v>772</v>
      </c>
      <c r="B28" s="228" t="s">
        <v>618</v>
      </c>
      <c r="C28" s="229" t="s">
        <v>711</v>
      </c>
      <c r="D28" s="228">
        <v>240</v>
      </c>
      <c r="E28" s="228" t="s">
        <v>629</v>
      </c>
      <c r="F28" s="228" t="s">
        <v>629</v>
      </c>
      <c r="G28" s="228" t="s">
        <v>629</v>
      </c>
      <c r="H28" s="228" t="s">
        <v>629</v>
      </c>
      <c r="I28" s="228" t="s">
        <v>629</v>
      </c>
      <c r="J28" s="228" t="s">
        <v>630</v>
      </c>
      <c r="K28" s="228" t="s">
        <v>714</v>
      </c>
      <c r="L28" s="228" t="s">
        <v>645</v>
      </c>
      <c r="M28" s="228">
        <v>537</v>
      </c>
      <c r="N28" s="228" t="s">
        <v>606</v>
      </c>
      <c r="O28" s="228">
        <v>119</v>
      </c>
      <c r="P28" s="228" t="s">
        <v>606</v>
      </c>
      <c r="Q28" s="228" t="s">
        <v>606</v>
      </c>
      <c r="R28" s="228">
        <v>8560</v>
      </c>
      <c r="S28" s="228" t="s">
        <v>468</v>
      </c>
      <c r="T28" s="228" t="s">
        <v>468</v>
      </c>
      <c r="U28" s="228" t="s">
        <v>468</v>
      </c>
      <c r="V28" s="228" t="s">
        <v>468</v>
      </c>
      <c r="W28" s="228" t="s">
        <v>468</v>
      </c>
      <c r="X28" s="232" t="s">
        <v>639</v>
      </c>
      <c r="Y28" s="228" t="s">
        <v>714</v>
      </c>
      <c r="Z28" s="228" t="s">
        <v>198</v>
      </c>
      <c r="AA28" s="230">
        <v>118</v>
      </c>
      <c r="AB28" s="228" t="s">
        <v>598</v>
      </c>
      <c r="AC28" s="230">
        <v>3</v>
      </c>
      <c r="AD28" s="228" t="s">
        <v>594</v>
      </c>
      <c r="AE28" s="15">
        <v>2257</v>
      </c>
      <c r="AF28" s="224">
        <f t="shared" si="0"/>
        <v>0.78026070763500932</v>
      </c>
      <c r="AG28" s="224">
        <f t="shared" si="3"/>
        <v>0.97478991596638653</v>
      </c>
      <c r="AH28" s="224">
        <f t="shared" si="1"/>
        <v>0.73633177570093455</v>
      </c>
      <c r="AJ28" s="231">
        <v>3.7123445833333339</v>
      </c>
      <c r="AK28" s="228" t="s">
        <v>594</v>
      </c>
      <c r="AL28" s="226">
        <f t="shared" si="2"/>
        <v>0.96880382703081236</v>
      </c>
    </row>
    <row r="29" spans="1:38" x14ac:dyDescent="0.2">
      <c r="A29" s="15">
        <v>1717</v>
      </c>
      <c r="B29" s="228" t="s">
        <v>618</v>
      </c>
      <c r="C29" s="229" t="s">
        <v>623</v>
      </c>
      <c r="D29" s="228">
        <v>240</v>
      </c>
      <c r="E29" s="228" t="s">
        <v>629</v>
      </c>
      <c r="F29" s="228" t="s">
        <v>629</v>
      </c>
      <c r="G29" s="228" t="s">
        <v>629</v>
      </c>
      <c r="H29" s="228" t="s">
        <v>629</v>
      </c>
      <c r="I29" s="228" t="s">
        <v>629</v>
      </c>
      <c r="J29" s="228" t="s">
        <v>630</v>
      </c>
      <c r="K29" s="228" t="s">
        <v>714</v>
      </c>
      <c r="L29" s="228" t="s">
        <v>645</v>
      </c>
      <c r="M29" s="228">
        <v>493</v>
      </c>
      <c r="N29" s="228" t="s">
        <v>606</v>
      </c>
      <c r="O29" s="228">
        <v>109</v>
      </c>
      <c r="P29" s="228" t="s">
        <v>606</v>
      </c>
      <c r="Q29" s="228" t="s">
        <v>606</v>
      </c>
      <c r="R29" s="228">
        <v>7906</v>
      </c>
      <c r="S29" s="228" t="s">
        <v>468</v>
      </c>
      <c r="T29" s="228" t="s">
        <v>468</v>
      </c>
      <c r="U29" s="228" t="s">
        <v>468</v>
      </c>
      <c r="V29" s="228" t="s">
        <v>468</v>
      </c>
      <c r="W29" s="228" t="s">
        <v>468</v>
      </c>
      <c r="X29" s="228" t="s">
        <v>630</v>
      </c>
      <c r="Y29" s="228" t="s">
        <v>714</v>
      </c>
      <c r="Z29" s="228" t="s">
        <v>645</v>
      </c>
      <c r="AA29" s="230">
        <v>173</v>
      </c>
      <c r="AB29" s="228" t="s">
        <v>598</v>
      </c>
      <c r="AC29" s="230">
        <v>36</v>
      </c>
      <c r="AD29" s="228" t="s">
        <v>600</v>
      </c>
      <c r="AE29" s="15">
        <v>3172</v>
      </c>
      <c r="AF29" s="224">
        <f t="shared" si="0"/>
        <v>0.64908722109533468</v>
      </c>
      <c r="AG29" s="224">
        <f t="shared" si="3"/>
        <v>0.66972477064220182</v>
      </c>
      <c r="AH29" s="224">
        <f t="shared" si="1"/>
        <v>0.59878573235517329</v>
      </c>
      <c r="AJ29" s="231">
        <v>7.4352250000000009</v>
      </c>
      <c r="AK29" s="228" t="s">
        <v>596</v>
      </c>
      <c r="AL29" s="226">
        <f t="shared" si="2"/>
        <v>0.93178692660550455</v>
      </c>
    </row>
    <row r="30" spans="1:38" hidden="1" x14ac:dyDescent="0.2">
      <c r="A30" s="15">
        <v>891</v>
      </c>
      <c r="B30" s="228" t="s">
        <v>618</v>
      </c>
      <c r="C30" s="229" t="s">
        <v>623</v>
      </c>
      <c r="D30" s="228">
        <v>240</v>
      </c>
      <c r="E30" s="228" t="s">
        <v>629</v>
      </c>
      <c r="F30" s="228" t="s">
        <v>629</v>
      </c>
      <c r="G30" s="228" t="s">
        <v>629</v>
      </c>
      <c r="H30" s="228" t="s">
        <v>629</v>
      </c>
      <c r="I30" s="228" t="s">
        <v>629</v>
      </c>
      <c r="J30" s="228" t="s">
        <v>630</v>
      </c>
      <c r="K30" s="228" t="s">
        <v>714</v>
      </c>
      <c r="L30" s="228" t="s">
        <v>645</v>
      </c>
      <c r="M30" s="228">
        <v>493</v>
      </c>
      <c r="N30" s="228" t="s">
        <v>606</v>
      </c>
      <c r="O30" s="228">
        <v>109</v>
      </c>
      <c r="P30" s="228" t="s">
        <v>606</v>
      </c>
      <c r="Q30" s="228" t="s">
        <v>606</v>
      </c>
      <c r="R30" s="228">
        <v>7906</v>
      </c>
      <c r="S30" s="228" t="s">
        <v>629</v>
      </c>
      <c r="T30" s="228" t="s">
        <v>629</v>
      </c>
      <c r="U30" s="228" t="s">
        <v>629</v>
      </c>
      <c r="V30" s="228" t="s">
        <v>629</v>
      </c>
      <c r="W30" s="228" t="s">
        <v>629</v>
      </c>
      <c r="X30" s="228" t="s">
        <v>630</v>
      </c>
      <c r="Y30" s="228" t="s">
        <v>714</v>
      </c>
      <c r="Z30" s="228" t="s">
        <v>198</v>
      </c>
      <c r="AA30" s="230">
        <v>417</v>
      </c>
      <c r="AB30" s="228" t="s">
        <v>604</v>
      </c>
      <c r="AC30" s="230">
        <v>92</v>
      </c>
      <c r="AD30" s="228" t="s">
        <v>604</v>
      </c>
      <c r="AE30" s="15">
        <v>6782</v>
      </c>
      <c r="AF30" s="224">
        <f t="shared" si="0"/>
        <v>0.15415821501014199</v>
      </c>
      <c r="AG30" s="224">
        <f t="shared" si="3"/>
        <v>0.15596330275229359</v>
      </c>
      <c r="AH30" s="224">
        <f t="shared" si="1"/>
        <v>0.14217050341512774</v>
      </c>
      <c r="AJ30" s="231">
        <v>18.226065000000002</v>
      </c>
      <c r="AK30" s="228" t="s">
        <v>598</v>
      </c>
      <c r="AL30" s="226">
        <f t="shared" si="2"/>
        <v>0.83278839449541275</v>
      </c>
    </row>
    <row r="31" spans="1:38" hidden="1" x14ac:dyDescent="0.2">
      <c r="A31" s="15">
        <v>901</v>
      </c>
      <c r="B31" s="228" t="s">
        <v>618</v>
      </c>
      <c r="C31" s="229" t="s">
        <v>623</v>
      </c>
      <c r="D31" s="228">
        <v>240</v>
      </c>
      <c r="E31" s="228" t="s">
        <v>629</v>
      </c>
      <c r="F31" s="228" t="s">
        <v>629</v>
      </c>
      <c r="G31" s="228" t="s">
        <v>629</v>
      </c>
      <c r="H31" s="228" t="s">
        <v>629</v>
      </c>
      <c r="I31" s="228" t="s">
        <v>629</v>
      </c>
      <c r="J31" s="228" t="s">
        <v>630</v>
      </c>
      <c r="K31" s="228" t="s">
        <v>714</v>
      </c>
      <c r="L31" s="228" t="s">
        <v>645</v>
      </c>
      <c r="M31" s="228">
        <v>493</v>
      </c>
      <c r="N31" s="228" t="s">
        <v>606</v>
      </c>
      <c r="O31" s="228">
        <v>109</v>
      </c>
      <c r="P31" s="228" t="s">
        <v>606</v>
      </c>
      <c r="Q31" s="228" t="s">
        <v>606</v>
      </c>
      <c r="R31" s="228">
        <v>7906</v>
      </c>
      <c r="S31" s="228" t="s">
        <v>629</v>
      </c>
      <c r="T31" s="228" t="s">
        <v>629</v>
      </c>
      <c r="U31" s="228" t="s">
        <v>629</v>
      </c>
      <c r="V31" s="228" t="s">
        <v>629</v>
      </c>
      <c r="W31" s="228" t="s">
        <v>629</v>
      </c>
      <c r="X31" s="228" t="s">
        <v>636</v>
      </c>
      <c r="Y31" s="228" t="s">
        <v>714</v>
      </c>
      <c r="Z31" s="228" t="s">
        <v>198</v>
      </c>
      <c r="AA31" s="230">
        <v>380</v>
      </c>
      <c r="AB31" s="228" t="s">
        <v>604</v>
      </c>
      <c r="AC31" s="230">
        <v>83</v>
      </c>
      <c r="AD31" s="228" t="s">
        <v>604</v>
      </c>
      <c r="AE31" s="15">
        <v>6270</v>
      </c>
      <c r="AF31" s="224">
        <f t="shared" si="0"/>
        <v>0.22920892494929007</v>
      </c>
      <c r="AG31" s="224">
        <f t="shared" si="3"/>
        <v>0.23853211009174313</v>
      </c>
      <c r="AH31" s="224">
        <f t="shared" si="1"/>
        <v>0.20693144447255249</v>
      </c>
      <c r="AJ31" s="231">
        <v>16.549381666666665</v>
      </c>
      <c r="AK31" s="228" t="s">
        <v>598</v>
      </c>
      <c r="AL31" s="226">
        <f t="shared" si="2"/>
        <v>0.8481708103975536</v>
      </c>
    </row>
    <row r="32" spans="1:38" hidden="1" x14ac:dyDescent="0.2">
      <c r="A32" s="15">
        <v>963</v>
      </c>
      <c r="B32" s="228" t="s">
        <v>618</v>
      </c>
      <c r="C32" s="229" t="s">
        <v>623</v>
      </c>
      <c r="D32" s="228">
        <v>240</v>
      </c>
      <c r="E32" s="228" t="s">
        <v>629</v>
      </c>
      <c r="F32" s="228" t="s">
        <v>629</v>
      </c>
      <c r="G32" s="228" t="s">
        <v>629</v>
      </c>
      <c r="H32" s="228" t="s">
        <v>629</v>
      </c>
      <c r="I32" s="228" t="s">
        <v>629</v>
      </c>
      <c r="J32" s="228" t="s">
        <v>630</v>
      </c>
      <c r="K32" s="228" t="s">
        <v>714</v>
      </c>
      <c r="L32" s="228" t="s">
        <v>645</v>
      </c>
      <c r="M32" s="228">
        <v>493</v>
      </c>
      <c r="N32" s="228" t="s">
        <v>606</v>
      </c>
      <c r="O32" s="228">
        <v>109</v>
      </c>
      <c r="P32" s="228" t="s">
        <v>606</v>
      </c>
      <c r="Q32" s="228" t="s">
        <v>606</v>
      </c>
      <c r="R32" s="228">
        <v>7906</v>
      </c>
      <c r="S32" s="228" t="s">
        <v>629</v>
      </c>
      <c r="T32" s="228" t="s">
        <v>629</v>
      </c>
      <c r="U32" s="228" t="s">
        <v>629</v>
      </c>
      <c r="V32" s="228" t="s">
        <v>629</v>
      </c>
      <c r="W32" s="228" t="s">
        <v>629</v>
      </c>
      <c r="X32" s="228" t="s">
        <v>643</v>
      </c>
      <c r="Y32" s="228" t="s">
        <v>714</v>
      </c>
      <c r="Z32" s="228" t="s">
        <v>198</v>
      </c>
      <c r="AA32" s="230">
        <v>366.36210416666665</v>
      </c>
      <c r="AB32" s="228" t="s">
        <v>604</v>
      </c>
      <c r="AC32" s="230">
        <v>31.600330416666672</v>
      </c>
      <c r="AD32" s="228" t="s">
        <v>600</v>
      </c>
      <c r="AE32" s="15" t="s">
        <v>629</v>
      </c>
      <c r="AF32" s="224">
        <f t="shared" si="0"/>
        <v>0.25687199966193375</v>
      </c>
      <c r="AG32" s="224">
        <f t="shared" si="3"/>
        <v>0.71008871177370014</v>
      </c>
      <c r="AH32" s="224" t="e">
        <f t="shared" si="1"/>
        <v>#VALUE!</v>
      </c>
      <c r="AJ32" s="231">
        <v>13.355649791666668</v>
      </c>
      <c r="AK32" s="228" t="s">
        <v>598</v>
      </c>
      <c r="AL32" s="226">
        <f t="shared" si="2"/>
        <v>0.87747110282874619</v>
      </c>
    </row>
    <row r="33" spans="1:38" hidden="1" x14ac:dyDescent="0.2">
      <c r="A33" s="15">
        <v>907</v>
      </c>
      <c r="B33" s="228" t="s">
        <v>618</v>
      </c>
      <c r="C33" s="229" t="s">
        <v>623</v>
      </c>
      <c r="D33" s="228">
        <v>240</v>
      </c>
      <c r="E33" s="228" t="s">
        <v>629</v>
      </c>
      <c r="F33" s="228" t="s">
        <v>629</v>
      </c>
      <c r="G33" s="228" t="s">
        <v>629</v>
      </c>
      <c r="H33" s="228" t="s">
        <v>629</v>
      </c>
      <c r="I33" s="228" t="s">
        <v>629</v>
      </c>
      <c r="J33" s="228" t="s">
        <v>630</v>
      </c>
      <c r="K33" s="228" t="s">
        <v>714</v>
      </c>
      <c r="L33" s="228" t="s">
        <v>645</v>
      </c>
      <c r="M33" s="228">
        <v>493</v>
      </c>
      <c r="N33" s="228" t="s">
        <v>606</v>
      </c>
      <c r="O33" s="228">
        <v>109</v>
      </c>
      <c r="P33" s="228" t="s">
        <v>606</v>
      </c>
      <c r="Q33" s="228" t="s">
        <v>606</v>
      </c>
      <c r="R33" s="228">
        <v>7906</v>
      </c>
      <c r="S33" s="228" t="s">
        <v>629</v>
      </c>
      <c r="T33" s="228" t="s">
        <v>629</v>
      </c>
      <c r="U33" s="228" t="s">
        <v>629</v>
      </c>
      <c r="V33" s="228" t="s">
        <v>629</v>
      </c>
      <c r="W33" s="228" t="s">
        <v>629</v>
      </c>
      <c r="X33" s="232" t="s">
        <v>639</v>
      </c>
      <c r="Y33" s="228" t="s">
        <v>714</v>
      </c>
      <c r="Z33" s="228" t="s">
        <v>198</v>
      </c>
      <c r="AA33" s="230">
        <v>346</v>
      </c>
      <c r="AB33" s="228" t="s">
        <v>604</v>
      </c>
      <c r="AC33" s="230">
        <v>11</v>
      </c>
      <c r="AD33" s="228" t="s">
        <v>598</v>
      </c>
      <c r="AE33" s="15">
        <v>5981</v>
      </c>
      <c r="AF33" s="224">
        <f t="shared" si="0"/>
        <v>0.29817444219066935</v>
      </c>
      <c r="AG33" s="224">
        <f t="shared" si="3"/>
        <v>0.8990825688073395</v>
      </c>
      <c r="AH33" s="224">
        <f t="shared" si="1"/>
        <v>0.24348596003035669</v>
      </c>
      <c r="AJ33" s="231">
        <v>11.591749166666668</v>
      </c>
      <c r="AK33" s="228" t="s">
        <v>598</v>
      </c>
      <c r="AL33" s="226">
        <f t="shared" si="2"/>
        <v>0.89365367737003054</v>
      </c>
    </row>
    <row r="34" spans="1:38" x14ac:dyDescent="0.2">
      <c r="A34" s="15">
        <v>892</v>
      </c>
      <c r="B34" s="228" t="s">
        <v>618</v>
      </c>
      <c r="C34" s="229" t="s">
        <v>623</v>
      </c>
      <c r="D34" s="228">
        <v>240</v>
      </c>
      <c r="E34" s="228" t="s">
        <v>629</v>
      </c>
      <c r="F34" s="228" t="s">
        <v>629</v>
      </c>
      <c r="G34" s="228" t="s">
        <v>629</v>
      </c>
      <c r="H34" s="228" t="s">
        <v>629</v>
      </c>
      <c r="I34" s="228" t="s">
        <v>629</v>
      </c>
      <c r="J34" s="228" t="s">
        <v>630</v>
      </c>
      <c r="K34" s="228" t="s">
        <v>714</v>
      </c>
      <c r="L34" s="228" t="s">
        <v>645</v>
      </c>
      <c r="M34" s="228">
        <v>493</v>
      </c>
      <c r="N34" s="228" t="s">
        <v>606</v>
      </c>
      <c r="O34" s="228">
        <v>109</v>
      </c>
      <c r="P34" s="228" t="s">
        <v>606</v>
      </c>
      <c r="Q34" s="228" t="s">
        <v>606</v>
      </c>
      <c r="R34" s="228">
        <v>7906</v>
      </c>
      <c r="S34" s="228" t="s">
        <v>468</v>
      </c>
      <c r="T34" s="228" t="s">
        <v>468</v>
      </c>
      <c r="U34" s="228" t="s">
        <v>468</v>
      </c>
      <c r="V34" s="228" t="s">
        <v>468</v>
      </c>
      <c r="W34" s="228" t="s">
        <v>468</v>
      </c>
      <c r="X34" s="228" t="s">
        <v>630</v>
      </c>
      <c r="Y34" s="228" t="s">
        <v>714</v>
      </c>
      <c r="Z34" s="228" t="s">
        <v>198</v>
      </c>
      <c r="AA34" s="230">
        <v>111</v>
      </c>
      <c r="AB34" s="228" t="s">
        <v>598</v>
      </c>
      <c r="AC34" s="230">
        <v>22</v>
      </c>
      <c r="AD34" s="228" t="s">
        <v>598</v>
      </c>
      <c r="AE34" s="15">
        <v>2194</v>
      </c>
      <c r="AF34" s="224">
        <f t="shared" si="0"/>
        <v>0.77484787018255574</v>
      </c>
      <c r="AG34" s="224">
        <f t="shared" si="3"/>
        <v>0.79816513761467889</v>
      </c>
      <c r="AH34" s="224">
        <f t="shared" si="1"/>
        <v>0.72248924867189479</v>
      </c>
      <c r="AJ34" s="231">
        <v>4.6914216666666677</v>
      </c>
      <c r="AK34" s="228" t="s">
        <v>594</v>
      </c>
      <c r="AL34" s="226">
        <f t="shared" si="2"/>
        <v>0.95695943425076446</v>
      </c>
    </row>
    <row r="35" spans="1:38" x14ac:dyDescent="0.2">
      <c r="A35" s="15">
        <v>902</v>
      </c>
      <c r="B35" s="228" t="s">
        <v>618</v>
      </c>
      <c r="C35" s="229" t="s">
        <v>623</v>
      </c>
      <c r="D35" s="228">
        <v>240</v>
      </c>
      <c r="E35" s="228" t="s">
        <v>629</v>
      </c>
      <c r="F35" s="228" t="s">
        <v>629</v>
      </c>
      <c r="G35" s="228" t="s">
        <v>629</v>
      </c>
      <c r="H35" s="228" t="s">
        <v>629</v>
      </c>
      <c r="I35" s="228" t="s">
        <v>629</v>
      </c>
      <c r="J35" s="228" t="s">
        <v>630</v>
      </c>
      <c r="K35" s="228" t="s">
        <v>714</v>
      </c>
      <c r="L35" s="228" t="s">
        <v>645</v>
      </c>
      <c r="M35" s="228">
        <v>493</v>
      </c>
      <c r="N35" s="228" t="s">
        <v>606</v>
      </c>
      <c r="O35" s="228">
        <v>109</v>
      </c>
      <c r="P35" s="228" t="s">
        <v>606</v>
      </c>
      <c r="Q35" s="228" t="s">
        <v>606</v>
      </c>
      <c r="R35" s="228">
        <v>7906</v>
      </c>
      <c r="S35" s="228" t="s">
        <v>468</v>
      </c>
      <c r="T35" s="228" t="s">
        <v>468</v>
      </c>
      <c r="U35" s="228" t="s">
        <v>468</v>
      </c>
      <c r="V35" s="228" t="s">
        <v>468</v>
      </c>
      <c r="W35" s="228" t="s">
        <v>468</v>
      </c>
      <c r="X35" s="228" t="s">
        <v>636</v>
      </c>
      <c r="Y35" s="228" t="s">
        <v>714</v>
      </c>
      <c r="Z35" s="228" t="s">
        <v>198</v>
      </c>
      <c r="AA35" s="230">
        <v>89</v>
      </c>
      <c r="AB35" s="228" t="s">
        <v>596</v>
      </c>
      <c r="AC35" s="230">
        <v>17</v>
      </c>
      <c r="AD35" s="228" t="s">
        <v>598</v>
      </c>
      <c r="AE35" s="15">
        <v>1848</v>
      </c>
      <c r="AF35" s="224">
        <f t="shared" si="0"/>
        <v>0.81947261663286008</v>
      </c>
      <c r="AG35" s="224">
        <f t="shared" si="3"/>
        <v>0.84403669724770647</v>
      </c>
      <c r="AH35" s="224">
        <f t="shared" si="1"/>
        <v>0.76625347837085755</v>
      </c>
      <c r="AJ35" s="231">
        <v>3.7050299999999994</v>
      </c>
      <c r="AK35" s="228" t="s">
        <v>594</v>
      </c>
      <c r="AL35" s="226">
        <f t="shared" si="2"/>
        <v>0.96600889908256882</v>
      </c>
    </row>
    <row r="36" spans="1:38" x14ac:dyDescent="0.2">
      <c r="A36" s="15">
        <v>965</v>
      </c>
      <c r="B36" s="228" t="s">
        <v>618</v>
      </c>
      <c r="C36" s="229" t="s">
        <v>623</v>
      </c>
      <c r="D36" s="228">
        <v>240</v>
      </c>
      <c r="E36" s="228" t="s">
        <v>629</v>
      </c>
      <c r="F36" s="228" t="s">
        <v>629</v>
      </c>
      <c r="G36" s="228" t="s">
        <v>629</v>
      </c>
      <c r="H36" s="228" t="s">
        <v>629</v>
      </c>
      <c r="I36" s="228" t="s">
        <v>629</v>
      </c>
      <c r="J36" s="228" t="s">
        <v>630</v>
      </c>
      <c r="K36" s="228" t="s">
        <v>714</v>
      </c>
      <c r="L36" s="228" t="s">
        <v>645</v>
      </c>
      <c r="M36" s="228">
        <v>493</v>
      </c>
      <c r="N36" s="228" t="s">
        <v>606</v>
      </c>
      <c r="O36" s="228">
        <v>109</v>
      </c>
      <c r="P36" s="228" t="s">
        <v>606</v>
      </c>
      <c r="Q36" s="228" t="s">
        <v>606</v>
      </c>
      <c r="R36" s="228">
        <v>7906</v>
      </c>
      <c r="S36" s="228" t="s">
        <v>468</v>
      </c>
      <c r="T36" s="228" t="s">
        <v>468</v>
      </c>
      <c r="U36" s="228" t="s">
        <v>468</v>
      </c>
      <c r="V36" s="228" t="s">
        <v>468</v>
      </c>
      <c r="W36" s="228" t="s">
        <v>468</v>
      </c>
      <c r="X36" s="228" t="s">
        <v>643</v>
      </c>
      <c r="Y36" s="228" t="s">
        <v>714</v>
      </c>
      <c r="Z36" s="228" t="s">
        <v>198</v>
      </c>
      <c r="AA36" s="230">
        <v>118.09839583333334</v>
      </c>
      <c r="AB36" s="228" t="s">
        <v>598</v>
      </c>
      <c r="AC36" s="230">
        <v>12.117984583333332</v>
      </c>
      <c r="AD36" s="228" t="s">
        <v>598</v>
      </c>
      <c r="AE36" s="15" t="s">
        <v>629</v>
      </c>
      <c r="AF36" s="224">
        <f t="shared" si="0"/>
        <v>0.76044950135226497</v>
      </c>
      <c r="AG36" s="224">
        <f t="shared" si="3"/>
        <v>0.88882582951070332</v>
      </c>
      <c r="AH36" s="224" t="e">
        <f t="shared" si="1"/>
        <v>#VALUE!</v>
      </c>
      <c r="AJ36" s="231">
        <v>4.2493277083333334</v>
      </c>
      <c r="AK36" s="228" t="s">
        <v>594</v>
      </c>
      <c r="AL36" s="226">
        <f t="shared" si="2"/>
        <v>0.9610153421253822</v>
      </c>
    </row>
    <row r="37" spans="1:38" x14ac:dyDescent="0.2">
      <c r="A37" s="15">
        <v>908</v>
      </c>
      <c r="B37" s="228" t="s">
        <v>618</v>
      </c>
      <c r="C37" s="229" t="s">
        <v>623</v>
      </c>
      <c r="D37" s="228">
        <v>240</v>
      </c>
      <c r="E37" s="228" t="s">
        <v>629</v>
      </c>
      <c r="F37" s="228" t="s">
        <v>629</v>
      </c>
      <c r="G37" s="228" t="s">
        <v>629</v>
      </c>
      <c r="H37" s="228" t="s">
        <v>629</v>
      </c>
      <c r="I37" s="228" t="s">
        <v>629</v>
      </c>
      <c r="J37" s="228" t="s">
        <v>630</v>
      </c>
      <c r="K37" s="228" t="s">
        <v>714</v>
      </c>
      <c r="L37" s="228" t="s">
        <v>645</v>
      </c>
      <c r="M37" s="228">
        <v>493</v>
      </c>
      <c r="N37" s="228" t="s">
        <v>606</v>
      </c>
      <c r="O37" s="228">
        <v>109</v>
      </c>
      <c r="P37" s="228" t="s">
        <v>606</v>
      </c>
      <c r="Q37" s="228" t="s">
        <v>606</v>
      </c>
      <c r="R37" s="228">
        <v>7906</v>
      </c>
      <c r="S37" s="228" t="s">
        <v>468</v>
      </c>
      <c r="T37" s="228" t="s">
        <v>468</v>
      </c>
      <c r="U37" s="228" t="s">
        <v>468</v>
      </c>
      <c r="V37" s="228" t="s">
        <v>468</v>
      </c>
      <c r="W37" s="228" t="s">
        <v>468</v>
      </c>
      <c r="X37" s="232" t="s">
        <v>639</v>
      </c>
      <c r="Y37" s="228" t="s">
        <v>714</v>
      </c>
      <c r="Z37" s="228" t="s">
        <v>198</v>
      </c>
      <c r="AA37" s="230">
        <v>109</v>
      </c>
      <c r="AB37" s="228" t="s">
        <v>596</v>
      </c>
      <c r="AC37" s="230">
        <v>3</v>
      </c>
      <c r="AD37" s="228" t="s">
        <v>594</v>
      </c>
      <c r="AE37" s="15">
        <v>2106</v>
      </c>
      <c r="AF37" s="224">
        <f t="shared" si="0"/>
        <v>0.77890466531440161</v>
      </c>
      <c r="AG37" s="224">
        <f t="shared" si="3"/>
        <v>0.97247706422018354</v>
      </c>
      <c r="AH37" s="224">
        <f t="shared" si="1"/>
        <v>0.73362003541613963</v>
      </c>
      <c r="AJ37" s="231">
        <v>3.4138108333333337</v>
      </c>
      <c r="AK37" s="228" t="s">
        <v>594</v>
      </c>
      <c r="AL37" s="226">
        <f t="shared" si="2"/>
        <v>0.96868063455657494</v>
      </c>
    </row>
    <row r="38" spans="1:38" x14ac:dyDescent="0.2">
      <c r="A38" s="15">
        <v>1718</v>
      </c>
      <c r="B38" s="228" t="s">
        <v>618</v>
      </c>
      <c r="C38" s="229" t="s">
        <v>713</v>
      </c>
      <c r="D38" s="228">
        <v>240</v>
      </c>
      <c r="E38" s="228" t="s">
        <v>629</v>
      </c>
      <c r="F38" s="228" t="s">
        <v>629</v>
      </c>
      <c r="G38" s="228" t="s">
        <v>629</v>
      </c>
      <c r="H38" s="228" t="s">
        <v>629</v>
      </c>
      <c r="I38" s="228" t="s">
        <v>629</v>
      </c>
      <c r="J38" s="228" t="s">
        <v>630</v>
      </c>
      <c r="K38" s="228" t="s">
        <v>714</v>
      </c>
      <c r="L38" s="228" t="s">
        <v>645</v>
      </c>
      <c r="M38" s="228">
        <v>360</v>
      </c>
      <c r="N38" s="228" t="s">
        <v>604</v>
      </c>
      <c r="O38" s="228">
        <v>79</v>
      </c>
      <c r="P38" s="228" t="s">
        <v>604</v>
      </c>
      <c r="Q38" s="228" t="s">
        <v>604</v>
      </c>
      <c r="R38" s="228">
        <v>5911</v>
      </c>
      <c r="S38" s="228" t="s">
        <v>468</v>
      </c>
      <c r="T38" s="228" t="s">
        <v>468</v>
      </c>
      <c r="U38" s="228" t="s">
        <v>468</v>
      </c>
      <c r="V38" s="228" t="s">
        <v>468</v>
      </c>
      <c r="W38" s="228" t="s">
        <v>468</v>
      </c>
      <c r="X38" s="228" t="s">
        <v>630</v>
      </c>
      <c r="Y38" s="228" t="s">
        <v>714</v>
      </c>
      <c r="Z38" s="228" t="s">
        <v>645</v>
      </c>
      <c r="AA38" s="230">
        <v>137</v>
      </c>
      <c r="AB38" s="228" t="s">
        <v>598</v>
      </c>
      <c r="AC38" s="230">
        <v>28</v>
      </c>
      <c r="AD38" s="228" t="s">
        <v>598</v>
      </c>
      <c r="AE38" s="15">
        <v>2598</v>
      </c>
      <c r="AF38" s="224">
        <f t="shared" si="0"/>
        <v>0.61944444444444446</v>
      </c>
      <c r="AG38" s="224">
        <f t="shared" si="3"/>
        <v>0.64556962025316456</v>
      </c>
      <c r="AH38" s="224">
        <f t="shared" si="1"/>
        <v>0.56048046015902553</v>
      </c>
      <c r="AJ38" s="231">
        <v>5.8548600000000004</v>
      </c>
      <c r="AK38" s="228" t="s">
        <v>594</v>
      </c>
      <c r="AL38" s="226">
        <f t="shared" si="2"/>
        <v>0.92588784810126579</v>
      </c>
    </row>
    <row r="39" spans="1:38" hidden="1" x14ac:dyDescent="0.2">
      <c r="A39" s="15">
        <v>959</v>
      </c>
      <c r="B39" s="228" t="s">
        <v>618</v>
      </c>
      <c r="C39" s="229" t="s">
        <v>713</v>
      </c>
      <c r="D39" s="228">
        <v>240</v>
      </c>
      <c r="E39" s="228" t="s">
        <v>629</v>
      </c>
      <c r="F39" s="228" t="s">
        <v>629</v>
      </c>
      <c r="G39" s="228" t="s">
        <v>629</v>
      </c>
      <c r="H39" s="228" t="s">
        <v>629</v>
      </c>
      <c r="I39" s="228" t="s">
        <v>629</v>
      </c>
      <c r="J39" s="228" t="s">
        <v>630</v>
      </c>
      <c r="K39" s="228" t="s">
        <v>714</v>
      </c>
      <c r="L39" s="228" t="s">
        <v>645</v>
      </c>
      <c r="M39" s="228">
        <v>360</v>
      </c>
      <c r="N39" s="228" t="s">
        <v>604</v>
      </c>
      <c r="O39" s="228">
        <v>79</v>
      </c>
      <c r="P39" s="228" t="s">
        <v>604</v>
      </c>
      <c r="Q39" s="228" t="s">
        <v>604</v>
      </c>
      <c r="R39" s="228">
        <v>5911</v>
      </c>
      <c r="S39" s="228" t="s">
        <v>629</v>
      </c>
      <c r="T39" s="228" t="s">
        <v>629</v>
      </c>
      <c r="U39" s="228" t="s">
        <v>629</v>
      </c>
      <c r="V39" s="228" t="s">
        <v>629</v>
      </c>
      <c r="W39" s="228" t="s">
        <v>629</v>
      </c>
      <c r="X39" s="228" t="s">
        <v>630</v>
      </c>
      <c r="Y39" s="228" t="s">
        <v>714</v>
      </c>
      <c r="Z39" s="228" t="s">
        <v>198</v>
      </c>
      <c r="AA39" s="230">
        <v>303</v>
      </c>
      <c r="AB39" s="228" t="s">
        <v>602</v>
      </c>
      <c r="AC39" s="230">
        <v>67</v>
      </c>
      <c r="AD39" s="228" t="s">
        <v>602</v>
      </c>
      <c r="AE39" s="15">
        <v>5068</v>
      </c>
      <c r="AF39" s="224">
        <f t="shared" si="0"/>
        <v>0.15833333333333333</v>
      </c>
      <c r="AG39" s="224">
        <f t="shared" si="3"/>
        <v>0.15189873417721519</v>
      </c>
      <c r="AH39" s="224">
        <f t="shared" si="1"/>
        <v>0.14261546269666722</v>
      </c>
      <c r="AJ39" s="231">
        <v>13.236101666666666</v>
      </c>
      <c r="AK39" s="228" t="s">
        <v>598</v>
      </c>
      <c r="AL39" s="226">
        <f t="shared" si="2"/>
        <v>0.83245440928270042</v>
      </c>
    </row>
    <row r="40" spans="1:38" hidden="1" x14ac:dyDescent="0.2">
      <c r="A40" s="15">
        <v>971</v>
      </c>
      <c r="B40" s="228" t="s">
        <v>618</v>
      </c>
      <c r="C40" s="229" t="s">
        <v>713</v>
      </c>
      <c r="D40" s="228">
        <v>240</v>
      </c>
      <c r="E40" s="228" t="s">
        <v>629</v>
      </c>
      <c r="F40" s="228" t="s">
        <v>629</v>
      </c>
      <c r="G40" s="228" t="s">
        <v>629</v>
      </c>
      <c r="H40" s="228" t="s">
        <v>629</v>
      </c>
      <c r="I40" s="228" t="s">
        <v>629</v>
      </c>
      <c r="J40" s="228" t="s">
        <v>630</v>
      </c>
      <c r="K40" s="228" t="s">
        <v>714</v>
      </c>
      <c r="L40" s="228" t="s">
        <v>645</v>
      </c>
      <c r="M40" s="228">
        <v>360</v>
      </c>
      <c r="N40" s="228" t="s">
        <v>604</v>
      </c>
      <c r="O40" s="228">
        <v>79</v>
      </c>
      <c r="P40" s="228" t="s">
        <v>604</v>
      </c>
      <c r="Q40" s="228" t="s">
        <v>604</v>
      </c>
      <c r="R40" s="228">
        <v>5911</v>
      </c>
      <c r="S40" s="228" t="s">
        <v>629</v>
      </c>
      <c r="T40" s="228" t="s">
        <v>629</v>
      </c>
      <c r="U40" s="228" t="s">
        <v>629</v>
      </c>
      <c r="V40" s="228" t="s">
        <v>629</v>
      </c>
      <c r="W40" s="228" t="s">
        <v>629</v>
      </c>
      <c r="X40" s="228" t="s">
        <v>636</v>
      </c>
      <c r="Y40" s="228" t="s">
        <v>714</v>
      </c>
      <c r="Z40" s="228" t="s">
        <v>198</v>
      </c>
      <c r="AA40" s="230">
        <v>265</v>
      </c>
      <c r="AB40" s="228" t="s">
        <v>602</v>
      </c>
      <c r="AC40" s="230">
        <v>57</v>
      </c>
      <c r="AD40" s="228" t="s">
        <v>602</v>
      </c>
      <c r="AE40" s="15">
        <v>4526</v>
      </c>
      <c r="AF40" s="224">
        <f t="shared" si="0"/>
        <v>0.2638888888888889</v>
      </c>
      <c r="AG40" s="224">
        <f t="shared" si="3"/>
        <v>0.27848101265822783</v>
      </c>
      <c r="AH40" s="224">
        <f t="shared" si="1"/>
        <v>0.23430891558111994</v>
      </c>
      <c r="AJ40" s="231">
        <v>11.519338333333332</v>
      </c>
      <c r="AK40" s="228" t="s">
        <v>598</v>
      </c>
      <c r="AL40" s="226">
        <f t="shared" si="2"/>
        <v>0.85418559071729949</v>
      </c>
    </row>
    <row r="41" spans="1:38" hidden="1" x14ac:dyDescent="0.2">
      <c r="A41" s="15">
        <v>999</v>
      </c>
      <c r="B41" s="228" t="s">
        <v>618</v>
      </c>
      <c r="C41" s="229" t="s">
        <v>713</v>
      </c>
      <c r="D41" s="228">
        <v>240</v>
      </c>
      <c r="E41" s="228" t="s">
        <v>629</v>
      </c>
      <c r="F41" s="228" t="s">
        <v>629</v>
      </c>
      <c r="G41" s="228" t="s">
        <v>629</v>
      </c>
      <c r="H41" s="228" t="s">
        <v>629</v>
      </c>
      <c r="I41" s="228" t="s">
        <v>629</v>
      </c>
      <c r="J41" s="228" t="s">
        <v>630</v>
      </c>
      <c r="K41" s="228" t="s">
        <v>714</v>
      </c>
      <c r="L41" s="228" t="s">
        <v>645</v>
      </c>
      <c r="M41" s="228">
        <v>360</v>
      </c>
      <c r="N41" s="228" t="s">
        <v>604</v>
      </c>
      <c r="O41" s="228">
        <v>79</v>
      </c>
      <c r="P41" s="228" t="s">
        <v>604</v>
      </c>
      <c r="Q41" s="228" t="s">
        <v>604</v>
      </c>
      <c r="R41" s="228">
        <v>5911</v>
      </c>
      <c r="S41" s="228" t="s">
        <v>629</v>
      </c>
      <c r="T41" s="228" t="s">
        <v>629</v>
      </c>
      <c r="U41" s="228" t="s">
        <v>629</v>
      </c>
      <c r="V41" s="228" t="s">
        <v>629</v>
      </c>
      <c r="W41" s="228" t="s">
        <v>629</v>
      </c>
      <c r="X41" s="228" t="s">
        <v>715</v>
      </c>
      <c r="Y41" s="228" t="s">
        <v>714</v>
      </c>
      <c r="Z41" s="228" t="s">
        <v>198</v>
      </c>
      <c r="AA41" s="230">
        <v>243.42518749999999</v>
      </c>
      <c r="AB41" s="228" t="s">
        <v>600</v>
      </c>
      <c r="AC41" s="230">
        <v>22.754722500000003</v>
      </c>
      <c r="AD41" s="228" t="s">
        <v>598</v>
      </c>
      <c r="AE41" s="15" t="s">
        <v>629</v>
      </c>
      <c r="AF41" s="224">
        <f t="shared" si="0"/>
        <v>0.32381892361111114</v>
      </c>
      <c r="AG41" s="224">
        <f t="shared" si="3"/>
        <v>0.71196553797468354</v>
      </c>
      <c r="AH41" s="224" t="e">
        <f t="shared" si="1"/>
        <v>#VALUE!</v>
      </c>
      <c r="AJ41" s="231">
        <v>8.9382606249999998</v>
      </c>
      <c r="AK41" s="228" t="s">
        <v>596</v>
      </c>
      <c r="AL41" s="226">
        <f t="shared" si="2"/>
        <v>0.88685746044303804</v>
      </c>
    </row>
    <row r="42" spans="1:38" hidden="1" x14ac:dyDescent="0.2">
      <c r="A42" s="15">
        <v>977</v>
      </c>
      <c r="B42" s="228" t="s">
        <v>618</v>
      </c>
      <c r="C42" s="229" t="s">
        <v>713</v>
      </c>
      <c r="D42" s="228">
        <v>240</v>
      </c>
      <c r="E42" s="228" t="s">
        <v>629</v>
      </c>
      <c r="F42" s="228" t="s">
        <v>629</v>
      </c>
      <c r="G42" s="228" t="s">
        <v>629</v>
      </c>
      <c r="H42" s="228" t="s">
        <v>629</v>
      </c>
      <c r="I42" s="228" t="s">
        <v>629</v>
      </c>
      <c r="J42" s="228" t="s">
        <v>630</v>
      </c>
      <c r="K42" s="228" t="s">
        <v>714</v>
      </c>
      <c r="L42" s="228" t="s">
        <v>645</v>
      </c>
      <c r="M42" s="228">
        <v>360</v>
      </c>
      <c r="N42" s="228" t="s">
        <v>604</v>
      </c>
      <c r="O42" s="228">
        <v>79</v>
      </c>
      <c r="P42" s="228" t="s">
        <v>604</v>
      </c>
      <c r="Q42" s="228" t="s">
        <v>604</v>
      </c>
      <c r="R42" s="228">
        <v>5911</v>
      </c>
      <c r="S42" s="228" t="s">
        <v>629</v>
      </c>
      <c r="T42" s="228" t="s">
        <v>629</v>
      </c>
      <c r="U42" s="228" t="s">
        <v>629</v>
      </c>
      <c r="V42" s="228" t="s">
        <v>629</v>
      </c>
      <c r="W42" s="228" t="s">
        <v>629</v>
      </c>
      <c r="X42" s="232" t="s">
        <v>639</v>
      </c>
      <c r="Y42" s="228" t="s">
        <v>714</v>
      </c>
      <c r="Z42" s="228" t="s">
        <v>198</v>
      </c>
      <c r="AA42" s="230">
        <v>219</v>
      </c>
      <c r="AB42" s="228" t="s">
        <v>600</v>
      </c>
      <c r="AC42" s="230">
        <v>7</v>
      </c>
      <c r="AD42" s="228" t="s">
        <v>596</v>
      </c>
      <c r="AE42" s="15">
        <v>3848</v>
      </c>
      <c r="AF42" s="224">
        <f t="shared" si="0"/>
        <v>0.39166666666666666</v>
      </c>
      <c r="AG42" s="224">
        <f t="shared" si="3"/>
        <v>0.91139240506329111</v>
      </c>
      <c r="AH42" s="224">
        <f t="shared" si="1"/>
        <v>0.34901031974285229</v>
      </c>
      <c r="AJ42" s="231">
        <v>7.3050454166666663</v>
      </c>
      <c r="AK42" s="228" t="s">
        <v>596</v>
      </c>
      <c r="AL42" s="226">
        <f t="shared" si="2"/>
        <v>0.90753107067510541</v>
      </c>
    </row>
    <row r="43" spans="1:38" x14ac:dyDescent="0.2">
      <c r="A43" s="15">
        <v>960</v>
      </c>
      <c r="B43" s="228" t="s">
        <v>618</v>
      </c>
      <c r="C43" s="229" t="s">
        <v>713</v>
      </c>
      <c r="D43" s="228">
        <v>240</v>
      </c>
      <c r="E43" s="228" t="s">
        <v>629</v>
      </c>
      <c r="F43" s="228" t="s">
        <v>629</v>
      </c>
      <c r="G43" s="228" t="s">
        <v>629</v>
      </c>
      <c r="H43" s="228" t="s">
        <v>629</v>
      </c>
      <c r="I43" s="228" t="s">
        <v>629</v>
      </c>
      <c r="J43" s="228" t="s">
        <v>630</v>
      </c>
      <c r="K43" s="228" t="s">
        <v>714</v>
      </c>
      <c r="L43" s="228" t="s">
        <v>645</v>
      </c>
      <c r="M43" s="228">
        <v>360</v>
      </c>
      <c r="N43" s="228" t="s">
        <v>604</v>
      </c>
      <c r="O43" s="228">
        <v>79</v>
      </c>
      <c r="P43" s="228" t="s">
        <v>604</v>
      </c>
      <c r="Q43" s="228" t="s">
        <v>604</v>
      </c>
      <c r="R43" s="228">
        <v>5911</v>
      </c>
      <c r="S43" s="228" t="s">
        <v>468</v>
      </c>
      <c r="T43" s="228" t="s">
        <v>468</v>
      </c>
      <c r="U43" s="228" t="s">
        <v>468</v>
      </c>
      <c r="V43" s="228" t="s">
        <v>468</v>
      </c>
      <c r="W43" s="228" t="s">
        <v>468</v>
      </c>
      <c r="X43" s="228" t="s">
        <v>630</v>
      </c>
      <c r="Y43" s="228" t="s">
        <v>714</v>
      </c>
      <c r="Z43" s="228" t="s">
        <v>198</v>
      </c>
      <c r="AA43" s="230">
        <v>79</v>
      </c>
      <c r="AB43" s="228" t="s">
        <v>596</v>
      </c>
      <c r="AC43" s="230">
        <v>15</v>
      </c>
      <c r="AD43" s="228" t="s">
        <v>598</v>
      </c>
      <c r="AE43" s="15">
        <v>1680</v>
      </c>
      <c r="AF43" s="224">
        <f t="shared" si="0"/>
        <v>0.78055555555555556</v>
      </c>
      <c r="AG43" s="224">
        <f t="shared" si="3"/>
        <v>0.810126582278481</v>
      </c>
      <c r="AH43" s="224">
        <f t="shared" si="1"/>
        <v>0.71578413128066321</v>
      </c>
      <c r="AJ43" s="231">
        <v>3.2782750000000003</v>
      </c>
      <c r="AK43" s="228" t="s">
        <v>594</v>
      </c>
      <c r="AL43" s="226">
        <f t="shared" si="2"/>
        <v>0.95850284810126596</v>
      </c>
    </row>
    <row r="44" spans="1:38" x14ac:dyDescent="0.2">
      <c r="A44" s="15">
        <v>972</v>
      </c>
      <c r="B44" s="228" t="s">
        <v>618</v>
      </c>
      <c r="C44" s="229" t="s">
        <v>713</v>
      </c>
      <c r="D44" s="228">
        <v>240</v>
      </c>
      <c r="E44" s="228" t="s">
        <v>629</v>
      </c>
      <c r="F44" s="228" t="s">
        <v>629</v>
      </c>
      <c r="G44" s="228" t="s">
        <v>629</v>
      </c>
      <c r="H44" s="228" t="s">
        <v>629</v>
      </c>
      <c r="I44" s="228" t="s">
        <v>629</v>
      </c>
      <c r="J44" s="228" t="s">
        <v>630</v>
      </c>
      <c r="K44" s="228" t="s">
        <v>714</v>
      </c>
      <c r="L44" s="228" t="s">
        <v>645</v>
      </c>
      <c r="M44" s="228">
        <v>360</v>
      </c>
      <c r="N44" s="228" t="s">
        <v>604</v>
      </c>
      <c r="O44" s="228">
        <v>79</v>
      </c>
      <c r="P44" s="228" t="s">
        <v>604</v>
      </c>
      <c r="Q44" s="228" t="s">
        <v>604</v>
      </c>
      <c r="R44" s="228">
        <v>5911</v>
      </c>
      <c r="S44" s="228" t="s">
        <v>468</v>
      </c>
      <c r="T44" s="228" t="s">
        <v>468</v>
      </c>
      <c r="U44" s="228" t="s">
        <v>468</v>
      </c>
      <c r="V44" s="228" t="s">
        <v>468</v>
      </c>
      <c r="W44" s="228" t="s">
        <v>468</v>
      </c>
      <c r="X44" s="228" t="s">
        <v>636</v>
      </c>
      <c r="Y44" s="228" t="s">
        <v>714</v>
      </c>
      <c r="Z44" s="228" t="s">
        <v>198</v>
      </c>
      <c r="AA44" s="230">
        <v>56</v>
      </c>
      <c r="AB44" s="228" t="s">
        <v>594</v>
      </c>
      <c r="AC44" s="230">
        <v>10</v>
      </c>
      <c r="AD44" s="228" t="s">
        <v>596</v>
      </c>
      <c r="AE44" s="15">
        <v>1324</v>
      </c>
      <c r="AF44" s="224">
        <f t="shared" si="0"/>
        <v>0.84444444444444444</v>
      </c>
      <c r="AG44" s="224">
        <f t="shared" si="3"/>
        <v>0.87341772151898733</v>
      </c>
      <c r="AH44" s="224">
        <f t="shared" si="1"/>
        <v>0.77601082727118931</v>
      </c>
      <c r="AJ44" s="231">
        <v>2.2821933333333333</v>
      </c>
      <c r="AK44" s="228" t="s">
        <v>594</v>
      </c>
      <c r="AL44" s="226">
        <f t="shared" si="2"/>
        <v>0.97111147679324883</v>
      </c>
    </row>
    <row r="45" spans="1:38" x14ac:dyDescent="0.2">
      <c r="A45" s="15">
        <v>1001</v>
      </c>
      <c r="B45" s="228" t="s">
        <v>618</v>
      </c>
      <c r="C45" s="229" t="s">
        <v>713</v>
      </c>
      <c r="D45" s="228">
        <v>240</v>
      </c>
      <c r="E45" s="228" t="s">
        <v>629</v>
      </c>
      <c r="F45" s="228" t="s">
        <v>629</v>
      </c>
      <c r="G45" s="228" t="s">
        <v>629</v>
      </c>
      <c r="H45" s="228" t="s">
        <v>629</v>
      </c>
      <c r="I45" s="228" t="s">
        <v>629</v>
      </c>
      <c r="J45" s="228" t="s">
        <v>630</v>
      </c>
      <c r="K45" s="228" t="s">
        <v>714</v>
      </c>
      <c r="L45" s="228" t="s">
        <v>645</v>
      </c>
      <c r="M45" s="228">
        <v>360</v>
      </c>
      <c r="N45" s="228" t="s">
        <v>604</v>
      </c>
      <c r="O45" s="228">
        <v>79</v>
      </c>
      <c r="P45" s="228" t="s">
        <v>604</v>
      </c>
      <c r="Q45" s="228" t="s">
        <v>604</v>
      </c>
      <c r="R45" s="228">
        <v>5911</v>
      </c>
      <c r="S45" s="228" t="s">
        <v>468</v>
      </c>
      <c r="T45" s="228" t="s">
        <v>468</v>
      </c>
      <c r="U45" s="228" t="s">
        <v>468</v>
      </c>
      <c r="V45" s="228" t="s">
        <v>468</v>
      </c>
      <c r="W45" s="228" t="s">
        <v>468</v>
      </c>
      <c r="X45" s="228" t="s">
        <v>715</v>
      </c>
      <c r="Y45" s="228" t="s">
        <v>714</v>
      </c>
      <c r="Z45" s="228" t="s">
        <v>198</v>
      </c>
      <c r="AA45" s="230">
        <v>88.35293750000001</v>
      </c>
      <c r="AB45" s="228" t="s">
        <v>596</v>
      </c>
      <c r="AC45" s="230">
        <v>9.7561962499999986</v>
      </c>
      <c r="AD45" s="228" t="s">
        <v>596</v>
      </c>
      <c r="AE45" s="15" t="s">
        <v>629</v>
      </c>
      <c r="AF45" s="224">
        <f t="shared" si="0"/>
        <v>0.75457517361111115</v>
      </c>
      <c r="AG45" s="224">
        <f t="shared" si="3"/>
        <v>0.87650384493670885</v>
      </c>
      <c r="AH45" s="224" t="e">
        <f t="shared" si="1"/>
        <v>#VALUE!</v>
      </c>
      <c r="AJ45" s="231">
        <v>3.1943881250000006</v>
      </c>
      <c r="AK45" s="228" t="s">
        <v>594</v>
      </c>
      <c r="AL45" s="226">
        <f t="shared" si="2"/>
        <v>0.95956470727848098</v>
      </c>
    </row>
    <row r="46" spans="1:38" x14ac:dyDescent="0.2">
      <c r="A46" s="15">
        <v>978</v>
      </c>
      <c r="B46" s="228" t="s">
        <v>618</v>
      </c>
      <c r="C46" s="229" t="s">
        <v>713</v>
      </c>
      <c r="D46" s="228">
        <v>240</v>
      </c>
      <c r="E46" s="228" t="s">
        <v>629</v>
      </c>
      <c r="F46" s="228" t="s">
        <v>629</v>
      </c>
      <c r="G46" s="228" t="s">
        <v>629</v>
      </c>
      <c r="H46" s="228" t="s">
        <v>629</v>
      </c>
      <c r="I46" s="228" t="s">
        <v>629</v>
      </c>
      <c r="J46" s="228" t="s">
        <v>630</v>
      </c>
      <c r="K46" s="228" t="s">
        <v>714</v>
      </c>
      <c r="L46" s="228" t="s">
        <v>645</v>
      </c>
      <c r="M46" s="228">
        <v>360</v>
      </c>
      <c r="N46" s="228" t="s">
        <v>604</v>
      </c>
      <c r="O46" s="228">
        <v>79</v>
      </c>
      <c r="P46" s="228" t="s">
        <v>604</v>
      </c>
      <c r="Q46" s="228" t="s">
        <v>604</v>
      </c>
      <c r="R46" s="228">
        <v>5911</v>
      </c>
      <c r="S46" s="228" t="s">
        <v>468</v>
      </c>
      <c r="T46" s="228" t="s">
        <v>468</v>
      </c>
      <c r="U46" s="228" t="s">
        <v>468</v>
      </c>
      <c r="V46" s="228" t="s">
        <v>468</v>
      </c>
      <c r="W46" s="228" t="s">
        <v>468</v>
      </c>
      <c r="X46" s="232" t="s">
        <v>639</v>
      </c>
      <c r="Y46" s="228" t="s">
        <v>714</v>
      </c>
      <c r="Z46" s="228" t="s">
        <v>198</v>
      </c>
      <c r="AA46" s="230">
        <v>76</v>
      </c>
      <c r="AB46" s="228" t="s">
        <v>596</v>
      </c>
      <c r="AC46" s="230">
        <v>2</v>
      </c>
      <c r="AD46" s="228" t="s">
        <v>594</v>
      </c>
      <c r="AE46" s="15">
        <v>1558</v>
      </c>
      <c r="AF46" s="224">
        <f t="shared" si="0"/>
        <v>0.78888888888888886</v>
      </c>
      <c r="AG46" s="224">
        <f t="shared" si="3"/>
        <v>0.97468354430379744</v>
      </c>
      <c r="AH46" s="224">
        <f t="shared" si="1"/>
        <v>0.73642361698528169</v>
      </c>
      <c r="AJ46" s="231">
        <v>2.3583216666666669</v>
      </c>
      <c r="AK46" s="228" t="s">
        <v>594</v>
      </c>
      <c r="AL46" s="226">
        <f t="shared" si="2"/>
        <v>0.97014782700421942</v>
      </c>
    </row>
    <row r="47" spans="1:38" hidden="1" x14ac:dyDescent="0.2">
      <c r="A47" s="88">
        <v>444</v>
      </c>
      <c r="B47" s="219" t="s">
        <v>663</v>
      </c>
      <c r="C47" s="220" t="s">
        <v>711</v>
      </c>
      <c r="D47" s="219">
        <v>2417</v>
      </c>
      <c r="E47" s="219" t="s">
        <v>629</v>
      </c>
      <c r="F47" s="219" t="s">
        <v>629</v>
      </c>
      <c r="G47" s="219" t="s">
        <v>629</v>
      </c>
      <c r="H47" s="219" t="s">
        <v>629</v>
      </c>
      <c r="I47" s="219" t="s">
        <v>629</v>
      </c>
      <c r="J47" s="219" t="s">
        <v>626</v>
      </c>
      <c r="K47" s="221" t="s">
        <v>712</v>
      </c>
      <c r="L47" s="219" t="s">
        <v>645</v>
      </c>
      <c r="M47" s="219">
        <v>237</v>
      </c>
      <c r="N47" s="219" t="s">
        <v>600</v>
      </c>
      <c r="O47" s="219">
        <v>52</v>
      </c>
      <c r="P47" s="219" t="s">
        <v>602</v>
      </c>
      <c r="Q47" s="222"/>
      <c r="R47" s="219">
        <v>48457</v>
      </c>
      <c r="S47" s="219" t="s">
        <v>629</v>
      </c>
      <c r="T47" s="219" t="s">
        <v>629</v>
      </c>
      <c r="U47" s="219" t="s">
        <v>629</v>
      </c>
      <c r="V47" s="219" t="s">
        <v>629</v>
      </c>
      <c r="W47" s="219" t="s">
        <v>629</v>
      </c>
      <c r="X47" s="219" t="s">
        <v>626</v>
      </c>
      <c r="Y47" s="219" t="s">
        <v>712</v>
      </c>
      <c r="Z47" s="219" t="s">
        <v>198</v>
      </c>
      <c r="AA47" s="223">
        <v>201</v>
      </c>
      <c r="AB47" s="219" t="s">
        <v>600</v>
      </c>
      <c r="AC47" s="223">
        <v>43</v>
      </c>
      <c r="AD47" s="219" t="s">
        <v>600</v>
      </c>
      <c r="AE47" s="88">
        <v>41786</v>
      </c>
      <c r="AF47" s="224">
        <f t="shared" si="0"/>
        <v>0.15189873417721519</v>
      </c>
      <c r="AG47" s="224">
        <f t="shared" si="3"/>
        <v>0.17307692307692307</v>
      </c>
      <c r="AH47" s="224">
        <f t="shared" si="1"/>
        <v>0.13766844831500094</v>
      </c>
      <c r="AI47" s="87"/>
      <c r="AJ47" s="225">
        <v>8.6667121638394704</v>
      </c>
      <c r="AK47" s="219" t="s">
        <v>596</v>
      </c>
      <c r="AL47" s="226">
        <f t="shared" si="2"/>
        <v>0.83333245838770253</v>
      </c>
    </row>
    <row r="48" spans="1:38" hidden="1" x14ac:dyDescent="0.2">
      <c r="A48" s="88">
        <v>446</v>
      </c>
      <c r="B48" s="219" t="s">
        <v>663</v>
      </c>
      <c r="C48" s="220" t="s">
        <v>711</v>
      </c>
      <c r="D48" s="219">
        <v>2417</v>
      </c>
      <c r="E48" s="219" t="s">
        <v>629</v>
      </c>
      <c r="F48" s="219" t="s">
        <v>629</v>
      </c>
      <c r="G48" s="219" t="s">
        <v>629</v>
      </c>
      <c r="H48" s="219" t="s">
        <v>629</v>
      </c>
      <c r="I48" s="219" t="s">
        <v>629</v>
      </c>
      <c r="J48" s="219" t="s">
        <v>626</v>
      </c>
      <c r="K48" s="221" t="s">
        <v>712</v>
      </c>
      <c r="L48" s="219" t="s">
        <v>645</v>
      </c>
      <c r="M48" s="219">
        <v>237</v>
      </c>
      <c r="N48" s="219" t="s">
        <v>600</v>
      </c>
      <c r="O48" s="219">
        <v>52</v>
      </c>
      <c r="P48" s="219" t="s">
        <v>602</v>
      </c>
      <c r="Q48" s="222"/>
      <c r="R48" s="219">
        <v>48457</v>
      </c>
      <c r="S48" s="219" t="s">
        <v>629</v>
      </c>
      <c r="T48" s="219" t="s">
        <v>629</v>
      </c>
      <c r="U48" s="219" t="s">
        <v>629</v>
      </c>
      <c r="V48" s="219" t="s">
        <v>629</v>
      </c>
      <c r="W48" s="219" t="s">
        <v>629</v>
      </c>
      <c r="X48" s="219" t="s">
        <v>637</v>
      </c>
      <c r="Y48" s="219" t="s">
        <v>712</v>
      </c>
      <c r="Z48" s="219" t="s">
        <v>198</v>
      </c>
      <c r="AA48" s="223">
        <v>177</v>
      </c>
      <c r="AB48" s="219" t="s">
        <v>598</v>
      </c>
      <c r="AC48" s="223">
        <v>34</v>
      </c>
      <c r="AD48" s="219" t="s">
        <v>600</v>
      </c>
      <c r="AE48" s="88">
        <v>40412</v>
      </c>
      <c r="AF48" s="224">
        <f t="shared" si="0"/>
        <v>0.25316455696202533</v>
      </c>
      <c r="AG48" s="224">
        <f t="shared" si="3"/>
        <v>0.34615384615384615</v>
      </c>
      <c r="AH48" s="224">
        <f t="shared" si="1"/>
        <v>0.16602348473904699</v>
      </c>
      <c r="AI48" s="87"/>
      <c r="AJ48" s="225">
        <v>7.3596517997517577</v>
      </c>
      <c r="AK48" s="219" t="s">
        <v>596</v>
      </c>
      <c r="AL48" s="226">
        <f t="shared" si="2"/>
        <v>0.85846823462015842</v>
      </c>
    </row>
    <row r="49" spans="1:38" x14ac:dyDescent="0.2">
      <c r="A49" s="88">
        <v>445</v>
      </c>
      <c r="B49" s="219" t="s">
        <v>663</v>
      </c>
      <c r="C49" s="220" t="s">
        <v>711</v>
      </c>
      <c r="D49" s="219">
        <v>2417</v>
      </c>
      <c r="E49" s="219" t="s">
        <v>629</v>
      </c>
      <c r="F49" s="219" t="s">
        <v>629</v>
      </c>
      <c r="G49" s="219" t="s">
        <v>629</v>
      </c>
      <c r="H49" s="219" t="s">
        <v>629</v>
      </c>
      <c r="I49" s="219" t="s">
        <v>629</v>
      </c>
      <c r="J49" s="219" t="s">
        <v>626</v>
      </c>
      <c r="K49" s="221" t="s">
        <v>712</v>
      </c>
      <c r="L49" s="219" t="s">
        <v>645</v>
      </c>
      <c r="M49" s="219">
        <v>237</v>
      </c>
      <c r="N49" s="219" t="s">
        <v>600</v>
      </c>
      <c r="O49" s="219">
        <v>52</v>
      </c>
      <c r="P49" s="219" t="s">
        <v>602</v>
      </c>
      <c r="Q49" s="222"/>
      <c r="R49" s="219">
        <v>48457</v>
      </c>
      <c r="S49" s="219" t="s">
        <v>468</v>
      </c>
      <c r="T49" s="219" t="s">
        <v>468</v>
      </c>
      <c r="U49" s="219" t="s">
        <v>468</v>
      </c>
      <c r="V49" s="219" t="s">
        <v>468</v>
      </c>
      <c r="W49" s="219" t="s">
        <v>468</v>
      </c>
      <c r="X49" s="219" t="s">
        <v>626</v>
      </c>
      <c r="Y49" s="219" t="s">
        <v>712</v>
      </c>
      <c r="Z49" s="219" t="s">
        <v>198</v>
      </c>
      <c r="AA49" s="223">
        <v>95</v>
      </c>
      <c r="AB49" s="219" t="s">
        <v>596</v>
      </c>
      <c r="AC49" s="223">
        <v>16</v>
      </c>
      <c r="AD49" s="219" t="s">
        <v>598</v>
      </c>
      <c r="AE49" s="88">
        <v>24224</v>
      </c>
      <c r="AF49" s="224">
        <f t="shared" si="0"/>
        <v>0.59915611814345993</v>
      </c>
      <c r="AG49" s="224">
        <f t="shared" si="3"/>
        <v>0.69230769230769229</v>
      </c>
      <c r="AH49" s="224">
        <f t="shared" si="1"/>
        <v>0.50009286583981671</v>
      </c>
      <c r="AI49" s="87"/>
      <c r="AJ49" s="225">
        <v>3.8053168804302855</v>
      </c>
      <c r="AK49" s="219" t="s">
        <v>594</v>
      </c>
      <c r="AL49" s="226">
        <f t="shared" si="2"/>
        <v>0.92682082922249454</v>
      </c>
    </row>
    <row r="50" spans="1:38" x14ac:dyDescent="0.2">
      <c r="A50" s="88">
        <v>1728</v>
      </c>
      <c r="B50" s="219" t="s">
        <v>663</v>
      </c>
      <c r="C50" s="220" t="s">
        <v>711</v>
      </c>
      <c r="D50" s="219">
        <v>2417</v>
      </c>
      <c r="E50" s="219" t="s">
        <v>629</v>
      </c>
      <c r="F50" s="219" t="s">
        <v>629</v>
      </c>
      <c r="G50" s="219" t="s">
        <v>629</v>
      </c>
      <c r="H50" s="219" t="s">
        <v>629</v>
      </c>
      <c r="I50" s="219" t="s">
        <v>629</v>
      </c>
      <c r="J50" s="219" t="s">
        <v>626</v>
      </c>
      <c r="K50" s="227" t="s">
        <v>712</v>
      </c>
      <c r="L50" s="219" t="s">
        <v>645</v>
      </c>
      <c r="M50" s="219">
        <v>237</v>
      </c>
      <c r="N50" s="219" t="s">
        <v>600</v>
      </c>
      <c r="O50" s="219">
        <v>52</v>
      </c>
      <c r="P50" s="219" t="s">
        <v>602</v>
      </c>
      <c r="Q50" s="222"/>
      <c r="R50" s="219">
        <v>48457</v>
      </c>
      <c r="S50" s="219" t="s">
        <v>468</v>
      </c>
      <c r="T50" s="219" t="s">
        <v>468</v>
      </c>
      <c r="U50" s="219" t="s">
        <v>468</v>
      </c>
      <c r="V50" s="219" t="s">
        <v>468</v>
      </c>
      <c r="W50" s="219" t="s">
        <v>468</v>
      </c>
      <c r="X50" s="219" t="s">
        <v>626</v>
      </c>
      <c r="Y50" s="219" t="s">
        <v>712</v>
      </c>
      <c r="Z50" s="219" t="s">
        <v>645</v>
      </c>
      <c r="AA50" s="223">
        <v>117</v>
      </c>
      <c r="AB50" s="219" t="s">
        <v>598</v>
      </c>
      <c r="AC50" s="223">
        <v>21</v>
      </c>
      <c r="AD50" s="219" t="s">
        <v>598</v>
      </c>
      <c r="AE50" s="88">
        <v>30240</v>
      </c>
      <c r="AF50" s="224">
        <f t="shared" si="0"/>
        <v>0.50632911392405067</v>
      </c>
      <c r="AG50" s="224">
        <f t="shared" si="3"/>
        <v>0.59615384615384615</v>
      </c>
      <c r="AH50" s="224">
        <f t="shared" si="1"/>
        <v>0.37594155643147531</v>
      </c>
      <c r="AI50" s="87"/>
      <c r="AJ50" s="225">
        <v>4.7920301613570535</v>
      </c>
      <c r="AK50" s="219" t="s">
        <v>594</v>
      </c>
      <c r="AL50" s="226">
        <f t="shared" si="2"/>
        <v>0.90784557382005659</v>
      </c>
    </row>
    <row r="51" spans="1:38" x14ac:dyDescent="0.2">
      <c r="A51" s="88">
        <v>447</v>
      </c>
      <c r="B51" s="219" t="s">
        <v>663</v>
      </c>
      <c r="C51" s="220" t="s">
        <v>711</v>
      </c>
      <c r="D51" s="219">
        <v>2417</v>
      </c>
      <c r="E51" s="219" t="s">
        <v>629</v>
      </c>
      <c r="F51" s="219" t="s">
        <v>629</v>
      </c>
      <c r="G51" s="219" t="s">
        <v>629</v>
      </c>
      <c r="H51" s="219" t="s">
        <v>629</v>
      </c>
      <c r="I51" s="219" t="s">
        <v>629</v>
      </c>
      <c r="J51" s="219" t="s">
        <v>626</v>
      </c>
      <c r="K51" s="221" t="s">
        <v>712</v>
      </c>
      <c r="L51" s="219" t="s">
        <v>645</v>
      </c>
      <c r="M51" s="219">
        <v>237</v>
      </c>
      <c r="N51" s="219" t="s">
        <v>600</v>
      </c>
      <c r="O51" s="219">
        <v>52</v>
      </c>
      <c r="P51" s="219" t="s">
        <v>602</v>
      </c>
      <c r="Q51" s="222"/>
      <c r="R51" s="219">
        <v>48457</v>
      </c>
      <c r="S51" s="219" t="s">
        <v>468</v>
      </c>
      <c r="T51" s="219" t="s">
        <v>468</v>
      </c>
      <c r="U51" s="219" t="s">
        <v>468</v>
      </c>
      <c r="V51" s="219" t="s">
        <v>468</v>
      </c>
      <c r="W51" s="219" t="s">
        <v>468</v>
      </c>
      <c r="X51" s="219" t="s">
        <v>637</v>
      </c>
      <c r="Y51" s="219" t="s">
        <v>712</v>
      </c>
      <c r="Z51" s="219" t="s">
        <v>198</v>
      </c>
      <c r="AA51" s="223">
        <v>70</v>
      </c>
      <c r="AB51" s="219" t="s">
        <v>596</v>
      </c>
      <c r="AC51" s="223">
        <v>7</v>
      </c>
      <c r="AD51" s="219" t="s">
        <v>596</v>
      </c>
      <c r="AE51" s="88">
        <v>18181</v>
      </c>
      <c r="AF51" s="224">
        <f t="shared" si="0"/>
        <v>0.70464135021097052</v>
      </c>
      <c r="AG51" s="224">
        <f t="shared" si="3"/>
        <v>0.86538461538461542</v>
      </c>
      <c r="AH51" s="224">
        <f t="shared" si="1"/>
        <v>0.62480137028705862</v>
      </c>
      <c r="AI51" s="87"/>
      <c r="AJ51" s="225">
        <v>2.4632357467935453</v>
      </c>
      <c r="AK51" s="219" t="s">
        <v>594</v>
      </c>
      <c r="AL51" s="226">
        <f t="shared" si="2"/>
        <v>0.9526300817924318</v>
      </c>
    </row>
    <row r="52" spans="1:38" hidden="1" x14ac:dyDescent="0.2">
      <c r="A52" s="88">
        <v>524</v>
      </c>
      <c r="B52" s="219" t="s">
        <v>663</v>
      </c>
      <c r="C52" s="220" t="s">
        <v>623</v>
      </c>
      <c r="D52" s="219">
        <v>2417</v>
      </c>
      <c r="E52" s="219" t="s">
        <v>629</v>
      </c>
      <c r="F52" s="219" t="s">
        <v>629</v>
      </c>
      <c r="G52" s="219" t="s">
        <v>629</v>
      </c>
      <c r="H52" s="219" t="s">
        <v>629</v>
      </c>
      <c r="I52" s="219" t="s">
        <v>629</v>
      </c>
      <c r="J52" s="219" t="s">
        <v>626</v>
      </c>
      <c r="K52" s="221" t="s">
        <v>712</v>
      </c>
      <c r="L52" s="219" t="s">
        <v>645</v>
      </c>
      <c r="M52" s="219">
        <v>223</v>
      </c>
      <c r="N52" s="219" t="s">
        <v>600</v>
      </c>
      <c r="O52" s="219">
        <v>48</v>
      </c>
      <c r="P52" s="219" t="s">
        <v>600</v>
      </c>
      <c r="Q52" s="222"/>
      <c r="R52" s="219">
        <v>45337</v>
      </c>
      <c r="S52" s="219" t="s">
        <v>629</v>
      </c>
      <c r="T52" s="219" t="s">
        <v>629</v>
      </c>
      <c r="U52" s="219" t="s">
        <v>629</v>
      </c>
      <c r="V52" s="219" t="s">
        <v>629</v>
      </c>
      <c r="W52" s="219" t="s">
        <v>629</v>
      </c>
      <c r="X52" s="219" t="s">
        <v>626</v>
      </c>
      <c r="Y52" s="219" t="s">
        <v>712</v>
      </c>
      <c r="Z52" s="219" t="s">
        <v>198</v>
      </c>
      <c r="AA52" s="223">
        <v>184</v>
      </c>
      <c r="AB52" s="219" t="s">
        <v>600</v>
      </c>
      <c r="AC52" s="223">
        <v>39</v>
      </c>
      <c r="AD52" s="219" t="s">
        <v>600</v>
      </c>
      <c r="AE52" s="88">
        <v>39138</v>
      </c>
      <c r="AF52" s="224">
        <f t="shared" si="0"/>
        <v>0.17488789237668162</v>
      </c>
      <c r="AG52" s="224">
        <f t="shared" si="3"/>
        <v>0.1875</v>
      </c>
      <c r="AH52" s="224">
        <f t="shared" si="1"/>
        <v>0.1367315878862739</v>
      </c>
      <c r="AI52" s="87"/>
      <c r="AJ52" s="225">
        <v>7.9230592056268092</v>
      </c>
      <c r="AK52" s="219" t="s">
        <v>596</v>
      </c>
      <c r="AL52" s="226">
        <f t="shared" si="2"/>
        <v>0.83493626654944153</v>
      </c>
    </row>
    <row r="53" spans="1:38" hidden="1" x14ac:dyDescent="0.2">
      <c r="A53" s="88">
        <v>526</v>
      </c>
      <c r="B53" s="219" t="s">
        <v>663</v>
      </c>
      <c r="C53" s="220" t="s">
        <v>623</v>
      </c>
      <c r="D53" s="219">
        <v>2417</v>
      </c>
      <c r="E53" s="219" t="s">
        <v>629</v>
      </c>
      <c r="F53" s="219" t="s">
        <v>629</v>
      </c>
      <c r="G53" s="219" t="s">
        <v>629</v>
      </c>
      <c r="H53" s="219" t="s">
        <v>629</v>
      </c>
      <c r="I53" s="219" t="s">
        <v>629</v>
      </c>
      <c r="J53" s="219" t="s">
        <v>626</v>
      </c>
      <c r="K53" s="221" t="s">
        <v>712</v>
      </c>
      <c r="L53" s="219" t="s">
        <v>645</v>
      </c>
      <c r="M53" s="219">
        <v>223</v>
      </c>
      <c r="N53" s="219" t="s">
        <v>600</v>
      </c>
      <c r="O53" s="219">
        <v>48</v>
      </c>
      <c r="P53" s="219" t="s">
        <v>600</v>
      </c>
      <c r="Q53" s="222"/>
      <c r="R53" s="219">
        <v>45337</v>
      </c>
      <c r="S53" s="219" t="s">
        <v>629</v>
      </c>
      <c r="T53" s="219" t="s">
        <v>629</v>
      </c>
      <c r="U53" s="219" t="s">
        <v>629</v>
      </c>
      <c r="V53" s="219" t="s">
        <v>629</v>
      </c>
      <c r="W53" s="219" t="s">
        <v>629</v>
      </c>
      <c r="X53" s="219" t="s">
        <v>637</v>
      </c>
      <c r="Y53" s="219" t="s">
        <v>712</v>
      </c>
      <c r="Z53" s="219" t="s">
        <v>198</v>
      </c>
      <c r="AA53" s="223">
        <v>161</v>
      </c>
      <c r="AB53" s="219" t="s">
        <v>598</v>
      </c>
      <c r="AC53" s="223">
        <v>30</v>
      </c>
      <c r="AD53" s="219" t="s">
        <v>600</v>
      </c>
      <c r="AE53" s="88">
        <v>37771</v>
      </c>
      <c r="AF53" s="224">
        <f t="shared" si="0"/>
        <v>0.27802690582959644</v>
      </c>
      <c r="AG53" s="224">
        <f t="shared" si="3"/>
        <v>0.375</v>
      </c>
      <c r="AH53" s="224">
        <f t="shared" si="1"/>
        <v>0.16688356088845754</v>
      </c>
      <c r="AI53" s="87"/>
      <c r="AJ53" s="225">
        <v>6.6490879602813404</v>
      </c>
      <c r="AK53" s="219" t="s">
        <v>596</v>
      </c>
      <c r="AL53" s="226">
        <f t="shared" si="2"/>
        <v>0.86147733416080541</v>
      </c>
    </row>
    <row r="54" spans="1:38" x14ac:dyDescent="0.2">
      <c r="A54" s="88">
        <v>525</v>
      </c>
      <c r="B54" s="219" t="s">
        <v>663</v>
      </c>
      <c r="C54" s="220" t="s">
        <v>623</v>
      </c>
      <c r="D54" s="219">
        <v>2417</v>
      </c>
      <c r="E54" s="219" t="s">
        <v>629</v>
      </c>
      <c r="F54" s="219" t="s">
        <v>629</v>
      </c>
      <c r="G54" s="219" t="s">
        <v>629</v>
      </c>
      <c r="H54" s="219" t="s">
        <v>629</v>
      </c>
      <c r="I54" s="219" t="s">
        <v>629</v>
      </c>
      <c r="J54" s="219" t="s">
        <v>626</v>
      </c>
      <c r="K54" s="221" t="s">
        <v>712</v>
      </c>
      <c r="L54" s="219" t="s">
        <v>645</v>
      </c>
      <c r="M54" s="219">
        <v>223</v>
      </c>
      <c r="N54" s="219" t="s">
        <v>600</v>
      </c>
      <c r="O54" s="219">
        <v>48</v>
      </c>
      <c r="P54" s="219" t="s">
        <v>600</v>
      </c>
      <c r="Q54" s="222"/>
      <c r="R54" s="219">
        <v>45337</v>
      </c>
      <c r="S54" s="219" t="s">
        <v>468</v>
      </c>
      <c r="T54" s="219" t="s">
        <v>468</v>
      </c>
      <c r="U54" s="219" t="s">
        <v>468</v>
      </c>
      <c r="V54" s="219" t="s">
        <v>468</v>
      </c>
      <c r="W54" s="219" t="s">
        <v>468</v>
      </c>
      <c r="X54" s="219" t="s">
        <v>626</v>
      </c>
      <c r="Y54" s="219" t="s">
        <v>712</v>
      </c>
      <c r="Z54" s="219" t="s">
        <v>198</v>
      </c>
      <c r="AA54" s="223">
        <v>88</v>
      </c>
      <c r="AB54" s="219" t="s">
        <v>596</v>
      </c>
      <c r="AC54" s="223">
        <v>15</v>
      </c>
      <c r="AD54" s="219" t="s">
        <v>598</v>
      </c>
      <c r="AE54" s="88">
        <v>22554</v>
      </c>
      <c r="AF54" s="224">
        <f t="shared" si="0"/>
        <v>0.60538116591928248</v>
      </c>
      <c r="AG54" s="224">
        <f t="shared" si="3"/>
        <v>0.6875</v>
      </c>
      <c r="AH54" s="224">
        <f t="shared" si="1"/>
        <v>0.50252553102322606</v>
      </c>
      <c r="AI54" s="87"/>
      <c r="AJ54" s="225">
        <v>3.525036532892015</v>
      </c>
      <c r="AK54" s="219" t="s">
        <v>594</v>
      </c>
      <c r="AL54" s="226">
        <f t="shared" si="2"/>
        <v>0.92656173889808302</v>
      </c>
    </row>
    <row r="55" spans="1:38" x14ac:dyDescent="0.2">
      <c r="A55" s="88">
        <v>1729</v>
      </c>
      <c r="B55" s="219" t="s">
        <v>663</v>
      </c>
      <c r="C55" s="220" t="s">
        <v>623</v>
      </c>
      <c r="D55" s="219">
        <v>2417</v>
      </c>
      <c r="E55" s="219" t="s">
        <v>629</v>
      </c>
      <c r="F55" s="219" t="s">
        <v>629</v>
      </c>
      <c r="G55" s="219" t="s">
        <v>629</v>
      </c>
      <c r="H55" s="219" t="s">
        <v>629</v>
      </c>
      <c r="I55" s="219" t="s">
        <v>629</v>
      </c>
      <c r="J55" s="219" t="s">
        <v>626</v>
      </c>
      <c r="K55" s="227" t="s">
        <v>712</v>
      </c>
      <c r="L55" s="219" t="s">
        <v>645</v>
      </c>
      <c r="M55" s="219">
        <v>223</v>
      </c>
      <c r="N55" s="219" t="s">
        <v>600</v>
      </c>
      <c r="O55" s="219">
        <v>48</v>
      </c>
      <c r="P55" s="219" t="s">
        <v>600</v>
      </c>
      <c r="Q55" s="222"/>
      <c r="R55" s="219">
        <v>45337</v>
      </c>
      <c r="S55" s="219" t="s">
        <v>468</v>
      </c>
      <c r="T55" s="219" t="s">
        <v>468</v>
      </c>
      <c r="U55" s="219" t="s">
        <v>468</v>
      </c>
      <c r="V55" s="219" t="s">
        <v>468</v>
      </c>
      <c r="W55" s="219" t="s">
        <v>468</v>
      </c>
      <c r="X55" s="219" t="s">
        <v>626</v>
      </c>
      <c r="Y55" s="219" t="s">
        <v>712</v>
      </c>
      <c r="Z55" s="219" t="s">
        <v>645</v>
      </c>
      <c r="AA55" s="223">
        <v>109</v>
      </c>
      <c r="AB55" s="219" t="s">
        <v>596</v>
      </c>
      <c r="AC55" s="223">
        <v>20</v>
      </c>
      <c r="AD55" s="219" t="s">
        <v>598</v>
      </c>
      <c r="AE55" s="88">
        <v>28091</v>
      </c>
      <c r="AF55" s="224">
        <f t="shared" si="0"/>
        <v>0.5112107623318386</v>
      </c>
      <c r="AG55" s="224">
        <f t="shared" si="3"/>
        <v>0.58333333333333337</v>
      </c>
      <c r="AH55" s="224">
        <f t="shared" si="1"/>
        <v>0.38039570328870459</v>
      </c>
      <c r="AI55" s="87"/>
      <c r="AJ55" s="225">
        <v>4.4313364087712035</v>
      </c>
      <c r="AK55" s="219" t="s">
        <v>594</v>
      </c>
      <c r="AL55" s="226">
        <f t="shared" si="2"/>
        <v>0.90768049148393326</v>
      </c>
    </row>
    <row r="56" spans="1:38" x14ac:dyDescent="0.2">
      <c r="A56" s="88">
        <v>527</v>
      </c>
      <c r="B56" s="219" t="s">
        <v>663</v>
      </c>
      <c r="C56" s="220" t="s">
        <v>623</v>
      </c>
      <c r="D56" s="219">
        <v>2417</v>
      </c>
      <c r="E56" s="219" t="s">
        <v>629</v>
      </c>
      <c r="F56" s="219" t="s">
        <v>629</v>
      </c>
      <c r="G56" s="219" t="s">
        <v>629</v>
      </c>
      <c r="H56" s="219" t="s">
        <v>629</v>
      </c>
      <c r="I56" s="219" t="s">
        <v>629</v>
      </c>
      <c r="J56" s="219" t="s">
        <v>626</v>
      </c>
      <c r="K56" s="221" t="s">
        <v>712</v>
      </c>
      <c r="L56" s="219" t="s">
        <v>645</v>
      </c>
      <c r="M56" s="219">
        <v>223</v>
      </c>
      <c r="N56" s="219" t="s">
        <v>600</v>
      </c>
      <c r="O56" s="219">
        <v>48</v>
      </c>
      <c r="P56" s="219" t="s">
        <v>600</v>
      </c>
      <c r="Q56" s="222"/>
      <c r="R56" s="219">
        <v>45337</v>
      </c>
      <c r="S56" s="219" t="s">
        <v>468</v>
      </c>
      <c r="T56" s="219" t="s">
        <v>468</v>
      </c>
      <c r="U56" s="219" t="s">
        <v>468</v>
      </c>
      <c r="V56" s="219" t="s">
        <v>468</v>
      </c>
      <c r="W56" s="219" t="s">
        <v>468</v>
      </c>
      <c r="X56" s="219" t="s">
        <v>637</v>
      </c>
      <c r="Y56" s="219" t="s">
        <v>712</v>
      </c>
      <c r="Z56" s="219" t="s">
        <v>198</v>
      </c>
      <c r="AA56" s="223">
        <v>64</v>
      </c>
      <c r="AB56" s="219" t="s">
        <v>594</v>
      </c>
      <c r="AC56" s="223">
        <v>6</v>
      </c>
      <c r="AD56" s="219" t="s">
        <v>596</v>
      </c>
      <c r="AE56" s="88">
        <v>16697</v>
      </c>
      <c r="AF56" s="224">
        <f t="shared" si="0"/>
        <v>0.71300448430493268</v>
      </c>
      <c r="AG56" s="224">
        <f t="shared" si="3"/>
        <v>0.875</v>
      </c>
      <c r="AH56" s="224">
        <f t="shared" si="1"/>
        <v>0.631713611399078</v>
      </c>
      <c r="AI56" s="87"/>
      <c r="AJ56" s="225">
        <v>2.2254393049234591</v>
      </c>
      <c r="AK56" s="219" t="s">
        <v>594</v>
      </c>
      <c r="AL56" s="226">
        <f t="shared" si="2"/>
        <v>0.95363668114742783</v>
      </c>
    </row>
    <row r="57" spans="1:38" hidden="1" x14ac:dyDescent="0.2">
      <c r="A57" s="88">
        <v>581</v>
      </c>
      <c r="B57" s="219" t="s">
        <v>663</v>
      </c>
      <c r="C57" s="220" t="s">
        <v>713</v>
      </c>
      <c r="D57" s="219">
        <v>2417</v>
      </c>
      <c r="E57" s="219" t="s">
        <v>629</v>
      </c>
      <c r="F57" s="219" t="s">
        <v>629</v>
      </c>
      <c r="G57" s="219" t="s">
        <v>629</v>
      </c>
      <c r="H57" s="219" t="s">
        <v>629</v>
      </c>
      <c r="I57" s="219" t="s">
        <v>629</v>
      </c>
      <c r="J57" s="219" t="s">
        <v>626</v>
      </c>
      <c r="K57" s="221" t="s">
        <v>712</v>
      </c>
      <c r="L57" s="219" t="s">
        <v>645</v>
      </c>
      <c r="M57" s="219">
        <v>163</v>
      </c>
      <c r="N57" s="219" t="s">
        <v>598</v>
      </c>
      <c r="O57" s="219">
        <v>35</v>
      </c>
      <c r="P57" s="219" t="s">
        <v>600</v>
      </c>
      <c r="Q57" s="222"/>
      <c r="R57" s="219">
        <v>36029</v>
      </c>
      <c r="S57" s="219" t="s">
        <v>629</v>
      </c>
      <c r="T57" s="219" t="s">
        <v>629</v>
      </c>
      <c r="U57" s="219" t="s">
        <v>629</v>
      </c>
      <c r="V57" s="219" t="s">
        <v>629</v>
      </c>
      <c r="W57" s="219" t="s">
        <v>629</v>
      </c>
      <c r="X57" s="219" t="s">
        <v>626</v>
      </c>
      <c r="Y57" s="219" t="s">
        <v>712</v>
      </c>
      <c r="Z57" s="219" t="s">
        <v>198</v>
      </c>
      <c r="AA57" s="223">
        <v>134</v>
      </c>
      <c r="AB57" s="219" t="s">
        <v>598</v>
      </c>
      <c r="AC57" s="223">
        <v>28</v>
      </c>
      <c r="AD57" s="219" t="s">
        <v>598</v>
      </c>
      <c r="AE57" s="88">
        <v>31420</v>
      </c>
      <c r="AF57" s="224">
        <f t="shared" si="0"/>
        <v>0.17791411042944785</v>
      </c>
      <c r="AG57" s="224">
        <f t="shared" si="3"/>
        <v>0.2</v>
      </c>
      <c r="AH57" s="224">
        <f t="shared" si="1"/>
        <v>0.12792472730300591</v>
      </c>
      <c r="AI57" s="87"/>
      <c r="AJ57" s="225">
        <v>5.7430080264791057</v>
      </c>
      <c r="AK57" s="219" t="s">
        <v>594</v>
      </c>
      <c r="AL57" s="226">
        <f t="shared" si="2"/>
        <v>0.83591405638631122</v>
      </c>
    </row>
    <row r="58" spans="1:38" hidden="1" x14ac:dyDescent="0.2">
      <c r="A58" s="88">
        <v>583</v>
      </c>
      <c r="B58" s="219" t="s">
        <v>663</v>
      </c>
      <c r="C58" s="220" t="s">
        <v>713</v>
      </c>
      <c r="D58" s="219">
        <v>2417</v>
      </c>
      <c r="E58" s="219" t="s">
        <v>629</v>
      </c>
      <c r="F58" s="219" t="s">
        <v>629</v>
      </c>
      <c r="G58" s="219" t="s">
        <v>629</v>
      </c>
      <c r="H58" s="219" t="s">
        <v>629</v>
      </c>
      <c r="I58" s="219" t="s">
        <v>629</v>
      </c>
      <c r="J58" s="219" t="s">
        <v>626</v>
      </c>
      <c r="K58" s="221" t="s">
        <v>712</v>
      </c>
      <c r="L58" s="219" t="s">
        <v>645</v>
      </c>
      <c r="M58" s="219">
        <v>163</v>
      </c>
      <c r="N58" s="219" t="s">
        <v>598</v>
      </c>
      <c r="O58" s="219">
        <v>35</v>
      </c>
      <c r="P58" s="219" t="s">
        <v>600</v>
      </c>
      <c r="Q58" s="222"/>
      <c r="R58" s="219">
        <v>36029</v>
      </c>
      <c r="S58" s="219" t="s">
        <v>629</v>
      </c>
      <c r="T58" s="219" t="s">
        <v>629</v>
      </c>
      <c r="U58" s="219" t="s">
        <v>629</v>
      </c>
      <c r="V58" s="219" t="s">
        <v>629</v>
      </c>
      <c r="W58" s="219" t="s">
        <v>629</v>
      </c>
      <c r="X58" s="219" t="s">
        <v>637</v>
      </c>
      <c r="Y58" s="219" t="s">
        <v>712</v>
      </c>
      <c r="Z58" s="219" t="s">
        <v>198</v>
      </c>
      <c r="AA58" s="223">
        <v>114</v>
      </c>
      <c r="AB58" s="219" t="s">
        <v>598</v>
      </c>
      <c r="AC58" s="223">
        <v>21</v>
      </c>
      <c r="AD58" s="219" t="s">
        <v>598</v>
      </c>
      <c r="AE58" s="88">
        <v>29916</v>
      </c>
      <c r="AF58" s="224">
        <f t="shared" si="0"/>
        <v>0.30061349693251532</v>
      </c>
      <c r="AG58" s="224">
        <f t="shared" si="3"/>
        <v>0.4</v>
      </c>
      <c r="AH58" s="224">
        <f t="shared" si="1"/>
        <v>0.1696688778483999</v>
      </c>
      <c r="AI58" s="87"/>
      <c r="AJ58" s="225">
        <v>4.6474741001241204</v>
      </c>
      <c r="AK58" s="219" t="s">
        <v>594</v>
      </c>
      <c r="AL58" s="226">
        <f t="shared" si="2"/>
        <v>0.86721502571073938</v>
      </c>
    </row>
    <row r="59" spans="1:38" x14ac:dyDescent="0.2">
      <c r="A59" s="88">
        <v>582</v>
      </c>
      <c r="B59" s="219" t="s">
        <v>663</v>
      </c>
      <c r="C59" s="220" t="s">
        <v>713</v>
      </c>
      <c r="D59" s="219">
        <v>2417</v>
      </c>
      <c r="E59" s="219" t="s">
        <v>629</v>
      </c>
      <c r="F59" s="219" t="s">
        <v>629</v>
      </c>
      <c r="G59" s="219" t="s">
        <v>629</v>
      </c>
      <c r="H59" s="219" t="s">
        <v>629</v>
      </c>
      <c r="I59" s="219" t="s">
        <v>629</v>
      </c>
      <c r="J59" s="219" t="s">
        <v>626</v>
      </c>
      <c r="K59" s="221" t="s">
        <v>712</v>
      </c>
      <c r="L59" s="219" t="s">
        <v>645</v>
      </c>
      <c r="M59" s="219">
        <v>163</v>
      </c>
      <c r="N59" s="219" t="s">
        <v>598</v>
      </c>
      <c r="O59" s="219">
        <v>35</v>
      </c>
      <c r="P59" s="219" t="s">
        <v>600</v>
      </c>
      <c r="Q59" s="222"/>
      <c r="R59" s="219">
        <v>36029</v>
      </c>
      <c r="S59" s="219" t="s">
        <v>468</v>
      </c>
      <c r="T59" s="219" t="s">
        <v>468</v>
      </c>
      <c r="U59" s="219" t="s">
        <v>468</v>
      </c>
      <c r="V59" s="219" t="s">
        <v>468</v>
      </c>
      <c r="W59" s="219" t="s">
        <v>468</v>
      </c>
      <c r="X59" s="219" t="s">
        <v>626</v>
      </c>
      <c r="Y59" s="219" t="s">
        <v>712</v>
      </c>
      <c r="Z59" s="219" t="s">
        <v>198</v>
      </c>
      <c r="AA59" s="223">
        <v>70</v>
      </c>
      <c r="AB59" s="219" t="s">
        <v>596</v>
      </c>
      <c r="AC59" s="223">
        <v>11</v>
      </c>
      <c r="AD59" s="219" t="s">
        <v>598</v>
      </c>
      <c r="AE59" s="88">
        <v>18128</v>
      </c>
      <c r="AF59" s="224">
        <f t="shared" si="0"/>
        <v>0.57055214723926384</v>
      </c>
      <c r="AG59" s="224">
        <f t="shared" si="3"/>
        <v>0.68571428571428572</v>
      </c>
      <c r="AH59" s="224">
        <f t="shared" si="1"/>
        <v>0.49684975991562352</v>
      </c>
      <c r="AI59" s="87"/>
      <c r="AJ59" s="225">
        <v>2.7567103020273067</v>
      </c>
      <c r="AK59" s="219" t="s">
        <v>594</v>
      </c>
      <c r="AL59" s="226">
        <f t="shared" si="2"/>
        <v>0.92123684851350551</v>
      </c>
    </row>
    <row r="60" spans="1:38" x14ac:dyDescent="0.2">
      <c r="A60" s="88">
        <v>1730</v>
      </c>
      <c r="B60" s="219" t="s">
        <v>663</v>
      </c>
      <c r="C60" s="220" t="s">
        <v>713</v>
      </c>
      <c r="D60" s="219">
        <v>2417</v>
      </c>
      <c r="E60" s="219" t="s">
        <v>629</v>
      </c>
      <c r="F60" s="219" t="s">
        <v>629</v>
      </c>
      <c r="G60" s="219" t="s">
        <v>629</v>
      </c>
      <c r="H60" s="219" t="s">
        <v>629</v>
      </c>
      <c r="I60" s="219" t="s">
        <v>629</v>
      </c>
      <c r="J60" s="219" t="s">
        <v>626</v>
      </c>
      <c r="K60" s="227" t="s">
        <v>712</v>
      </c>
      <c r="L60" s="219" t="s">
        <v>645</v>
      </c>
      <c r="M60" s="219">
        <v>163</v>
      </c>
      <c r="N60" s="219" t="s">
        <v>598</v>
      </c>
      <c r="O60" s="219">
        <v>35</v>
      </c>
      <c r="P60" s="219" t="s">
        <v>600</v>
      </c>
      <c r="Q60" s="222"/>
      <c r="R60" s="219">
        <v>36029</v>
      </c>
      <c r="S60" s="219" t="s">
        <v>468</v>
      </c>
      <c r="T60" s="219" t="s">
        <v>468</v>
      </c>
      <c r="U60" s="219" t="s">
        <v>468</v>
      </c>
      <c r="V60" s="219" t="s">
        <v>468</v>
      </c>
      <c r="W60" s="219" t="s">
        <v>468</v>
      </c>
      <c r="X60" s="219" t="s">
        <v>626</v>
      </c>
      <c r="Y60" s="219" t="s">
        <v>712</v>
      </c>
      <c r="Z60" s="219" t="s">
        <v>645</v>
      </c>
      <c r="AA60" s="223">
        <v>85</v>
      </c>
      <c r="AB60" s="219" t="s">
        <v>596</v>
      </c>
      <c r="AC60" s="223">
        <v>15</v>
      </c>
      <c r="AD60" s="219" t="s">
        <v>598</v>
      </c>
      <c r="AE60" s="88">
        <v>22249</v>
      </c>
      <c r="AF60" s="224">
        <f t="shared" si="0"/>
        <v>0.4785276073619632</v>
      </c>
      <c r="AG60" s="224">
        <f t="shared" si="3"/>
        <v>0.5714285714285714</v>
      </c>
      <c r="AH60" s="224">
        <f t="shared" si="1"/>
        <v>0.38246967720447417</v>
      </c>
      <c r="AI60" s="87"/>
      <c r="AJ60" s="225">
        <v>3.4311045097227963</v>
      </c>
      <c r="AK60" s="219" t="s">
        <v>594</v>
      </c>
      <c r="AL60" s="226">
        <f t="shared" si="2"/>
        <v>0.90196844257934872</v>
      </c>
    </row>
    <row r="61" spans="1:38" x14ac:dyDescent="0.2">
      <c r="A61" s="88">
        <v>584</v>
      </c>
      <c r="B61" s="219" t="s">
        <v>663</v>
      </c>
      <c r="C61" s="220" t="s">
        <v>713</v>
      </c>
      <c r="D61" s="219">
        <v>2417</v>
      </c>
      <c r="E61" s="219" t="s">
        <v>629</v>
      </c>
      <c r="F61" s="219" t="s">
        <v>629</v>
      </c>
      <c r="G61" s="219" t="s">
        <v>629</v>
      </c>
      <c r="H61" s="219" t="s">
        <v>629</v>
      </c>
      <c r="I61" s="219" t="s">
        <v>629</v>
      </c>
      <c r="J61" s="219" t="s">
        <v>626</v>
      </c>
      <c r="K61" s="221" t="s">
        <v>712</v>
      </c>
      <c r="L61" s="219" t="s">
        <v>645</v>
      </c>
      <c r="M61" s="219">
        <v>163</v>
      </c>
      <c r="N61" s="219" t="s">
        <v>598</v>
      </c>
      <c r="O61" s="219">
        <v>35</v>
      </c>
      <c r="P61" s="219" t="s">
        <v>600</v>
      </c>
      <c r="Q61" s="222"/>
      <c r="R61" s="219">
        <v>36029</v>
      </c>
      <c r="S61" s="219" t="s">
        <v>468</v>
      </c>
      <c r="T61" s="219" t="s">
        <v>468</v>
      </c>
      <c r="U61" s="219" t="s">
        <v>468</v>
      </c>
      <c r="V61" s="219" t="s">
        <v>468</v>
      </c>
      <c r="W61" s="219" t="s">
        <v>468</v>
      </c>
      <c r="X61" s="219" t="s">
        <v>637</v>
      </c>
      <c r="Y61" s="219" t="s">
        <v>712</v>
      </c>
      <c r="Z61" s="219" t="s">
        <v>198</v>
      </c>
      <c r="AA61" s="223">
        <v>50</v>
      </c>
      <c r="AB61" s="219" t="s">
        <v>594</v>
      </c>
      <c r="AC61" s="223">
        <v>4</v>
      </c>
      <c r="AD61" s="219" t="s">
        <v>594</v>
      </c>
      <c r="AE61" s="88">
        <v>13129</v>
      </c>
      <c r="AF61" s="224">
        <f t="shared" si="0"/>
        <v>0.69325153374233128</v>
      </c>
      <c r="AG61" s="224">
        <f t="shared" si="3"/>
        <v>0.88571428571428568</v>
      </c>
      <c r="AH61" s="224">
        <f t="shared" si="1"/>
        <v>0.63559910072441639</v>
      </c>
      <c r="AI61" s="87"/>
      <c r="AJ61" s="225">
        <v>1.6410448076127429</v>
      </c>
      <c r="AK61" s="219" t="s">
        <v>594</v>
      </c>
      <c r="AL61" s="226">
        <f t="shared" si="2"/>
        <v>0.9531130054967788</v>
      </c>
    </row>
    <row r="62" spans="1:38" x14ac:dyDescent="0.2">
      <c r="A62" s="15">
        <v>1714</v>
      </c>
      <c r="B62" s="228" t="s">
        <v>663</v>
      </c>
      <c r="C62" s="229" t="s">
        <v>711</v>
      </c>
      <c r="D62" s="228">
        <v>2417</v>
      </c>
      <c r="E62" s="228" t="s">
        <v>629</v>
      </c>
      <c r="F62" s="228" t="s">
        <v>629</v>
      </c>
      <c r="G62" s="228" t="s">
        <v>629</v>
      </c>
      <c r="H62" s="228" t="s">
        <v>629</v>
      </c>
      <c r="I62" s="228" t="s">
        <v>629</v>
      </c>
      <c r="J62" s="228" t="s">
        <v>630</v>
      </c>
      <c r="K62" s="228" t="s">
        <v>714</v>
      </c>
      <c r="L62" s="228" t="s">
        <v>645</v>
      </c>
      <c r="M62" s="228">
        <v>256</v>
      </c>
      <c r="N62" s="228" t="s">
        <v>602</v>
      </c>
      <c r="O62" s="228">
        <v>56</v>
      </c>
      <c r="P62" s="228" t="s">
        <v>602</v>
      </c>
      <c r="Q62" s="228"/>
      <c r="R62" s="228">
        <v>39938</v>
      </c>
      <c r="S62" s="228" t="s">
        <v>468</v>
      </c>
      <c r="T62" s="228" t="s">
        <v>468</v>
      </c>
      <c r="U62" s="228" t="s">
        <v>468</v>
      </c>
      <c r="V62" s="228" t="s">
        <v>468</v>
      </c>
      <c r="W62" s="228" t="s">
        <v>468</v>
      </c>
      <c r="X62" s="228" t="s">
        <v>630</v>
      </c>
      <c r="Y62" s="228" t="s">
        <v>714</v>
      </c>
      <c r="Z62" s="228" t="s">
        <v>645</v>
      </c>
      <c r="AA62" s="230">
        <v>120</v>
      </c>
      <c r="AB62" s="228" t="s">
        <v>598</v>
      </c>
      <c r="AC62" s="230">
        <v>23</v>
      </c>
      <c r="AD62" s="228" t="s">
        <v>598</v>
      </c>
      <c r="AE62" s="15">
        <v>21194</v>
      </c>
      <c r="AF62" s="224">
        <f t="shared" si="0"/>
        <v>0.53125</v>
      </c>
      <c r="AG62" s="224">
        <f t="shared" si="3"/>
        <v>0.5892857142857143</v>
      </c>
      <c r="AH62" s="224">
        <f t="shared" si="1"/>
        <v>0.46932745755921679</v>
      </c>
      <c r="AJ62" s="231">
        <v>4.9969928423665699</v>
      </c>
      <c r="AK62" s="228" t="s">
        <v>594</v>
      </c>
      <c r="AL62" s="226">
        <f t="shared" si="2"/>
        <v>0.91076798495773992</v>
      </c>
    </row>
    <row r="63" spans="1:38" hidden="1" x14ac:dyDescent="0.2">
      <c r="A63" s="15">
        <v>441</v>
      </c>
      <c r="B63" s="228" t="s">
        <v>663</v>
      </c>
      <c r="C63" s="229" t="s">
        <v>711</v>
      </c>
      <c r="D63" s="228">
        <v>2417</v>
      </c>
      <c r="E63" s="228" t="s">
        <v>629</v>
      </c>
      <c r="F63" s="228" t="s">
        <v>629</v>
      </c>
      <c r="G63" s="228" t="s">
        <v>629</v>
      </c>
      <c r="H63" s="228" t="s">
        <v>629</v>
      </c>
      <c r="I63" s="228" t="s">
        <v>629</v>
      </c>
      <c r="J63" s="228" t="s">
        <v>630</v>
      </c>
      <c r="K63" s="228" t="s">
        <v>714</v>
      </c>
      <c r="L63" s="228" t="s">
        <v>645</v>
      </c>
      <c r="M63" s="228">
        <v>256</v>
      </c>
      <c r="N63" s="228" t="s">
        <v>602</v>
      </c>
      <c r="O63" s="228">
        <v>56</v>
      </c>
      <c r="P63" s="228" t="s">
        <v>602</v>
      </c>
      <c r="Q63" s="228"/>
      <c r="R63" s="228">
        <v>39938</v>
      </c>
      <c r="S63" s="228" t="s">
        <v>629</v>
      </c>
      <c r="T63" s="228" t="s">
        <v>629</v>
      </c>
      <c r="U63" s="228" t="s">
        <v>629</v>
      </c>
      <c r="V63" s="228" t="s">
        <v>629</v>
      </c>
      <c r="W63" s="228" t="s">
        <v>629</v>
      </c>
      <c r="X63" s="228" t="s">
        <v>630</v>
      </c>
      <c r="Y63" s="228" t="s">
        <v>714</v>
      </c>
      <c r="Z63" s="228" t="s">
        <v>198</v>
      </c>
      <c r="AA63" s="230">
        <v>221</v>
      </c>
      <c r="AB63" s="228" t="s">
        <v>600</v>
      </c>
      <c r="AC63" s="230">
        <v>48</v>
      </c>
      <c r="AD63" s="228" t="s">
        <v>600</v>
      </c>
      <c r="AE63" s="15">
        <v>34912</v>
      </c>
      <c r="AF63" s="224">
        <f t="shared" si="0"/>
        <v>0.13671875</v>
      </c>
      <c r="AG63" s="224">
        <f t="shared" si="3"/>
        <v>0.14285714285714285</v>
      </c>
      <c r="AH63" s="224">
        <f t="shared" si="1"/>
        <v>0.12584505984275626</v>
      </c>
      <c r="AJ63" s="231">
        <v>9.5720164253206441</v>
      </c>
      <c r="AK63" s="228" t="s">
        <v>596</v>
      </c>
      <c r="AL63" s="226">
        <f t="shared" si="2"/>
        <v>0.82907113526213139</v>
      </c>
    </row>
    <row r="64" spans="1:38" hidden="1" x14ac:dyDescent="0.2">
      <c r="A64" s="15">
        <v>1618</v>
      </c>
      <c r="B64" s="228" t="s">
        <v>663</v>
      </c>
      <c r="C64" s="229" t="s">
        <v>711</v>
      </c>
      <c r="D64" s="228">
        <v>2417</v>
      </c>
      <c r="E64" s="228" t="s">
        <v>629</v>
      </c>
      <c r="F64" s="228" t="s">
        <v>629</v>
      </c>
      <c r="G64" s="228" t="s">
        <v>629</v>
      </c>
      <c r="H64" s="228" t="s">
        <v>629</v>
      </c>
      <c r="I64" s="228" t="s">
        <v>629</v>
      </c>
      <c r="J64" s="228" t="s">
        <v>630</v>
      </c>
      <c r="K64" s="228" t="s">
        <v>714</v>
      </c>
      <c r="L64" s="228" t="s">
        <v>645</v>
      </c>
      <c r="M64" s="228">
        <v>256</v>
      </c>
      <c r="N64" s="228" t="s">
        <v>602</v>
      </c>
      <c r="O64" s="228">
        <v>56</v>
      </c>
      <c r="P64" s="228" t="s">
        <v>602</v>
      </c>
      <c r="Q64" s="228"/>
      <c r="R64" s="228">
        <v>39938</v>
      </c>
      <c r="S64" s="228" t="s">
        <v>629</v>
      </c>
      <c r="T64" s="228" t="s">
        <v>629</v>
      </c>
      <c r="U64" s="228" t="s">
        <v>629</v>
      </c>
      <c r="V64" s="228" t="s">
        <v>629</v>
      </c>
      <c r="W64" s="228" t="s">
        <v>629</v>
      </c>
      <c r="X64" s="228" t="s">
        <v>636</v>
      </c>
      <c r="Y64" s="228" t="s">
        <v>714</v>
      </c>
      <c r="Z64" s="228" t="s">
        <v>198</v>
      </c>
      <c r="AA64" s="230">
        <v>203</v>
      </c>
      <c r="AB64" s="228" t="s">
        <v>600</v>
      </c>
      <c r="AC64" s="230">
        <v>44</v>
      </c>
      <c r="AD64" s="228" t="s">
        <v>600</v>
      </c>
      <c r="AE64" s="15">
        <v>32292</v>
      </c>
      <c r="AF64" s="224">
        <f t="shared" si="0"/>
        <v>0.20703125</v>
      </c>
      <c r="AG64" s="224">
        <f t="shared" si="3"/>
        <v>0.21428571428571427</v>
      </c>
      <c r="AH64" s="224">
        <f t="shared" si="1"/>
        <v>0.19144674245079873</v>
      </c>
      <c r="AJ64" s="231">
        <v>8.7980187422424496</v>
      </c>
      <c r="AK64" s="228" t="s">
        <v>596</v>
      </c>
      <c r="AL64" s="226">
        <f t="shared" si="2"/>
        <v>0.84289252245995627</v>
      </c>
    </row>
    <row r="65" spans="1:38" hidden="1" x14ac:dyDescent="0.2">
      <c r="A65" s="15">
        <v>1612</v>
      </c>
      <c r="B65" s="228" t="s">
        <v>663</v>
      </c>
      <c r="C65" s="229" t="s">
        <v>711</v>
      </c>
      <c r="D65" s="228">
        <v>2417</v>
      </c>
      <c r="E65" s="228" t="s">
        <v>629</v>
      </c>
      <c r="F65" s="228" t="s">
        <v>629</v>
      </c>
      <c r="G65" s="228" t="s">
        <v>629</v>
      </c>
      <c r="H65" s="228" t="s">
        <v>629</v>
      </c>
      <c r="I65" s="228" t="s">
        <v>629</v>
      </c>
      <c r="J65" s="228" t="s">
        <v>630</v>
      </c>
      <c r="K65" s="228" t="s">
        <v>714</v>
      </c>
      <c r="L65" s="228" t="s">
        <v>645</v>
      </c>
      <c r="M65" s="228">
        <v>256</v>
      </c>
      <c r="N65" s="228" t="s">
        <v>602</v>
      </c>
      <c r="O65" s="228">
        <v>56</v>
      </c>
      <c r="P65" s="228" t="s">
        <v>602</v>
      </c>
      <c r="Q65" s="228"/>
      <c r="R65" s="228">
        <v>39938</v>
      </c>
      <c r="S65" s="228" t="s">
        <v>629</v>
      </c>
      <c r="T65" s="228" t="s">
        <v>629</v>
      </c>
      <c r="U65" s="228" t="s">
        <v>629</v>
      </c>
      <c r="V65" s="228" t="s">
        <v>629</v>
      </c>
      <c r="W65" s="228" t="s">
        <v>629</v>
      </c>
      <c r="X65" s="228" t="s">
        <v>643</v>
      </c>
      <c r="Y65" s="228" t="s">
        <v>714</v>
      </c>
      <c r="Z65" s="228" t="s">
        <v>198</v>
      </c>
      <c r="AA65" s="230">
        <v>198.70326023996688</v>
      </c>
      <c r="AB65" s="228" t="s">
        <v>600</v>
      </c>
      <c r="AC65" s="230">
        <v>17.686122589987587</v>
      </c>
      <c r="AD65" s="228" t="s">
        <v>598</v>
      </c>
      <c r="AE65" s="15" t="s">
        <v>629</v>
      </c>
      <c r="AF65" s="224">
        <f t="shared" si="0"/>
        <v>0.22381538968762937</v>
      </c>
      <c r="AG65" s="224">
        <f t="shared" si="3"/>
        <v>0.68417638232165012</v>
      </c>
      <c r="AH65" s="224" t="e">
        <f t="shared" si="1"/>
        <v>#VALUE!</v>
      </c>
      <c r="AJ65" s="231">
        <v>7.1971258998758794</v>
      </c>
      <c r="AK65" s="228" t="s">
        <v>596</v>
      </c>
      <c r="AL65" s="226">
        <f t="shared" si="2"/>
        <v>0.87147989464507358</v>
      </c>
    </row>
    <row r="66" spans="1:38" hidden="1" x14ac:dyDescent="0.2">
      <c r="A66" s="15">
        <v>1624</v>
      </c>
      <c r="B66" s="228" t="s">
        <v>663</v>
      </c>
      <c r="C66" s="229" t="s">
        <v>711</v>
      </c>
      <c r="D66" s="228">
        <v>2417</v>
      </c>
      <c r="E66" s="228" t="s">
        <v>629</v>
      </c>
      <c r="F66" s="228" t="s">
        <v>629</v>
      </c>
      <c r="G66" s="228" t="s">
        <v>629</v>
      </c>
      <c r="H66" s="228" t="s">
        <v>629</v>
      </c>
      <c r="I66" s="228" t="s">
        <v>629</v>
      </c>
      <c r="J66" s="228" t="s">
        <v>630</v>
      </c>
      <c r="K66" s="228" t="s">
        <v>714</v>
      </c>
      <c r="L66" s="228" t="s">
        <v>645</v>
      </c>
      <c r="M66" s="228">
        <v>256</v>
      </c>
      <c r="N66" s="228" t="s">
        <v>602</v>
      </c>
      <c r="O66" s="228">
        <v>56</v>
      </c>
      <c r="P66" s="228" t="s">
        <v>602</v>
      </c>
      <c r="Q66" s="228"/>
      <c r="R66" s="228">
        <v>39938</v>
      </c>
      <c r="S66" s="228" t="s">
        <v>629</v>
      </c>
      <c r="T66" s="228" t="s">
        <v>629</v>
      </c>
      <c r="U66" s="228" t="s">
        <v>629</v>
      </c>
      <c r="V66" s="228" t="s">
        <v>629</v>
      </c>
      <c r="W66" s="228" t="s">
        <v>629</v>
      </c>
      <c r="X66" s="232" t="s">
        <v>639</v>
      </c>
      <c r="Y66" s="228" t="s">
        <v>714</v>
      </c>
      <c r="Z66" s="228" t="s">
        <v>198</v>
      </c>
      <c r="AA66" s="230">
        <v>192</v>
      </c>
      <c r="AB66" s="228" t="s">
        <v>600</v>
      </c>
      <c r="AC66" s="230">
        <v>6</v>
      </c>
      <c r="AD66" s="228" t="s">
        <v>596</v>
      </c>
      <c r="AE66" s="15">
        <v>33500</v>
      </c>
      <c r="AF66" s="224">
        <f t="shared" si="0"/>
        <v>0.25</v>
      </c>
      <c r="AG66" s="224">
        <f t="shared" si="3"/>
        <v>0.8928571428571429</v>
      </c>
      <c r="AH66" s="224">
        <f t="shared" si="1"/>
        <v>0.16119985978266313</v>
      </c>
      <c r="AJ66" s="231">
        <v>6.3270145635084818</v>
      </c>
      <c r="AK66" s="228" t="s">
        <v>596</v>
      </c>
      <c r="AL66" s="226">
        <f t="shared" si="2"/>
        <v>0.88701759708020567</v>
      </c>
    </row>
    <row r="67" spans="1:38" x14ac:dyDescent="0.2">
      <c r="A67" s="15">
        <v>442</v>
      </c>
      <c r="B67" s="228" t="s">
        <v>663</v>
      </c>
      <c r="C67" s="229" t="s">
        <v>711</v>
      </c>
      <c r="D67" s="228">
        <v>2417</v>
      </c>
      <c r="E67" s="228" t="s">
        <v>629</v>
      </c>
      <c r="F67" s="228" t="s">
        <v>629</v>
      </c>
      <c r="G67" s="228" t="s">
        <v>629</v>
      </c>
      <c r="H67" s="228" t="s">
        <v>629</v>
      </c>
      <c r="I67" s="228" t="s">
        <v>629</v>
      </c>
      <c r="J67" s="228" t="s">
        <v>630</v>
      </c>
      <c r="K67" s="228" t="s">
        <v>714</v>
      </c>
      <c r="L67" s="228" t="s">
        <v>645</v>
      </c>
      <c r="M67" s="228">
        <v>256</v>
      </c>
      <c r="N67" s="228" t="s">
        <v>602</v>
      </c>
      <c r="O67" s="228">
        <v>56</v>
      </c>
      <c r="P67" s="228" t="s">
        <v>602</v>
      </c>
      <c r="Q67" s="228"/>
      <c r="R67" s="228">
        <v>39938</v>
      </c>
      <c r="S67" s="228" t="s">
        <v>468</v>
      </c>
      <c r="T67" s="228" t="s">
        <v>468</v>
      </c>
      <c r="U67" s="228" t="s">
        <v>468</v>
      </c>
      <c r="V67" s="228" t="s">
        <v>468</v>
      </c>
      <c r="W67" s="228" t="s">
        <v>468</v>
      </c>
      <c r="X67" s="228" t="s">
        <v>630</v>
      </c>
      <c r="Y67" s="228" t="s">
        <v>714</v>
      </c>
      <c r="Z67" s="228" t="s">
        <v>198</v>
      </c>
      <c r="AA67" s="230">
        <v>103</v>
      </c>
      <c r="AB67" s="228" t="s">
        <v>596</v>
      </c>
      <c r="AC67" s="230">
        <v>19</v>
      </c>
      <c r="AD67" s="228" t="s">
        <v>598</v>
      </c>
      <c r="AE67" s="15">
        <v>18910</v>
      </c>
      <c r="AF67" s="224">
        <f t="shared" si="0"/>
        <v>0.59765625</v>
      </c>
      <c r="AG67" s="224">
        <f t="shared" si="3"/>
        <v>0.6607142857142857</v>
      </c>
      <c r="AH67" s="224">
        <f t="shared" si="1"/>
        <v>0.52651609995493009</v>
      </c>
      <c r="AJ67" s="231">
        <v>4.2623401323955319</v>
      </c>
      <c r="AK67" s="228" t="s">
        <v>594</v>
      </c>
      <c r="AL67" s="226">
        <f t="shared" si="2"/>
        <v>0.92388678335007979</v>
      </c>
    </row>
    <row r="68" spans="1:38" x14ac:dyDescent="0.2">
      <c r="A68" s="15">
        <v>1619</v>
      </c>
      <c r="B68" s="228" t="s">
        <v>663</v>
      </c>
      <c r="C68" s="229" t="s">
        <v>711</v>
      </c>
      <c r="D68" s="228">
        <v>2417</v>
      </c>
      <c r="E68" s="228" t="s">
        <v>629</v>
      </c>
      <c r="F68" s="228" t="s">
        <v>629</v>
      </c>
      <c r="G68" s="228" t="s">
        <v>629</v>
      </c>
      <c r="H68" s="228" t="s">
        <v>629</v>
      </c>
      <c r="I68" s="228" t="s">
        <v>629</v>
      </c>
      <c r="J68" s="228" t="s">
        <v>630</v>
      </c>
      <c r="K68" s="228" t="s">
        <v>714</v>
      </c>
      <c r="L68" s="228" t="s">
        <v>645</v>
      </c>
      <c r="M68" s="228">
        <v>256</v>
      </c>
      <c r="N68" s="228" t="s">
        <v>602</v>
      </c>
      <c r="O68" s="228">
        <v>56</v>
      </c>
      <c r="P68" s="228" t="s">
        <v>602</v>
      </c>
      <c r="Q68" s="228"/>
      <c r="R68" s="228">
        <v>39938</v>
      </c>
      <c r="S68" s="228" t="s">
        <v>468</v>
      </c>
      <c r="T68" s="228" t="s">
        <v>468</v>
      </c>
      <c r="U68" s="228" t="s">
        <v>468</v>
      </c>
      <c r="V68" s="228" t="s">
        <v>468</v>
      </c>
      <c r="W68" s="228" t="s">
        <v>468</v>
      </c>
      <c r="X68" s="228" t="s">
        <v>636</v>
      </c>
      <c r="Y68" s="228" t="s">
        <v>714</v>
      </c>
      <c r="Z68" s="228" t="s">
        <v>198</v>
      </c>
      <c r="AA68" s="230">
        <v>86</v>
      </c>
      <c r="AB68" s="228" t="s">
        <v>596</v>
      </c>
      <c r="AC68" s="230">
        <v>15</v>
      </c>
      <c r="AD68" s="228" t="s">
        <v>598</v>
      </c>
      <c r="AE68" s="15">
        <v>16290</v>
      </c>
      <c r="AF68" s="224">
        <f t="shared" si="0"/>
        <v>0.6640625</v>
      </c>
      <c r="AG68" s="224">
        <f t="shared" si="3"/>
        <v>0.7321428571428571</v>
      </c>
      <c r="AH68" s="224">
        <f t="shared" si="1"/>
        <v>0.59211778256297265</v>
      </c>
      <c r="AJ68" s="231">
        <v>3.4883424493173352</v>
      </c>
      <c r="AK68" s="228" t="s">
        <v>594</v>
      </c>
      <c r="AL68" s="226">
        <f t="shared" si="2"/>
        <v>0.93770817054790467</v>
      </c>
    </row>
    <row r="69" spans="1:38" x14ac:dyDescent="0.2">
      <c r="A69" s="15">
        <v>1613</v>
      </c>
      <c r="B69" s="228" t="s">
        <v>663</v>
      </c>
      <c r="C69" s="229" t="s">
        <v>711</v>
      </c>
      <c r="D69" s="228">
        <v>2417</v>
      </c>
      <c r="E69" s="228" t="s">
        <v>629</v>
      </c>
      <c r="F69" s="228" t="s">
        <v>629</v>
      </c>
      <c r="G69" s="228" t="s">
        <v>629</v>
      </c>
      <c r="H69" s="228" t="s">
        <v>629</v>
      </c>
      <c r="I69" s="228" t="s">
        <v>629</v>
      </c>
      <c r="J69" s="228" t="s">
        <v>630</v>
      </c>
      <c r="K69" s="228" t="s">
        <v>714</v>
      </c>
      <c r="L69" s="228" t="s">
        <v>645</v>
      </c>
      <c r="M69" s="228">
        <v>256</v>
      </c>
      <c r="N69" s="228" t="s">
        <v>602</v>
      </c>
      <c r="O69" s="228">
        <v>56</v>
      </c>
      <c r="P69" s="228" t="s">
        <v>602</v>
      </c>
      <c r="Q69" s="228"/>
      <c r="R69" s="228">
        <v>39938</v>
      </c>
      <c r="S69" s="228" t="s">
        <v>468</v>
      </c>
      <c r="T69" s="228" t="s">
        <v>468</v>
      </c>
      <c r="U69" s="228" t="s">
        <v>468</v>
      </c>
      <c r="V69" s="228" t="s">
        <v>468</v>
      </c>
      <c r="W69" s="228" t="s">
        <v>468</v>
      </c>
      <c r="X69" s="228" t="s">
        <v>643</v>
      </c>
      <c r="Y69" s="228" t="s">
        <v>714</v>
      </c>
      <c r="Z69" s="228" t="s">
        <v>198</v>
      </c>
      <c r="AA69" s="230">
        <v>96.821170872983046</v>
      </c>
      <c r="AB69" s="228" t="s">
        <v>596</v>
      </c>
      <c r="AC69" s="230">
        <v>9.0031090608191988</v>
      </c>
      <c r="AD69" s="228" t="s">
        <v>596</v>
      </c>
      <c r="AE69" s="15" t="s">
        <v>629</v>
      </c>
      <c r="AF69" s="224">
        <f t="shared" ref="AF69:AF114" si="4">(M69-AA69)/M69</f>
        <v>0.62179230127741003</v>
      </c>
      <c r="AG69" s="224">
        <f t="shared" ref="AG69:AG114" si="5">(O69-AC69)/O69</f>
        <v>0.83923019534251431</v>
      </c>
      <c r="AH69" s="224" t="e">
        <f t="shared" ref="AH69:AH114" si="6">(R69-AE69)/R69</f>
        <v>#VALUE!</v>
      </c>
      <c r="AJ69" s="231">
        <v>3.3778995448903606</v>
      </c>
      <c r="AK69" s="228" t="s">
        <v>594</v>
      </c>
      <c r="AL69" s="226">
        <f t="shared" ref="AL69:AL123" si="7">(O69-AJ69)/O69</f>
        <v>0.93968036526981502</v>
      </c>
    </row>
    <row r="70" spans="1:38" x14ac:dyDescent="0.2">
      <c r="A70" s="15">
        <v>1625</v>
      </c>
      <c r="B70" s="228" t="s">
        <v>663</v>
      </c>
      <c r="C70" s="229" t="s">
        <v>711</v>
      </c>
      <c r="D70" s="228">
        <v>2417</v>
      </c>
      <c r="E70" s="228" t="s">
        <v>629</v>
      </c>
      <c r="F70" s="228" t="s">
        <v>629</v>
      </c>
      <c r="G70" s="228" t="s">
        <v>629</v>
      </c>
      <c r="H70" s="228" t="s">
        <v>629</v>
      </c>
      <c r="I70" s="228" t="s">
        <v>629</v>
      </c>
      <c r="J70" s="228" t="s">
        <v>630</v>
      </c>
      <c r="K70" s="228" t="s">
        <v>714</v>
      </c>
      <c r="L70" s="228" t="s">
        <v>645</v>
      </c>
      <c r="M70" s="228">
        <v>256</v>
      </c>
      <c r="N70" s="228" t="s">
        <v>602</v>
      </c>
      <c r="O70" s="228">
        <v>56</v>
      </c>
      <c r="P70" s="228" t="s">
        <v>602</v>
      </c>
      <c r="Q70" s="228"/>
      <c r="R70" s="228">
        <v>39938</v>
      </c>
      <c r="S70" s="228" t="s">
        <v>468</v>
      </c>
      <c r="T70" s="228" t="s">
        <v>468</v>
      </c>
      <c r="U70" s="228" t="s">
        <v>468</v>
      </c>
      <c r="V70" s="228" t="s">
        <v>468</v>
      </c>
      <c r="W70" s="228" t="s">
        <v>468</v>
      </c>
      <c r="X70" s="232" t="s">
        <v>639</v>
      </c>
      <c r="Y70" s="228" t="s">
        <v>714</v>
      </c>
      <c r="Z70" s="228" t="s">
        <v>198</v>
      </c>
      <c r="AA70" s="230">
        <v>93</v>
      </c>
      <c r="AB70" s="228" t="s">
        <v>596</v>
      </c>
      <c r="AC70" s="230">
        <v>2</v>
      </c>
      <c r="AD70" s="228" t="s">
        <v>594</v>
      </c>
      <c r="AE70" s="15">
        <v>18378</v>
      </c>
      <c r="AF70" s="224">
        <f t="shared" si="4"/>
        <v>0.63671875</v>
      </c>
      <c r="AG70" s="224">
        <f t="shared" si="5"/>
        <v>0.9642857142857143</v>
      </c>
      <c r="AH70" s="224">
        <f t="shared" si="6"/>
        <v>0.53983674695778461</v>
      </c>
      <c r="AJ70" s="231">
        <v>2.8360273893256105</v>
      </c>
      <c r="AK70" s="228" t="s">
        <v>594</v>
      </c>
      <c r="AL70" s="226">
        <f t="shared" si="7"/>
        <v>0.9493566537620427</v>
      </c>
    </row>
    <row r="71" spans="1:38" x14ac:dyDescent="0.2">
      <c r="A71" s="15">
        <v>1719</v>
      </c>
      <c r="B71" s="228" t="s">
        <v>663</v>
      </c>
      <c r="C71" s="229" t="s">
        <v>623</v>
      </c>
      <c r="D71" s="228">
        <v>2417</v>
      </c>
      <c r="E71" s="228" t="s">
        <v>629</v>
      </c>
      <c r="F71" s="228" t="s">
        <v>629</v>
      </c>
      <c r="G71" s="228" t="s">
        <v>629</v>
      </c>
      <c r="H71" s="228" t="s">
        <v>629</v>
      </c>
      <c r="I71" s="228" t="s">
        <v>629</v>
      </c>
      <c r="J71" s="228" t="s">
        <v>630</v>
      </c>
      <c r="K71" s="228" t="s">
        <v>714</v>
      </c>
      <c r="L71" s="228" t="s">
        <v>645</v>
      </c>
      <c r="M71" s="228">
        <v>234</v>
      </c>
      <c r="N71" s="228" t="s">
        <v>600</v>
      </c>
      <c r="O71" s="228">
        <v>51</v>
      </c>
      <c r="P71" s="228" t="s">
        <v>602</v>
      </c>
      <c r="Q71" s="228"/>
      <c r="R71" s="228">
        <v>36542</v>
      </c>
      <c r="S71" s="228" t="s">
        <v>468</v>
      </c>
      <c r="T71" s="228" t="s">
        <v>468</v>
      </c>
      <c r="U71" s="228" t="s">
        <v>468</v>
      </c>
      <c r="V71" s="228" t="s">
        <v>468</v>
      </c>
      <c r="W71" s="228" t="s">
        <v>468</v>
      </c>
      <c r="X71" s="228" t="s">
        <v>630</v>
      </c>
      <c r="Y71" s="228" t="s">
        <v>714</v>
      </c>
      <c r="Z71" s="228" t="s">
        <v>645</v>
      </c>
      <c r="AA71" s="230">
        <v>111</v>
      </c>
      <c r="AB71" s="228" t="s">
        <v>598</v>
      </c>
      <c r="AC71" s="230">
        <v>21</v>
      </c>
      <c r="AD71" s="228" t="s">
        <v>598</v>
      </c>
      <c r="AE71" s="15">
        <v>19837</v>
      </c>
      <c r="AF71" s="224">
        <f t="shared" si="4"/>
        <v>0.52564102564102566</v>
      </c>
      <c r="AG71" s="224">
        <f t="shared" si="5"/>
        <v>0.58823529411764708</v>
      </c>
      <c r="AH71" s="224">
        <f t="shared" si="6"/>
        <v>0.4571452027803623</v>
      </c>
      <c r="AJ71" s="231">
        <v>4.6015904426975585</v>
      </c>
      <c r="AK71" s="228" t="s">
        <v>594</v>
      </c>
      <c r="AL71" s="226">
        <f t="shared" si="7"/>
        <v>0.90977273641769496</v>
      </c>
    </row>
    <row r="72" spans="1:38" hidden="1" x14ac:dyDescent="0.2">
      <c r="A72" s="15">
        <v>1642</v>
      </c>
      <c r="B72" s="228" t="s">
        <v>663</v>
      </c>
      <c r="C72" s="229" t="s">
        <v>623</v>
      </c>
      <c r="D72" s="228">
        <v>2417</v>
      </c>
      <c r="E72" s="228" t="s">
        <v>629</v>
      </c>
      <c r="F72" s="228" t="s">
        <v>629</v>
      </c>
      <c r="G72" s="228" t="s">
        <v>629</v>
      </c>
      <c r="H72" s="228" t="s">
        <v>629</v>
      </c>
      <c r="I72" s="228" t="s">
        <v>629</v>
      </c>
      <c r="J72" s="228" t="s">
        <v>630</v>
      </c>
      <c r="K72" s="228" t="s">
        <v>714</v>
      </c>
      <c r="L72" s="228" t="s">
        <v>645</v>
      </c>
      <c r="M72" s="228">
        <v>234</v>
      </c>
      <c r="N72" s="228" t="s">
        <v>600</v>
      </c>
      <c r="O72" s="228">
        <v>51</v>
      </c>
      <c r="P72" s="228" t="s">
        <v>602</v>
      </c>
      <c r="Q72" s="228"/>
      <c r="R72" s="228">
        <v>36542</v>
      </c>
      <c r="S72" s="228" t="s">
        <v>629</v>
      </c>
      <c r="T72" s="228" t="s">
        <v>629</v>
      </c>
      <c r="U72" s="228" t="s">
        <v>629</v>
      </c>
      <c r="V72" s="228" t="s">
        <v>629</v>
      </c>
      <c r="W72" s="228" t="s">
        <v>629</v>
      </c>
      <c r="X72" s="228" t="s">
        <v>630</v>
      </c>
      <c r="Y72" s="228" t="s">
        <v>714</v>
      </c>
      <c r="Z72" s="228" t="s">
        <v>198</v>
      </c>
      <c r="AA72" s="230">
        <v>200</v>
      </c>
      <c r="AB72" s="228" t="s">
        <v>600</v>
      </c>
      <c r="AC72" s="230">
        <v>43</v>
      </c>
      <c r="AD72" s="228" t="s">
        <v>600</v>
      </c>
      <c r="AE72" s="15">
        <v>3185</v>
      </c>
      <c r="AF72" s="224">
        <f t="shared" si="4"/>
        <v>0.14529914529914531</v>
      </c>
      <c r="AG72" s="224">
        <f t="shared" si="5"/>
        <v>0.15686274509803921</v>
      </c>
      <c r="AH72" s="224">
        <f t="shared" si="6"/>
        <v>0.91284001970335504</v>
      </c>
      <c r="AJ72" s="231">
        <v>8.6952955316508067</v>
      </c>
      <c r="AK72" s="228" t="s">
        <v>596</v>
      </c>
      <c r="AL72" s="226">
        <f t="shared" si="7"/>
        <v>0.82950400918331757</v>
      </c>
    </row>
    <row r="73" spans="1:38" hidden="1" x14ac:dyDescent="0.2">
      <c r="A73" s="15">
        <v>1654</v>
      </c>
      <c r="B73" s="228" t="s">
        <v>663</v>
      </c>
      <c r="C73" s="229" t="s">
        <v>623</v>
      </c>
      <c r="D73" s="228">
        <v>2417</v>
      </c>
      <c r="E73" s="228" t="s">
        <v>629</v>
      </c>
      <c r="F73" s="228" t="s">
        <v>629</v>
      </c>
      <c r="G73" s="228" t="s">
        <v>629</v>
      </c>
      <c r="H73" s="228" t="s">
        <v>629</v>
      </c>
      <c r="I73" s="228" t="s">
        <v>629</v>
      </c>
      <c r="J73" s="228" t="s">
        <v>630</v>
      </c>
      <c r="K73" s="228" t="s">
        <v>714</v>
      </c>
      <c r="L73" s="228" t="s">
        <v>645</v>
      </c>
      <c r="M73" s="228">
        <v>234</v>
      </c>
      <c r="N73" s="228" t="s">
        <v>600</v>
      </c>
      <c r="O73" s="228">
        <v>51</v>
      </c>
      <c r="P73" s="228" t="s">
        <v>602</v>
      </c>
      <c r="Q73" s="228"/>
      <c r="R73" s="228">
        <v>36542</v>
      </c>
      <c r="S73" s="228" t="s">
        <v>629</v>
      </c>
      <c r="T73" s="228" t="s">
        <v>629</v>
      </c>
      <c r="U73" s="228" t="s">
        <v>629</v>
      </c>
      <c r="V73" s="228" t="s">
        <v>629</v>
      </c>
      <c r="W73" s="228" t="s">
        <v>629</v>
      </c>
      <c r="X73" s="228" t="s">
        <v>636</v>
      </c>
      <c r="Y73" s="228" t="s">
        <v>714</v>
      </c>
      <c r="Z73" s="228" t="s">
        <v>198</v>
      </c>
      <c r="AA73" s="230">
        <v>180</v>
      </c>
      <c r="AB73" s="228" t="s">
        <v>600</v>
      </c>
      <c r="AC73" s="230">
        <v>39</v>
      </c>
      <c r="AD73" s="228" t="s">
        <v>600</v>
      </c>
      <c r="AE73" s="15">
        <v>28780</v>
      </c>
      <c r="AF73" s="224">
        <f t="shared" si="4"/>
        <v>0.23076923076923078</v>
      </c>
      <c r="AG73" s="224">
        <f t="shared" si="5"/>
        <v>0.23529411764705882</v>
      </c>
      <c r="AH73" s="224">
        <f t="shared" si="6"/>
        <v>0.21241311367741228</v>
      </c>
      <c r="AJ73" s="231">
        <v>7.7885168804302847</v>
      </c>
      <c r="AK73" s="228" t="s">
        <v>596</v>
      </c>
      <c r="AL73" s="226">
        <f t="shared" si="7"/>
        <v>0.84728398273666106</v>
      </c>
    </row>
    <row r="74" spans="1:38" hidden="1" x14ac:dyDescent="0.2">
      <c r="A74" s="15">
        <v>1650</v>
      </c>
      <c r="B74" s="228" t="s">
        <v>663</v>
      </c>
      <c r="C74" s="229" t="s">
        <v>623</v>
      </c>
      <c r="D74" s="228">
        <v>2417</v>
      </c>
      <c r="E74" s="228" t="s">
        <v>629</v>
      </c>
      <c r="F74" s="228" t="s">
        <v>629</v>
      </c>
      <c r="G74" s="228" t="s">
        <v>629</v>
      </c>
      <c r="H74" s="228" t="s">
        <v>629</v>
      </c>
      <c r="I74" s="228" t="s">
        <v>629</v>
      </c>
      <c r="J74" s="228" t="s">
        <v>630</v>
      </c>
      <c r="K74" s="228" t="s">
        <v>714</v>
      </c>
      <c r="L74" s="228" t="s">
        <v>645</v>
      </c>
      <c r="M74" s="228">
        <v>234</v>
      </c>
      <c r="N74" s="228" t="s">
        <v>600</v>
      </c>
      <c r="O74" s="228">
        <v>51</v>
      </c>
      <c r="P74" s="228" t="s">
        <v>602</v>
      </c>
      <c r="Q74" s="228"/>
      <c r="R74" s="228">
        <v>36542</v>
      </c>
      <c r="S74" s="228" t="s">
        <v>629</v>
      </c>
      <c r="T74" s="228" t="s">
        <v>629</v>
      </c>
      <c r="U74" s="228" t="s">
        <v>629</v>
      </c>
      <c r="V74" s="228" t="s">
        <v>629</v>
      </c>
      <c r="W74" s="228" t="s">
        <v>629</v>
      </c>
      <c r="X74" s="228" t="s">
        <v>643</v>
      </c>
      <c r="Y74" s="228" t="s">
        <v>714</v>
      </c>
      <c r="Z74" s="228" t="s">
        <v>198</v>
      </c>
      <c r="AA74" s="230">
        <v>181.13145221348782</v>
      </c>
      <c r="AB74" s="228" t="s">
        <v>600</v>
      </c>
      <c r="AC74" s="230">
        <v>16.207835291683907</v>
      </c>
      <c r="AD74" s="228" t="s">
        <v>598</v>
      </c>
      <c r="AE74" s="15" t="s">
        <v>629</v>
      </c>
      <c r="AF74" s="224">
        <f t="shared" si="4"/>
        <v>0.2259339648996247</v>
      </c>
      <c r="AG74" s="224">
        <f t="shared" si="5"/>
        <v>0.68219930800619788</v>
      </c>
      <c r="AH74" s="224" t="e">
        <f t="shared" si="6"/>
        <v>#VALUE!</v>
      </c>
      <c r="AJ74" s="231">
        <v>6.5570649151841121</v>
      </c>
      <c r="AK74" s="228" t="s">
        <v>596</v>
      </c>
      <c r="AL74" s="226">
        <f t="shared" si="7"/>
        <v>0.87143009970227225</v>
      </c>
    </row>
    <row r="75" spans="1:38" hidden="1" x14ac:dyDescent="0.2">
      <c r="A75" s="15">
        <v>1660</v>
      </c>
      <c r="B75" s="228" t="s">
        <v>663</v>
      </c>
      <c r="C75" s="229" t="s">
        <v>623</v>
      </c>
      <c r="D75" s="228">
        <v>2417</v>
      </c>
      <c r="E75" s="228" t="s">
        <v>629</v>
      </c>
      <c r="F75" s="228" t="s">
        <v>629</v>
      </c>
      <c r="G75" s="228" t="s">
        <v>629</v>
      </c>
      <c r="H75" s="228" t="s">
        <v>629</v>
      </c>
      <c r="I75" s="228" t="s">
        <v>629</v>
      </c>
      <c r="J75" s="228" t="s">
        <v>630</v>
      </c>
      <c r="K75" s="228" t="s">
        <v>714</v>
      </c>
      <c r="L75" s="228" t="s">
        <v>645</v>
      </c>
      <c r="M75" s="228">
        <v>234</v>
      </c>
      <c r="N75" s="228" t="s">
        <v>600</v>
      </c>
      <c r="O75" s="228">
        <v>51</v>
      </c>
      <c r="P75" s="228" t="s">
        <v>602</v>
      </c>
      <c r="Q75" s="228"/>
      <c r="R75" s="228">
        <v>36542</v>
      </c>
      <c r="S75" s="228" t="s">
        <v>629</v>
      </c>
      <c r="T75" s="228" t="s">
        <v>629</v>
      </c>
      <c r="U75" s="228" t="s">
        <v>629</v>
      </c>
      <c r="V75" s="228" t="s">
        <v>629</v>
      </c>
      <c r="W75" s="228" t="s">
        <v>629</v>
      </c>
      <c r="X75" s="232" t="s">
        <v>639</v>
      </c>
      <c r="Y75" s="228" t="s">
        <v>714</v>
      </c>
      <c r="Z75" s="228" t="s">
        <v>198</v>
      </c>
      <c r="AA75" s="230">
        <v>175</v>
      </c>
      <c r="AB75" s="228" t="s">
        <v>598</v>
      </c>
      <c r="AC75" s="230">
        <v>5</v>
      </c>
      <c r="AD75" s="228" t="s">
        <v>594</v>
      </c>
      <c r="AE75" s="15">
        <v>30611</v>
      </c>
      <c r="AF75" s="224">
        <f t="shared" si="4"/>
        <v>0.25213675213675213</v>
      </c>
      <c r="AG75" s="224">
        <f t="shared" si="5"/>
        <v>0.90196078431372551</v>
      </c>
      <c r="AH75" s="224">
        <f t="shared" si="6"/>
        <v>0.1623063871709266</v>
      </c>
      <c r="AJ75" s="231">
        <v>5.7571515928837398</v>
      </c>
      <c r="AK75" s="228" t="s">
        <v>594</v>
      </c>
      <c r="AL75" s="226">
        <f t="shared" si="7"/>
        <v>0.88711467464933846</v>
      </c>
    </row>
    <row r="76" spans="1:38" x14ac:dyDescent="0.2">
      <c r="A76" s="15">
        <v>1643</v>
      </c>
      <c r="B76" s="228" t="s">
        <v>663</v>
      </c>
      <c r="C76" s="229" t="s">
        <v>623</v>
      </c>
      <c r="D76" s="228">
        <v>2417</v>
      </c>
      <c r="E76" s="228" t="s">
        <v>629</v>
      </c>
      <c r="F76" s="228" t="s">
        <v>629</v>
      </c>
      <c r="G76" s="228" t="s">
        <v>629</v>
      </c>
      <c r="H76" s="228" t="s">
        <v>629</v>
      </c>
      <c r="I76" s="228" t="s">
        <v>629</v>
      </c>
      <c r="J76" s="228" t="s">
        <v>630</v>
      </c>
      <c r="K76" s="228" t="s">
        <v>714</v>
      </c>
      <c r="L76" s="228" t="s">
        <v>645</v>
      </c>
      <c r="M76" s="228">
        <v>234</v>
      </c>
      <c r="N76" s="228" t="s">
        <v>600</v>
      </c>
      <c r="O76" s="228">
        <v>51</v>
      </c>
      <c r="P76" s="228" t="s">
        <v>602</v>
      </c>
      <c r="Q76" s="228"/>
      <c r="R76" s="228">
        <v>36542</v>
      </c>
      <c r="S76" s="228" t="s">
        <v>468</v>
      </c>
      <c r="T76" s="228" t="s">
        <v>468</v>
      </c>
      <c r="U76" s="228" t="s">
        <v>468</v>
      </c>
      <c r="V76" s="228" t="s">
        <v>468</v>
      </c>
      <c r="W76" s="228" t="s">
        <v>468</v>
      </c>
      <c r="X76" s="228" t="s">
        <v>630</v>
      </c>
      <c r="Y76" s="228" t="s">
        <v>714</v>
      </c>
      <c r="Z76" s="228" t="s">
        <v>198</v>
      </c>
      <c r="AA76" s="230">
        <v>96</v>
      </c>
      <c r="AB76" s="228" t="s">
        <v>596</v>
      </c>
      <c r="AC76" s="230">
        <v>18</v>
      </c>
      <c r="AD76" s="228" t="s">
        <v>598</v>
      </c>
      <c r="AE76" s="15">
        <v>17799</v>
      </c>
      <c r="AF76" s="224">
        <f t="shared" si="4"/>
        <v>0.58974358974358976</v>
      </c>
      <c r="AG76" s="224">
        <f t="shared" si="5"/>
        <v>0.6470588235294118</v>
      </c>
      <c r="AH76" s="224">
        <f t="shared" si="6"/>
        <v>0.51291664386185754</v>
      </c>
      <c r="AJ76" s="231">
        <v>3.9453410426148112</v>
      </c>
      <c r="AK76" s="228" t="s">
        <v>594</v>
      </c>
      <c r="AL76" s="226">
        <f t="shared" si="7"/>
        <v>0.92264037171343505</v>
      </c>
    </row>
    <row r="77" spans="1:38" x14ac:dyDescent="0.2">
      <c r="A77" s="15">
        <v>1655</v>
      </c>
      <c r="B77" s="228" t="s">
        <v>663</v>
      </c>
      <c r="C77" s="229" t="s">
        <v>623</v>
      </c>
      <c r="D77" s="228">
        <v>2417</v>
      </c>
      <c r="E77" s="228" t="s">
        <v>629</v>
      </c>
      <c r="F77" s="228" t="s">
        <v>629</v>
      </c>
      <c r="G77" s="228" t="s">
        <v>629</v>
      </c>
      <c r="H77" s="228" t="s">
        <v>629</v>
      </c>
      <c r="I77" s="228" t="s">
        <v>629</v>
      </c>
      <c r="J77" s="228" t="s">
        <v>630</v>
      </c>
      <c r="K77" s="228" t="s">
        <v>714</v>
      </c>
      <c r="L77" s="228" t="s">
        <v>645</v>
      </c>
      <c r="M77" s="228">
        <v>234</v>
      </c>
      <c r="N77" s="228" t="s">
        <v>600</v>
      </c>
      <c r="O77" s="228">
        <v>51</v>
      </c>
      <c r="P77" s="228" t="s">
        <v>602</v>
      </c>
      <c r="Q77" s="228"/>
      <c r="R77" s="228">
        <v>36542</v>
      </c>
      <c r="S77" s="228" t="s">
        <v>468</v>
      </c>
      <c r="T77" s="228" t="s">
        <v>468</v>
      </c>
      <c r="U77" s="228" t="s">
        <v>468</v>
      </c>
      <c r="V77" s="228" t="s">
        <v>468</v>
      </c>
      <c r="W77" s="228" t="s">
        <v>468</v>
      </c>
      <c r="X77" s="228" t="s">
        <v>636</v>
      </c>
      <c r="Y77" s="228" t="s">
        <v>714</v>
      </c>
      <c r="Z77" s="228" t="s">
        <v>198</v>
      </c>
      <c r="AA77" s="230">
        <v>75</v>
      </c>
      <c r="AB77" s="228" t="s">
        <v>596</v>
      </c>
      <c r="AC77" s="230">
        <v>13</v>
      </c>
      <c r="AD77" s="228" t="s">
        <v>598</v>
      </c>
      <c r="AE77" s="15">
        <v>14729</v>
      </c>
      <c r="AF77" s="224">
        <f t="shared" si="4"/>
        <v>0.67948717948717952</v>
      </c>
      <c r="AG77" s="224">
        <f t="shared" si="5"/>
        <v>0.74509803921568629</v>
      </c>
      <c r="AH77" s="224">
        <f t="shared" si="6"/>
        <v>0.59692956050571944</v>
      </c>
      <c r="AJ77" s="231">
        <v>3.0385623913942901</v>
      </c>
      <c r="AK77" s="228" t="s">
        <v>594</v>
      </c>
      <c r="AL77" s="226">
        <f t="shared" si="7"/>
        <v>0.94042034526677853</v>
      </c>
    </row>
    <row r="78" spans="1:38" x14ac:dyDescent="0.2">
      <c r="A78" s="15">
        <v>1652</v>
      </c>
      <c r="B78" s="228" t="s">
        <v>663</v>
      </c>
      <c r="C78" s="229" t="s">
        <v>623</v>
      </c>
      <c r="D78" s="228">
        <v>2417</v>
      </c>
      <c r="E78" s="228" t="s">
        <v>629</v>
      </c>
      <c r="F78" s="228" t="s">
        <v>629</v>
      </c>
      <c r="G78" s="228" t="s">
        <v>629</v>
      </c>
      <c r="H78" s="228" t="s">
        <v>629</v>
      </c>
      <c r="I78" s="228" t="s">
        <v>629</v>
      </c>
      <c r="J78" s="228" t="s">
        <v>630</v>
      </c>
      <c r="K78" s="228" t="s">
        <v>714</v>
      </c>
      <c r="L78" s="228" t="s">
        <v>645</v>
      </c>
      <c r="M78" s="228">
        <v>234</v>
      </c>
      <c r="N78" s="228" t="s">
        <v>600</v>
      </c>
      <c r="O78" s="228">
        <v>51</v>
      </c>
      <c r="P78" s="228" t="s">
        <v>602</v>
      </c>
      <c r="Q78" s="228"/>
      <c r="R78" s="228">
        <v>36542</v>
      </c>
      <c r="S78" s="228" t="s">
        <v>468</v>
      </c>
      <c r="T78" s="228" t="s">
        <v>468</v>
      </c>
      <c r="U78" s="228" t="s">
        <v>468</v>
      </c>
      <c r="V78" s="228" t="s">
        <v>468</v>
      </c>
      <c r="W78" s="228" t="s">
        <v>468</v>
      </c>
      <c r="X78" s="228" t="s">
        <v>643</v>
      </c>
      <c r="Y78" s="228" t="s">
        <v>714</v>
      </c>
      <c r="Z78" s="228" t="s">
        <v>198</v>
      </c>
      <c r="AA78" s="230">
        <v>82.375953661563926</v>
      </c>
      <c r="AB78" s="228" t="s">
        <v>596</v>
      </c>
      <c r="AC78" s="230">
        <v>6.1469571369466287</v>
      </c>
      <c r="AD78" s="228" t="s">
        <v>596</v>
      </c>
      <c r="AE78" s="15" t="s">
        <v>629</v>
      </c>
      <c r="AF78" s="224">
        <f t="shared" si="4"/>
        <v>0.64796600999331655</v>
      </c>
      <c r="AG78" s="224">
        <f t="shared" si="5"/>
        <v>0.87947142868732109</v>
      </c>
      <c r="AH78" s="224" t="e">
        <f t="shared" si="6"/>
        <v>#VALUE!</v>
      </c>
      <c r="AJ78" s="231">
        <v>2.7534996276375678</v>
      </c>
      <c r="AK78" s="228" t="s">
        <v>594</v>
      </c>
      <c r="AL78" s="226">
        <f t="shared" si="7"/>
        <v>0.94600981122279282</v>
      </c>
    </row>
    <row r="79" spans="1:38" x14ac:dyDescent="0.2">
      <c r="A79" s="15">
        <v>1661</v>
      </c>
      <c r="B79" s="228" t="s">
        <v>663</v>
      </c>
      <c r="C79" s="229" t="s">
        <v>623</v>
      </c>
      <c r="D79" s="228">
        <v>2417</v>
      </c>
      <c r="E79" s="228" t="s">
        <v>629</v>
      </c>
      <c r="F79" s="228" t="s">
        <v>629</v>
      </c>
      <c r="G79" s="228" t="s">
        <v>629</v>
      </c>
      <c r="H79" s="228" t="s">
        <v>629</v>
      </c>
      <c r="I79" s="228" t="s">
        <v>629</v>
      </c>
      <c r="J79" s="228" t="s">
        <v>630</v>
      </c>
      <c r="K79" s="228" t="s">
        <v>714</v>
      </c>
      <c r="L79" s="228" t="s">
        <v>645</v>
      </c>
      <c r="M79" s="228">
        <v>234</v>
      </c>
      <c r="N79" s="228" t="s">
        <v>600</v>
      </c>
      <c r="O79" s="228">
        <v>51</v>
      </c>
      <c r="P79" s="228" t="s">
        <v>602</v>
      </c>
      <c r="Q79" s="228"/>
      <c r="R79" s="228">
        <v>36542</v>
      </c>
      <c r="S79" s="228" t="s">
        <v>468</v>
      </c>
      <c r="T79" s="228" t="s">
        <v>468</v>
      </c>
      <c r="U79" s="228" t="s">
        <v>468</v>
      </c>
      <c r="V79" s="228" t="s">
        <v>468</v>
      </c>
      <c r="W79" s="228" t="s">
        <v>468</v>
      </c>
      <c r="X79" s="232" t="s">
        <v>639</v>
      </c>
      <c r="Y79" s="228" t="s">
        <v>714</v>
      </c>
      <c r="Z79" s="228" t="s">
        <v>198</v>
      </c>
      <c r="AA79" s="230">
        <v>86</v>
      </c>
      <c r="AB79" s="228" t="s">
        <v>596</v>
      </c>
      <c r="AC79" s="230">
        <v>2</v>
      </c>
      <c r="AD79" s="228" t="s">
        <v>594</v>
      </c>
      <c r="AE79" s="15">
        <v>17280</v>
      </c>
      <c r="AF79" s="224">
        <f t="shared" si="4"/>
        <v>0.63247863247863245</v>
      </c>
      <c r="AG79" s="224">
        <f t="shared" si="5"/>
        <v>0.96078431372549022</v>
      </c>
      <c r="AH79" s="224">
        <f t="shared" si="6"/>
        <v>0.5271194789557222</v>
      </c>
      <c r="AJ79" s="231">
        <v>2.6260118328506414</v>
      </c>
      <c r="AK79" s="228" t="s">
        <v>594</v>
      </c>
      <c r="AL79" s="226">
        <f t="shared" si="7"/>
        <v>0.94850957190488938</v>
      </c>
    </row>
    <row r="80" spans="1:38" x14ac:dyDescent="0.2">
      <c r="A80" s="15">
        <v>1720</v>
      </c>
      <c r="B80" s="228" t="s">
        <v>663</v>
      </c>
      <c r="C80" s="229" t="s">
        <v>713</v>
      </c>
      <c r="D80" s="228">
        <v>2417</v>
      </c>
      <c r="E80" s="228" t="s">
        <v>629</v>
      </c>
      <c r="F80" s="228" t="s">
        <v>629</v>
      </c>
      <c r="G80" s="228" t="s">
        <v>629</v>
      </c>
      <c r="H80" s="228" t="s">
        <v>629</v>
      </c>
      <c r="I80" s="228" t="s">
        <v>629</v>
      </c>
      <c r="J80" s="228" t="s">
        <v>630</v>
      </c>
      <c r="K80" s="228" t="s">
        <v>714</v>
      </c>
      <c r="L80" s="228" t="s">
        <v>645</v>
      </c>
      <c r="M80" s="228">
        <v>170</v>
      </c>
      <c r="N80" s="228" t="s">
        <v>598</v>
      </c>
      <c r="O80" s="228">
        <v>37</v>
      </c>
      <c r="P80" s="228" t="s">
        <v>600</v>
      </c>
      <c r="Q80" s="228"/>
      <c r="R80" s="228">
        <v>26900</v>
      </c>
      <c r="S80" s="228" t="s">
        <v>468</v>
      </c>
      <c r="T80" s="228" t="s">
        <v>468</v>
      </c>
      <c r="U80" s="228" t="s">
        <v>468</v>
      </c>
      <c r="V80" s="228" t="s">
        <v>468</v>
      </c>
      <c r="W80" s="228" t="s">
        <v>468</v>
      </c>
      <c r="X80" s="228" t="s">
        <v>630</v>
      </c>
      <c r="Y80" s="228" t="s">
        <v>714</v>
      </c>
      <c r="Z80" s="228" t="s">
        <v>645</v>
      </c>
      <c r="AA80" s="230">
        <v>87</v>
      </c>
      <c r="AB80" s="228" t="s">
        <v>596</v>
      </c>
      <c r="AC80" s="230">
        <v>16</v>
      </c>
      <c r="AD80" s="228" t="s">
        <v>598</v>
      </c>
      <c r="AE80" s="15">
        <v>16300</v>
      </c>
      <c r="AF80" s="224">
        <f t="shared" si="4"/>
        <v>0.48823529411764705</v>
      </c>
      <c r="AG80" s="224">
        <f t="shared" si="5"/>
        <v>0.56756756756756754</v>
      </c>
      <c r="AH80" s="224">
        <f t="shared" si="6"/>
        <v>0.39405204460966542</v>
      </c>
      <c r="AJ80" s="231">
        <v>3.592574762101779</v>
      </c>
      <c r="AK80" s="228" t="s">
        <v>594</v>
      </c>
      <c r="AL80" s="226">
        <f t="shared" si="7"/>
        <v>0.90290338480806009</v>
      </c>
    </row>
    <row r="81" spans="1:38" hidden="1" x14ac:dyDescent="0.2">
      <c r="A81" s="15">
        <v>1678</v>
      </c>
      <c r="B81" s="228" t="s">
        <v>663</v>
      </c>
      <c r="C81" s="229" t="s">
        <v>713</v>
      </c>
      <c r="D81" s="228">
        <v>2417</v>
      </c>
      <c r="E81" s="228" t="s">
        <v>629</v>
      </c>
      <c r="F81" s="228" t="s">
        <v>629</v>
      </c>
      <c r="G81" s="228" t="s">
        <v>629</v>
      </c>
      <c r="H81" s="228" t="s">
        <v>629</v>
      </c>
      <c r="I81" s="228" t="s">
        <v>629</v>
      </c>
      <c r="J81" s="228" t="s">
        <v>630</v>
      </c>
      <c r="K81" s="228" t="s">
        <v>714</v>
      </c>
      <c r="L81" s="228" t="s">
        <v>645</v>
      </c>
      <c r="M81" s="228">
        <v>170</v>
      </c>
      <c r="N81" s="228" t="s">
        <v>598</v>
      </c>
      <c r="O81" s="228">
        <v>37</v>
      </c>
      <c r="P81" s="228" t="s">
        <v>600</v>
      </c>
      <c r="Q81" s="228"/>
      <c r="R81" s="228">
        <v>26900</v>
      </c>
      <c r="S81" s="228" t="s">
        <v>629</v>
      </c>
      <c r="T81" s="228" t="s">
        <v>629</v>
      </c>
      <c r="U81" s="228" t="s">
        <v>629</v>
      </c>
      <c r="V81" s="228" t="s">
        <v>629</v>
      </c>
      <c r="W81" s="228" t="s">
        <v>629</v>
      </c>
      <c r="X81" s="228" t="s">
        <v>630</v>
      </c>
      <c r="Y81" s="228" t="s">
        <v>714</v>
      </c>
      <c r="Z81" s="228" t="s">
        <v>198</v>
      </c>
      <c r="AA81" s="230">
        <v>146</v>
      </c>
      <c r="AB81" s="228" t="s">
        <v>598</v>
      </c>
      <c r="AC81" s="230">
        <v>31</v>
      </c>
      <c r="AD81" s="228" t="s">
        <v>600</v>
      </c>
      <c r="AE81" s="15">
        <v>23465</v>
      </c>
      <c r="AF81" s="224">
        <f t="shared" si="4"/>
        <v>0.14117647058823529</v>
      </c>
      <c r="AG81" s="224">
        <f t="shared" si="5"/>
        <v>0.16216216216216217</v>
      </c>
      <c r="AH81" s="224">
        <f t="shared" si="6"/>
        <v>0.12769516728624536</v>
      </c>
      <c r="AJ81" s="231">
        <v>6.3161744311129491</v>
      </c>
      <c r="AK81" s="228" t="s">
        <v>596</v>
      </c>
      <c r="AL81" s="226">
        <f t="shared" si="7"/>
        <v>0.82929258294289332</v>
      </c>
    </row>
    <row r="82" spans="1:38" hidden="1" x14ac:dyDescent="0.2">
      <c r="A82" s="15">
        <v>1690</v>
      </c>
      <c r="B82" s="228" t="s">
        <v>663</v>
      </c>
      <c r="C82" s="229" t="s">
        <v>713</v>
      </c>
      <c r="D82" s="228">
        <v>2417</v>
      </c>
      <c r="E82" s="228" t="s">
        <v>629</v>
      </c>
      <c r="F82" s="228" t="s">
        <v>629</v>
      </c>
      <c r="G82" s="228" t="s">
        <v>629</v>
      </c>
      <c r="H82" s="228" t="s">
        <v>629</v>
      </c>
      <c r="I82" s="228" t="s">
        <v>629</v>
      </c>
      <c r="J82" s="228" t="s">
        <v>630</v>
      </c>
      <c r="K82" s="228" t="s">
        <v>714</v>
      </c>
      <c r="L82" s="228" t="s">
        <v>645</v>
      </c>
      <c r="M82" s="228">
        <v>170</v>
      </c>
      <c r="N82" s="228" t="s">
        <v>598</v>
      </c>
      <c r="O82" s="228">
        <v>37</v>
      </c>
      <c r="P82" s="228" t="s">
        <v>600</v>
      </c>
      <c r="Q82" s="228"/>
      <c r="R82" s="228">
        <v>26900</v>
      </c>
      <c r="S82" s="228" t="s">
        <v>629</v>
      </c>
      <c r="T82" s="228" t="s">
        <v>629</v>
      </c>
      <c r="U82" s="228" t="s">
        <v>629</v>
      </c>
      <c r="V82" s="228" t="s">
        <v>629</v>
      </c>
      <c r="W82" s="228" t="s">
        <v>629</v>
      </c>
      <c r="X82" s="228" t="s">
        <v>636</v>
      </c>
      <c r="Y82" s="228" t="s">
        <v>714</v>
      </c>
      <c r="Z82" s="228" t="s">
        <v>198</v>
      </c>
      <c r="AA82" s="230">
        <v>123</v>
      </c>
      <c r="AB82" s="228" t="s">
        <v>598</v>
      </c>
      <c r="AC82" s="230">
        <v>26</v>
      </c>
      <c r="AD82" s="228" t="s">
        <v>598</v>
      </c>
      <c r="AE82" s="15">
        <v>20059</v>
      </c>
      <c r="AF82" s="224">
        <f t="shared" si="4"/>
        <v>0.27647058823529413</v>
      </c>
      <c r="AG82" s="224">
        <f t="shared" si="5"/>
        <v>0.29729729729729731</v>
      </c>
      <c r="AH82" s="224">
        <f t="shared" si="6"/>
        <v>0.25431226765799259</v>
      </c>
      <c r="AJ82" s="231">
        <v>5.3100471659081503</v>
      </c>
      <c r="AK82" s="228" t="s">
        <v>594</v>
      </c>
      <c r="AL82" s="226">
        <f t="shared" si="7"/>
        <v>0.85648521173221215</v>
      </c>
    </row>
    <row r="83" spans="1:38" hidden="1" x14ac:dyDescent="0.2">
      <c r="A83" s="15">
        <v>1686</v>
      </c>
      <c r="B83" s="228" t="s">
        <v>663</v>
      </c>
      <c r="C83" s="229" t="s">
        <v>713</v>
      </c>
      <c r="D83" s="228">
        <v>2417</v>
      </c>
      <c r="E83" s="228" t="s">
        <v>629</v>
      </c>
      <c r="F83" s="228" t="s">
        <v>629</v>
      </c>
      <c r="G83" s="228" t="s">
        <v>629</v>
      </c>
      <c r="H83" s="228" t="s">
        <v>629</v>
      </c>
      <c r="I83" s="228" t="s">
        <v>629</v>
      </c>
      <c r="J83" s="228" t="s">
        <v>630</v>
      </c>
      <c r="K83" s="228" t="s">
        <v>714</v>
      </c>
      <c r="L83" s="228" t="s">
        <v>645</v>
      </c>
      <c r="M83" s="228">
        <v>170</v>
      </c>
      <c r="N83" s="228" t="s">
        <v>598</v>
      </c>
      <c r="O83" s="228">
        <v>37</v>
      </c>
      <c r="P83" s="228" t="s">
        <v>600</v>
      </c>
      <c r="Q83" s="228"/>
      <c r="R83" s="228">
        <v>26900</v>
      </c>
      <c r="S83" s="228" t="s">
        <v>629</v>
      </c>
      <c r="T83" s="228" t="s">
        <v>629</v>
      </c>
      <c r="U83" s="228" t="s">
        <v>629</v>
      </c>
      <c r="V83" s="228" t="s">
        <v>629</v>
      </c>
      <c r="W83" s="228" t="s">
        <v>629</v>
      </c>
      <c r="X83" s="228" t="s">
        <v>715</v>
      </c>
      <c r="Y83" s="228" t="s">
        <v>714</v>
      </c>
      <c r="Z83" s="228" t="s">
        <v>198</v>
      </c>
      <c r="AA83" s="230">
        <v>122.16581092263134</v>
      </c>
      <c r="AB83" s="228" t="s">
        <v>598</v>
      </c>
      <c r="AC83" s="230">
        <v>11.792453330575093</v>
      </c>
      <c r="AD83" s="228" t="s">
        <v>598</v>
      </c>
      <c r="AE83" s="15" t="s">
        <v>629</v>
      </c>
      <c r="AF83" s="224">
        <f t="shared" si="4"/>
        <v>0.28137758280805097</v>
      </c>
      <c r="AG83" s="224">
        <f t="shared" si="5"/>
        <v>0.68128504511959209</v>
      </c>
      <c r="AH83" s="224" t="e">
        <f t="shared" si="6"/>
        <v>#VALUE!</v>
      </c>
      <c r="AJ83" s="231">
        <v>4.4474640256516347</v>
      </c>
      <c r="AK83" s="228" t="s">
        <v>594</v>
      </c>
      <c r="AL83" s="226">
        <f t="shared" si="7"/>
        <v>0.87979826957698282</v>
      </c>
    </row>
    <row r="84" spans="1:38" hidden="1" x14ac:dyDescent="0.2">
      <c r="A84" s="15">
        <v>1696</v>
      </c>
      <c r="B84" s="228" t="s">
        <v>663</v>
      </c>
      <c r="C84" s="229" t="s">
        <v>713</v>
      </c>
      <c r="D84" s="228">
        <v>2417</v>
      </c>
      <c r="E84" s="228" t="s">
        <v>629</v>
      </c>
      <c r="F84" s="228" t="s">
        <v>629</v>
      </c>
      <c r="G84" s="228" t="s">
        <v>629</v>
      </c>
      <c r="H84" s="228" t="s">
        <v>629</v>
      </c>
      <c r="I84" s="228" t="s">
        <v>629</v>
      </c>
      <c r="J84" s="228" t="s">
        <v>630</v>
      </c>
      <c r="K84" s="228" t="s">
        <v>714</v>
      </c>
      <c r="L84" s="228" t="s">
        <v>645</v>
      </c>
      <c r="M84" s="228">
        <v>170</v>
      </c>
      <c r="N84" s="228" t="s">
        <v>598</v>
      </c>
      <c r="O84" s="228">
        <v>37</v>
      </c>
      <c r="P84" s="228" t="s">
        <v>600</v>
      </c>
      <c r="Q84" s="228"/>
      <c r="R84" s="228">
        <v>26900</v>
      </c>
      <c r="S84" s="228" t="s">
        <v>629</v>
      </c>
      <c r="T84" s="228" t="s">
        <v>629</v>
      </c>
      <c r="U84" s="228" t="s">
        <v>629</v>
      </c>
      <c r="V84" s="228" t="s">
        <v>629</v>
      </c>
      <c r="W84" s="228" t="s">
        <v>629</v>
      </c>
      <c r="X84" s="232" t="s">
        <v>639</v>
      </c>
      <c r="Y84" s="228" t="s">
        <v>714</v>
      </c>
      <c r="Z84" s="228" t="s">
        <v>198</v>
      </c>
      <c r="AA84" s="230">
        <v>113</v>
      </c>
      <c r="AB84" s="228" t="s">
        <v>598</v>
      </c>
      <c r="AC84" s="230">
        <v>3</v>
      </c>
      <c r="AD84" s="228" t="s">
        <v>594</v>
      </c>
      <c r="AE84" s="15">
        <v>20044</v>
      </c>
      <c r="AF84" s="224">
        <f t="shared" si="4"/>
        <v>0.3352941176470588</v>
      </c>
      <c r="AG84" s="224">
        <f t="shared" si="5"/>
        <v>0.91891891891891897</v>
      </c>
      <c r="AH84" s="224">
        <f t="shared" si="6"/>
        <v>0.25486988847583641</v>
      </c>
      <c r="AJ84" s="231">
        <v>3.6801028547786521</v>
      </c>
      <c r="AK84" s="228" t="s">
        <v>594</v>
      </c>
      <c r="AL84" s="226">
        <f t="shared" si="7"/>
        <v>0.90053776068165803</v>
      </c>
    </row>
    <row r="85" spans="1:38" x14ac:dyDescent="0.2">
      <c r="A85" s="15">
        <v>1679</v>
      </c>
      <c r="B85" s="228" t="s">
        <v>663</v>
      </c>
      <c r="C85" s="229" t="s">
        <v>713</v>
      </c>
      <c r="D85" s="228">
        <v>2417</v>
      </c>
      <c r="E85" s="228" t="s">
        <v>629</v>
      </c>
      <c r="F85" s="228" t="s">
        <v>629</v>
      </c>
      <c r="G85" s="228" t="s">
        <v>629</v>
      </c>
      <c r="H85" s="228" t="s">
        <v>629</v>
      </c>
      <c r="I85" s="228" t="s">
        <v>629</v>
      </c>
      <c r="J85" s="228" t="s">
        <v>630</v>
      </c>
      <c r="K85" s="228" t="s">
        <v>714</v>
      </c>
      <c r="L85" s="228" t="s">
        <v>645</v>
      </c>
      <c r="M85" s="228">
        <v>170</v>
      </c>
      <c r="N85" s="228" t="s">
        <v>598</v>
      </c>
      <c r="O85" s="228">
        <v>37</v>
      </c>
      <c r="P85" s="228" t="s">
        <v>600</v>
      </c>
      <c r="Q85" s="228"/>
      <c r="R85" s="228">
        <v>26900</v>
      </c>
      <c r="S85" s="228" t="s">
        <v>468</v>
      </c>
      <c r="T85" s="228" t="s">
        <v>468</v>
      </c>
      <c r="U85" s="228" t="s">
        <v>468</v>
      </c>
      <c r="V85" s="228" t="s">
        <v>468</v>
      </c>
      <c r="W85" s="228" t="s">
        <v>468</v>
      </c>
      <c r="X85" s="228" t="s">
        <v>630</v>
      </c>
      <c r="Y85" s="228" t="s">
        <v>714</v>
      </c>
      <c r="Z85" s="228" t="s">
        <v>198</v>
      </c>
      <c r="AA85" s="230">
        <v>77</v>
      </c>
      <c r="AB85" s="228" t="s">
        <v>596</v>
      </c>
      <c r="AC85" s="230">
        <v>13</v>
      </c>
      <c r="AD85" s="228" t="s">
        <v>598</v>
      </c>
      <c r="AE85" s="15">
        <v>14869</v>
      </c>
      <c r="AF85" s="224">
        <f t="shared" si="4"/>
        <v>0.54705882352941182</v>
      </c>
      <c r="AG85" s="224">
        <f t="shared" si="5"/>
        <v>0.64864864864864868</v>
      </c>
      <c r="AH85" s="224">
        <f t="shared" si="6"/>
        <v>0.44724907063197028</v>
      </c>
      <c r="AJ85" s="231">
        <v>3.1318868018204382</v>
      </c>
      <c r="AK85" s="228" t="s">
        <v>594</v>
      </c>
      <c r="AL85" s="226">
        <f t="shared" si="7"/>
        <v>0.91535441076160984</v>
      </c>
    </row>
    <row r="86" spans="1:38" x14ac:dyDescent="0.2">
      <c r="A86" s="15">
        <v>1691</v>
      </c>
      <c r="B86" s="228" t="s">
        <v>663</v>
      </c>
      <c r="C86" s="229" t="s">
        <v>713</v>
      </c>
      <c r="D86" s="228">
        <v>2417</v>
      </c>
      <c r="E86" s="228" t="s">
        <v>629</v>
      </c>
      <c r="F86" s="228" t="s">
        <v>629</v>
      </c>
      <c r="G86" s="228" t="s">
        <v>629</v>
      </c>
      <c r="H86" s="228" t="s">
        <v>629</v>
      </c>
      <c r="I86" s="228" t="s">
        <v>629</v>
      </c>
      <c r="J86" s="228" t="s">
        <v>630</v>
      </c>
      <c r="K86" s="228" t="s">
        <v>714</v>
      </c>
      <c r="L86" s="228" t="s">
        <v>645</v>
      </c>
      <c r="M86" s="228">
        <v>170</v>
      </c>
      <c r="N86" s="228" t="s">
        <v>598</v>
      </c>
      <c r="O86" s="228">
        <v>37</v>
      </c>
      <c r="P86" s="228" t="s">
        <v>600</v>
      </c>
      <c r="Q86" s="228"/>
      <c r="R86" s="228">
        <v>26900</v>
      </c>
      <c r="S86" s="228" t="s">
        <v>468</v>
      </c>
      <c r="T86" s="228" t="s">
        <v>468</v>
      </c>
      <c r="U86" s="228" t="s">
        <v>468</v>
      </c>
      <c r="V86" s="228" t="s">
        <v>468</v>
      </c>
      <c r="W86" s="228" t="s">
        <v>468</v>
      </c>
      <c r="X86" s="228" t="s">
        <v>636</v>
      </c>
      <c r="Y86" s="228" t="s">
        <v>714</v>
      </c>
      <c r="Z86" s="228" t="s">
        <v>198</v>
      </c>
      <c r="AA86" s="230">
        <v>54</v>
      </c>
      <c r="AB86" s="228" t="s">
        <v>594</v>
      </c>
      <c r="AC86" s="230">
        <v>8</v>
      </c>
      <c r="AD86" s="228" t="s">
        <v>596</v>
      </c>
      <c r="AE86" s="15">
        <v>11462</v>
      </c>
      <c r="AF86" s="224">
        <f t="shared" si="4"/>
        <v>0.68235294117647061</v>
      </c>
      <c r="AG86" s="224">
        <f t="shared" si="5"/>
        <v>0.78378378378378377</v>
      </c>
      <c r="AH86" s="224">
        <f t="shared" si="6"/>
        <v>0.57390334572490709</v>
      </c>
      <c r="AJ86" s="231">
        <v>2.125759536615639</v>
      </c>
      <c r="AK86" s="228" t="s">
        <v>594</v>
      </c>
      <c r="AL86" s="226">
        <f t="shared" si="7"/>
        <v>0.94254703955092867</v>
      </c>
    </row>
    <row r="87" spans="1:38" x14ac:dyDescent="0.2">
      <c r="A87" s="15">
        <v>1688</v>
      </c>
      <c r="B87" s="228" t="s">
        <v>663</v>
      </c>
      <c r="C87" s="229" t="s">
        <v>713</v>
      </c>
      <c r="D87" s="228">
        <v>2417</v>
      </c>
      <c r="E87" s="228" t="s">
        <v>629</v>
      </c>
      <c r="F87" s="228" t="s">
        <v>629</v>
      </c>
      <c r="G87" s="228" t="s">
        <v>629</v>
      </c>
      <c r="H87" s="228" t="s">
        <v>629</v>
      </c>
      <c r="I87" s="228" t="s">
        <v>629</v>
      </c>
      <c r="J87" s="228" t="s">
        <v>630</v>
      </c>
      <c r="K87" s="228" t="s">
        <v>714</v>
      </c>
      <c r="L87" s="228" t="s">
        <v>645</v>
      </c>
      <c r="M87" s="228">
        <v>170</v>
      </c>
      <c r="N87" s="228" t="s">
        <v>598</v>
      </c>
      <c r="O87" s="228">
        <v>37</v>
      </c>
      <c r="P87" s="228" t="s">
        <v>600</v>
      </c>
      <c r="Q87" s="228"/>
      <c r="R87" s="228">
        <v>26900</v>
      </c>
      <c r="S87" s="228" t="s">
        <v>468</v>
      </c>
      <c r="T87" s="228" t="s">
        <v>468</v>
      </c>
      <c r="U87" s="228" t="s">
        <v>468</v>
      </c>
      <c r="V87" s="228" t="s">
        <v>468</v>
      </c>
      <c r="W87" s="228" t="s">
        <v>468</v>
      </c>
      <c r="X87" s="228" t="s">
        <v>715</v>
      </c>
      <c r="Y87" s="228" t="s">
        <v>714</v>
      </c>
      <c r="Z87" s="228" t="s">
        <v>198</v>
      </c>
      <c r="AA87" s="230">
        <v>59.649679354571795</v>
      </c>
      <c r="AB87" s="228" t="s">
        <v>594</v>
      </c>
      <c r="AC87" s="230">
        <v>4.1847877534133229</v>
      </c>
      <c r="AD87" s="228" t="s">
        <v>594</v>
      </c>
      <c r="AE87" s="15" t="s">
        <v>629</v>
      </c>
      <c r="AF87" s="224">
        <f t="shared" si="4"/>
        <v>0.64911953320840121</v>
      </c>
      <c r="AG87" s="224">
        <f t="shared" si="5"/>
        <v>0.88689762828612639</v>
      </c>
      <c r="AH87" s="224" t="e">
        <f t="shared" si="6"/>
        <v>#VALUE!</v>
      </c>
      <c r="AJ87" s="231">
        <v>1.9499806992139017</v>
      </c>
      <c r="AK87" s="228" t="s">
        <v>594</v>
      </c>
      <c r="AL87" s="226">
        <f t="shared" si="7"/>
        <v>0.94729781894016474</v>
      </c>
    </row>
    <row r="88" spans="1:38" x14ac:dyDescent="0.2">
      <c r="A88" s="15">
        <v>1697</v>
      </c>
      <c r="B88" s="228" t="s">
        <v>663</v>
      </c>
      <c r="C88" s="229" t="s">
        <v>713</v>
      </c>
      <c r="D88" s="228">
        <v>2417</v>
      </c>
      <c r="E88" s="228" t="s">
        <v>629</v>
      </c>
      <c r="F88" s="228" t="s">
        <v>629</v>
      </c>
      <c r="G88" s="228" t="s">
        <v>629</v>
      </c>
      <c r="H88" s="228" t="s">
        <v>629</v>
      </c>
      <c r="I88" s="228" t="s">
        <v>629</v>
      </c>
      <c r="J88" s="228" t="s">
        <v>630</v>
      </c>
      <c r="K88" s="228" t="s">
        <v>714</v>
      </c>
      <c r="L88" s="228" t="s">
        <v>645</v>
      </c>
      <c r="M88" s="228">
        <v>170</v>
      </c>
      <c r="N88" s="228" t="s">
        <v>598</v>
      </c>
      <c r="O88" s="228">
        <v>37</v>
      </c>
      <c r="P88" s="228" t="s">
        <v>600</v>
      </c>
      <c r="Q88" s="228"/>
      <c r="R88" s="228">
        <v>26900</v>
      </c>
      <c r="S88" s="228" t="s">
        <v>468</v>
      </c>
      <c r="T88" s="228" t="s">
        <v>468</v>
      </c>
      <c r="U88" s="228" t="s">
        <v>468</v>
      </c>
      <c r="V88" s="228" t="s">
        <v>468</v>
      </c>
      <c r="W88" s="228" t="s">
        <v>468</v>
      </c>
      <c r="X88" s="232" t="s">
        <v>639</v>
      </c>
      <c r="Y88" s="228" t="s">
        <v>714</v>
      </c>
      <c r="Z88" s="228" t="s">
        <v>198</v>
      </c>
      <c r="AA88" s="230">
        <v>64</v>
      </c>
      <c r="AB88" s="228" t="s">
        <v>594</v>
      </c>
      <c r="AC88" s="230">
        <v>1</v>
      </c>
      <c r="AD88" s="228" t="s">
        <v>594</v>
      </c>
      <c r="AE88" s="15">
        <v>13342</v>
      </c>
      <c r="AF88" s="224">
        <f t="shared" si="4"/>
        <v>0.62352941176470589</v>
      </c>
      <c r="AG88" s="224">
        <f t="shared" si="5"/>
        <v>0.97297297297297303</v>
      </c>
      <c r="AH88" s="224">
        <f t="shared" si="6"/>
        <v>0.50401486988847588</v>
      </c>
      <c r="AJ88" s="231">
        <v>1.9043649979313197</v>
      </c>
      <c r="AK88" s="228" t="s">
        <v>594</v>
      </c>
      <c r="AL88" s="226">
        <f t="shared" si="7"/>
        <v>0.948530675731586</v>
      </c>
    </row>
    <row r="89" spans="1:38" hidden="1" x14ac:dyDescent="0.2">
      <c r="A89" s="88">
        <v>25</v>
      </c>
      <c r="B89" s="219" t="s">
        <v>619</v>
      </c>
      <c r="C89" s="220" t="s">
        <v>711</v>
      </c>
      <c r="D89" s="219">
        <v>2240</v>
      </c>
      <c r="E89" s="219" t="s">
        <v>629</v>
      </c>
      <c r="F89" s="219" t="s">
        <v>629</v>
      </c>
      <c r="G89" s="219" t="s">
        <v>629</v>
      </c>
      <c r="H89" s="219" t="s">
        <v>629</v>
      </c>
      <c r="I89" s="219" t="s">
        <v>629</v>
      </c>
      <c r="J89" s="219" t="s">
        <v>626</v>
      </c>
      <c r="K89" s="221" t="s">
        <v>712</v>
      </c>
      <c r="L89" s="219" t="s">
        <v>645</v>
      </c>
      <c r="M89" s="219">
        <v>301</v>
      </c>
      <c r="N89" s="219" t="s">
        <v>602</v>
      </c>
      <c r="O89" s="219">
        <v>65</v>
      </c>
      <c r="P89" s="219" t="s">
        <v>602</v>
      </c>
      <c r="Q89" s="222"/>
      <c r="R89" s="219">
        <v>53063</v>
      </c>
      <c r="S89" s="219" t="s">
        <v>629</v>
      </c>
      <c r="T89" s="219" t="s">
        <v>629</v>
      </c>
      <c r="U89" s="219" t="s">
        <v>629</v>
      </c>
      <c r="V89" s="219" t="s">
        <v>629</v>
      </c>
      <c r="W89" s="219" t="s">
        <v>629</v>
      </c>
      <c r="X89" s="219" t="s">
        <v>626</v>
      </c>
      <c r="Y89" s="219" t="s">
        <v>712</v>
      </c>
      <c r="Z89" s="219" t="s">
        <v>198</v>
      </c>
      <c r="AA89" s="223">
        <v>238</v>
      </c>
      <c r="AB89" s="219" t="s">
        <v>600</v>
      </c>
      <c r="AC89" s="223">
        <v>51</v>
      </c>
      <c r="AD89" s="219" t="s">
        <v>602</v>
      </c>
      <c r="AE89" s="88">
        <v>43863</v>
      </c>
      <c r="AF89" s="224">
        <f t="shared" si="4"/>
        <v>0.20930232558139536</v>
      </c>
      <c r="AG89" s="224">
        <f t="shared" si="5"/>
        <v>0.2153846153846154</v>
      </c>
      <c r="AH89" s="224">
        <f t="shared" si="6"/>
        <v>0.17337881386276691</v>
      </c>
      <c r="AI89" s="87"/>
      <c r="AJ89" s="225">
        <v>10.307141607142857</v>
      </c>
      <c r="AK89" s="219" t="s">
        <v>596</v>
      </c>
      <c r="AL89" s="226">
        <f t="shared" si="7"/>
        <v>0.84142859065934072</v>
      </c>
    </row>
    <row r="90" spans="1:38" hidden="1" x14ac:dyDescent="0.2">
      <c r="A90" s="88">
        <v>27</v>
      </c>
      <c r="B90" s="219" t="s">
        <v>619</v>
      </c>
      <c r="C90" s="220" t="s">
        <v>711</v>
      </c>
      <c r="D90" s="219">
        <v>2240</v>
      </c>
      <c r="E90" s="219" t="s">
        <v>629</v>
      </c>
      <c r="F90" s="219" t="s">
        <v>629</v>
      </c>
      <c r="G90" s="219" t="s">
        <v>629</v>
      </c>
      <c r="H90" s="219" t="s">
        <v>629</v>
      </c>
      <c r="I90" s="219" t="s">
        <v>629</v>
      </c>
      <c r="J90" s="219" t="s">
        <v>626</v>
      </c>
      <c r="K90" s="221" t="s">
        <v>712</v>
      </c>
      <c r="L90" s="219" t="s">
        <v>645</v>
      </c>
      <c r="M90" s="219">
        <v>301</v>
      </c>
      <c r="N90" s="219" t="s">
        <v>602</v>
      </c>
      <c r="O90" s="219">
        <v>65</v>
      </c>
      <c r="P90" s="219" t="s">
        <v>602</v>
      </c>
      <c r="Q90" s="222"/>
      <c r="R90" s="219">
        <v>53063</v>
      </c>
      <c r="S90" s="219" t="s">
        <v>629</v>
      </c>
      <c r="T90" s="219" t="s">
        <v>629</v>
      </c>
      <c r="U90" s="219" t="s">
        <v>629</v>
      </c>
      <c r="V90" s="219" t="s">
        <v>629</v>
      </c>
      <c r="W90" s="219" t="s">
        <v>629</v>
      </c>
      <c r="X90" s="219" t="s">
        <v>637</v>
      </c>
      <c r="Y90" s="219" t="s">
        <v>712</v>
      </c>
      <c r="Z90" s="219" t="s">
        <v>198</v>
      </c>
      <c r="AA90" s="223">
        <v>228</v>
      </c>
      <c r="AB90" s="219" t="s">
        <v>600</v>
      </c>
      <c r="AC90" s="223">
        <v>46</v>
      </c>
      <c r="AD90" s="219" t="s">
        <v>600</v>
      </c>
      <c r="AE90" s="88">
        <v>44498</v>
      </c>
      <c r="AF90" s="224">
        <f t="shared" si="4"/>
        <v>0.2425249169435216</v>
      </c>
      <c r="AG90" s="224">
        <f t="shared" si="5"/>
        <v>0.29230769230769232</v>
      </c>
      <c r="AH90" s="224">
        <f t="shared" si="6"/>
        <v>0.1614119066015868</v>
      </c>
      <c r="AI90" s="87"/>
      <c r="AJ90" s="225">
        <v>9.5956348214285718</v>
      </c>
      <c r="AK90" s="219" t="s">
        <v>596</v>
      </c>
      <c r="AL90" s="226">
        <f t="shared" si="7"/>
        <v>0.85237484890109882</v>
      </c>
    </row>
    <row r="91" spans="1:38" x14ac:dyDescent="0.2">
      <c r="A91" s="88">
        <v>26</v>
      </c>
      <c r="B91" s="219" t="s">
        <v>619</v>
      </c>
      <c r="C91" s="220" t="s">
        <v>711</v>
      </c>
      <c r="D91" s="219">
        <v>2240</v>
      </c>
      <c r="E91" s="219" t="s">
        <v>629</v>
      </c>
      <c r="F91" s="219" t="s">
        <v>629</v>
      </c>
      <c r="G91" s="219" t="s">
        <v>629</v>
      </c>
      <c r="H91" s="219" t="s">
        <v>629</v>
      </c>
      <c r="I91" s="219" t="s">
        <v>629</v>
      </c>
      <c r="J91" s="219" t="s">
        <v>626</v>
      </c>
      <c r="K91" s="221" t="s">
        <v>712</v>
      </c>
      <c r="L91" s="219" t="s">
        <v>645</v>
      </c>
      <c r="M91" s="219">
        <v>301</v>
      </c>
      <c r="N91" s="219" t="s">
        <v>602</v>
      </c>
      <c r="O91" s="219">
        <v>65</v>
      </c>
      <c r="P91" s="219" t="s">
        <v>602</v>
      </c>
      <c r="Q91" s="222"/>
      <c r="R91" s="219">
        <v>53063</v>
      </c>
      <c r="S91" s="219" t="s">
        <v>468</v>
      </c>
      <c r="T91" s="219" t="s">
        <v>468</v>
      </c>
      <c r="U91" s="219" t="s">
        <v>468</v>
      </c>
      <c r="V91" s="219" t="s">
        <v>468</v>
      </c>
      <c r="W91" s="219" t="s">
        <v>468</v>
      </c>
      <c r="X91" s="219" t="s">
        <v>626</v>
      </c>
      <c r="Y91" s="219" t="s">
        <v>712</v>
      </c>
      <c r="Z91" s="219" t="s">
        <v>198</v>
      </c>
      <c r="AA91" s="223">
        <v>111</v>
      </c>
      <c r="AB91" s="219" t="s">
        <v>598</v>
      </c>
      <c r="AC91" s="223">
        <v>21</v>
      </c>
      <c r="AD91" s="219" t="s">
        <v>598</v>
      </c>
      <c r="AE91" s="88">
        <v>25996</v>
      </c>
      <c r="AF91" s="224">
        <f t="shared" si="4"/>
        <v>0.6312292358803987</v>
      </c>
      <c r="AG91" s="224">
        <f t="shared" si="5"/>
        <v>0.67692307692307696</v>
      </c>
      <c r="AH91" s="224">
        <f t="shared" si="6"/>
        <v>0.51009177769820779</v>
      </c>
      <c r="AI91" s="87"/>
      <c r="AJ91" s="225">
        <v>4.6393723214285707</v>
      </c>
      <c r="AK91" s="219" t="s">
        <v>594</v>
      </c>
      <c r="AL91" s="226">
        <f t="shared" si="7"/>
        <v>0.9286250412087913</v>
      </c>
    </row>
    <row r="92" spans="1:38" x14ac:dyDescent="0.2">
      <c r="A92" s="88">
        <v>1734</v>
      </c>
      <c r="B92" s="219" t="s">
        <v>619</v>
      </c>
      <c r="C92" s="220" t="s">
        <v>711</v>
      </c>
      <c r="D92" s="219">
        <v>2240</v>
      </c>
      <c r="E92" s="219" t="s">
        <v>629</v>
      </c>
      <c r="F92" s="219" t="s">
        <v>629</v>
      </c>
      <c r="G92" s="219" t="s">
        <v>629</v>
      </c>
      <c r="H92" s="219" t="s">
        <v>629</v>
      </c>
      <c r="I92" s="219" t="s">
        <v>629</v>
      </c>
      <c r="J92" s="219" t="s">
        <v>626</v>
      </c>
      <c r="K92" s="227" t="s">
        <v>712</v>
      </c>
      <c r="L92" s="219" t="s">
        <v>645</v>
      </c>
      <c r="M92" s="219">
        <v>301</v>
      </c>
      <c r="N92" s="219" t="s">
        <v>602</v>
      </c>
      <c r="O92" s="219">
        <v>65</v>
      </c>
      <c r="P92" s="219" t="s">
        <v>602</v>
      </c>
      <c r="Q92" s="222"/>
      <c r="R92" s="219">
        <v>53063</v>
      </c>
      <c r="S92" s="219" t="s">
        <v>468</v>
      </c>
      <c r="T92" s="219" t="s">
        <v>468</v>
      </c>
      <c r="U92" s="219" t="s">
        <v>468</v>
      </c>
      <c r="V92" s="219" t="s">
        <v>468</v>
      </c>
      <c r="W92" s="219" t="s">
        <v>468</v>
      </c>
      <c r="X92" s="219" t="s">
        <v>626</v>
      </c>
      <c r="Y92" s="219" t="s">
        <v>712</v>
      </c>
      <c r="Z92" s="219" t="s">
        <v>645</v>
      </c>
      <c r="AA92" s="223">
        <v>134</v>
      </c>
      <c r="AB92" s="219" t="s">
        <v>598</v>
      </c>
      <c r="AC92" s="223">
        <v>26</v>
      </c>
      <c r="AD92" s="219" t="s">
        <v>598</v>
      </c>
      <c r="AE92" s="88">
        <v>29305</v>
      </c>
      <c r="AF92" s="224">
        <f t="shared" si="4"/>
        <v>0.55481727574750828</v>
      </c>
      <c r="AG92" s="224">
        <f t="shared" si="5"/>
        <v>0.6</v>
      </c>
      <c r="AH92" s="224">
        <f t="shared" si="6"/>
        <v>0.44773194127734955</v>
      </c>
      <c r="AI92" s="87"/>
      <c r="AJ92" s="225">
        <v>5.6343714285714279</v>
      </c>
      <c r="AK92" s="219" t="s">
        <v>594</v>
      </c>
      <c r="AL92" s="226">
        <f t="shared" si="7"/>
        <v>0.91331736263736263</v>
      </c>
    </row>
    <row r="93" spans="1:38" x14ac:dyDescent="0.2">
      <c r="A93" s="88">
        <v>28</v>
      </c>
      <c r="B93" s="219" t="s">
        <v>619</v>
      </c>
      <c r="C93" s="220" t="s">
        <v>711</v>
      </c>
      <c r="D93" s="219">
        <v>2240</v>
      </c>
      <c r="E93" s="219" t="s">
        <v>629</v>
      </c>
      <c r="F93" s="219" t="s">
        <v>629</v>
      </c>
      <c r="G93" s="219" t="s">
        <v>629</v>
      </c>
      <c r="H93" s="219" t="s">
        <v>629</v>
      </c>
      <c r="I93" s="219" t="s">
        <v>629</v>
      </c>
      <c r="J93" s="219" t="s">
        <v>626</v>
      </c>
      <c r="K93" s="221" t="s">
        <v>712</v>
      </c>
      <c r="L93" s="219" t="s">
        <v>645</v>
      </c>
      <c r="M93" s="219">
        <v>301</v>
      </c>
      <c r="N93" s="219" t="s">
        <v>602</v>
      </c>
      <c r="O93" s="219">
        <v>65</v>
      </c>
      <c r="P93" s="219" t="s">
        <v>602</v>
      </c>
      <c r="Q93" s="222"/>
      <c r="R93" s="219">
        <v>53063</v>
      </c>
      <c r="S93" s="219" t="s">
        <v>468</v>
      </c>
      <c r="T93" s="219" t="s">
        <v>468</v>
      </c>
      <c r="U93" s="219" t="s">
        <v>468</v>
      </c>
      <c r="V93" s="219" t="s">
        <v>468</v>
      </c>
      <c r="W93" s="219" t="s">
        <v>468</v>
      </c>
      <c r="X93" s="219" t="s">
        <v>637</v>
      </c>
      <c r="Y93" s="219" t="s">
        <v>712</v>
      </c>
      <c r="Z93" s="219" t="s">
        <v>198</v>
      </c>
      <c r="AA93" s="223">
        <v>87</v>
      </c>
      <c r="AB93" s="219" t="s">
        <v>596</v>
      </c>
      <c r="AC93" s="223">
        <v>13</v>
      </c>
      <c r="AD93" s="219" t="s">
        <v>598</v>
      </c>
      <c r="AE93" s="88">
        <v>21053</v>
      </c>
      <c r="AF93" s="224">
        <f t="shared" si="4"/>
        <v>0.71096345514950166</v>
      </c>
      <c r="AG93" s="224">
        <f t="shared" si="5"/>
        <v>0.8</v>
      </c>
      <c r="AH93" s="224">
        <f t="shared" si="6"/>
        <v>0.60324519910295304</v>
      </c>
      <c r="AI93" s="87"/>
      <c r="AJ93" s="225">
        <v>3.3415730357142852</v>
      </c>
      <c r="AK93" s="219" t="s">
        <v>594</v>
      </c>
      <c r="AL93" s="226">
        <f t="shared" si="7"/>
        <v>0.94859118406593412</v>
      </c>
    </row>
    <row r="94" spans="1:38" hidden="1" x14ac:dyDescent="0.2">
      <c r="A94" s="88">
        <v>160</v>
      </c>
      <c r="B94" s="219" t="s">
        <v>619</v>
      </c>
      <c r="C94" s="220" t="s">
        <v>623</v>
      </c>
      <c r="D94" s="219">
        <v>2240</v>
      </c>
      <c r="E94" s="219" t="s">
        <v>629</v>
      </c>
      <c r="F94" s="219" t="s">
        <v>629</v>
      </c>
      <c r="G94" s="219" t="s">
        <v>629</v>
      </c>
      <c r="H94" s="219" t="s">
        <v>629</v>
      </c>
      <c r="I94" s="219" t="s">
        <v>629</v>
      </c>
      <c r="J94" s="219" t="s">
        <v>626</v>
      </c>
      <c r="K94" s="221" t="s">
        <v>712</v>
      </c>
      <c r="L94" s="219" t="s">
        <v>645</v>
      </c>
      <c r="M94" s="219">
        <v>275</v>
      </c>
      <c r="N94" s="219" t="s">
        <v>602</v>
      </c>
      <c r="O94" s="219">
        <v>60</v>
      </c>
      <c r="P94" s="219" t="s">
        <v>602</v>
      </c>
      <c r="Q94" s="222"/>
      <c r="R94" s="219">
        <v>49240</v>
      </c>
      <c r="S94" s="219" t="s">
        <v>629</v>
      </c>
      <c r="T94" s="219" t="s">
        <v>629</v>
      </c>
      <c r="U94" s="219" t="s">
        <v>629</v>
      </c>
      <c r="V94" s="219" t="s">
        <v>629</v>
      </c>
      <c r="W94" s="219" t="s">
        <v>629</v>
      </c>
      <c r="X94" s="219" t="s">
        <v>626</v>
      </c>
      <c r="Y94" s="219" t="s">
        <v>712</v>
      </c>
      <c r="Z94" s="219" t="s">
        <v>198</v>
      </c>
      <c r="AA94" s="223">
        <v>217</v>
      </c>
      <c r="AB94" s="219" t="s">
        <v>600</v>
      </c>
      <c r="AC94" s="223">
        <v>46</v>
      </c>
      <c r="AD94" s="219" t="s">
        <v>600</v>
      </c>
      <c r="AE94" s="88">
        <v>40828</v>
      </c>
      <c r="AF94" s="224">
        <f t="shared" si="4"/>
        <v>0.21090909090909091</v>
      </c>
      <c r="AG94" s="224">
        <f t="shared" si="5"/>
        <v>0.23333333333333334</v>
      </c>
      <c r="AH94" s="224">
        <f t="shared" si="6"/>
        <v>0.17083671811535336</v>
      </c>
      <c r="AI94" s="87"/>
      <c r="AJ94" s="225">
        <v>9.3901312053571431</v>
      </c>
      <c r="AK94" s="219" t="s">
        <v>596</v>
      </c>
      <c r="AL94" s="226">
        <f t="shared" si="7"/>
        <v>0.8434978132440476</v>
      </c>
    </row>
    <row r="95" spans="1:38" hidden="1" x14ac:dyDescent="0.2">
      <c r="A95" s="88" t="e">
        <v>#N/A</v>
      </c>
      <c r="B95" s="219" t="s">
        <v>619</v>
      </c>
      <c r="C95" s="220" t="s">
        <v>623</v>
      </c>
      <c r="D95" s="219">
        <v>2240</v>
      </c>
      <c r="E95" s="219" t="s">
        <v>629</v>
      </c>
      <c r="F95" s="219" t="s">
        <v>629</v>
      </c>
      <c r="G95" s="219" t="s">
        <v>629</v>
      </c>
      <c r="H95" s="219" t="s">
        <v>629</v>
      </c>
      <c r="I95" s="219" t="s">
        <v>629</v>
      </c>
      <c r="J95" s="219" t="s">
        <v>626</v>
      </c>
      <c r="K95" s="221" t="s">
        <v>712</v>
      </c>
      <c r="L95" s="219" t="s">
        <v>645</v>
      </c>
      <c r="M95" s="219">
        <v>275</v>
      </c>
      <c r="N95" s="219" t="s">
        <v>602</v>
      </c>
      <c r="O95" s="219">
        <v>60</v>
      </c>
      <c r="P95" s="219" t="s">
        <v>602</v>
      </c>
      <c r="Q95" s="222"/>
      <c r="R95" s="219">
        <v>49240</v>
      </c>
      <c r="S95" s="219" t="s">
        <v>629</v>
      </c>
      <c r="T95" s="219" t="s">
        <v>629</v>
      </c>
      <c r="U95" s="219" t="s">
        <v>629</v>
      </c>
      <c r="V95" s="219" t="s">
        <v>629</v>
      </c>
      <c r="W95" s="219" t="s">
        <v>629</v>
      </c>
      <c r="X95" s="219" t="s">
        <v>637</v>
      </c>
      <c r="Y95" s="219" t="s">
        <v>712</v>
      </c>
      <c r="Z95" s="219" t="s">
        <v>198</v>
      </c>
      <c r="AA95" s="223">
        <v>192</v>
      </c>
      <c r="AB95" s="219" t="s">
        <v>600</v>
      </c>
      <c r="AC95" s="223">
        <v>36</v>
      </c>
      <c r="AD95" s="219" t="s">
        <v>600</v>
      </c>
      <c r="AE95" s="88" t="s">
        <v>629</v>
      </c>
      <c r="AF95" s="224">
        <f t="shared" si="4"/>
        <v>0.30181818181818182</v>
      </c>
      <c r="AG95" s="224">
        <f t="shared" si="5"/>
        <v>0.4</v>
      </c>
      <c r="AH95" s="224" t="e">
        <f t="shared" si="6"/>
        <v>#VALUE!</v>
      </c>
      <c r="AI95" s="87"/>
      <c r="AJ95" s="225">
        <v>8</v>
      </c>
      <c r="AK95" s="219" t="s">
        <v>596</v>
      </c>
      <c r="AL95" s="226">
        <f t="shared" si="7"/>
        <v>0.8666666666666667</v>
      </c>
    </row>
    <row r="96" spans="1:38" x14ac:dyDescent="0.2">
      <c r="A96" s="88">
        <v>161</v>
      </c>
      <c r="B96" s="219" t="s">
        <v>619</v>
      </c>
      <c r="C96" s="220" t="s">
        <v>623</v>
      </c>
      <c r="D96" s="219">
        <v>2240</v>
      </c>
      <c r="E96" s="219" t="s">
        <v>629</v>
      </c>
      <c r="F96" s="219" t="s">
        <v>629</v>
      </c>
      <c r="G96" s="219" t="s">
        <v>629</v>
      </c>
      <c r="H96" s="219" t="s">
        <v>629</v>
      </c>
      <c r="I96" s="219" t="s">
        <v>629</v>
      </c>
      <c r="J96" s="219" t="s">
        <v>626</v>
      </c>
      <c r="K96" s="221" t="s">
        <v>712</v>
      </c>
      <c r="L96" s="219" t="s">
        <v>645</v>
      </c>
      <c r="M96" s="219">
        <v>275</v>
      </c>
      <c r="N96" s="219" t="s">
        <v>602</v>
      </c>
      <c r="O96" s="219">
        <v>60</v>
      </c>
      <c r="P96" s="219" t="s">
        <v>602</v>
      </c>
      <c r="Q96" s="222"/>
      <c r="R96" s="219">
        <v>49240</v>
      </c>
      <c r="S96" s="219" t="s">
        <v>468</v>
      </c>
      <c r="T96" s="219" t="s">
        <v>468</v>
      </c>
      <c r="U96" s="219" t="s">
        <v>468</v>
      </c>
      <c r="V96" s="219" t="s">
        <v>468</v>
      </c>
      <c r="W96" s="219" t="s">
        <v>468</v>
      </c>
      <c r="X96" s="219" t="s">
        <v>626</v>
      </c>
      <c r="Y96" s="219" t="s">
        <v>712</v>
      </c>
      <c r="Z96" s="219" t="s">
        <v>198</v>
      </c>
      <c r="AA96" s="223">
        <v>102</v>
      </c>
      <c r="AB96" s="219" t="s">
        <v>596</v>
      </c>
      <c r="AC96" s="223">
        <v>19</v>
      </c>
      <c r="AD96" s="219" t="s">
        <v>598</v>
      </c>
      <c r="AE96" s="88">
        <v>24201</v>
      </c>
      <c r="AF96" s="224">
        <f t="shared" si="4"/>
        <v>0.62909090909090915</v>
      </c>
      <c r="AG96" s="224">
        <f t="shared" si="5"/>
        <v>0.68333333333333335</v>
      </c>
      <c r="AH96" s="224">
        <f t="shared" si="6"/>
        <v>0.50850934199837527</v>
      </c>
      <c r="AI96" s="87"/>
      <c r="AJ96" s="225">
        <v>4.2340108482142851</v>
      </c>
      <c r="AK96" s="219" t="s">
        <v>594</v>
      </c>
      <c r="AL96" s="226">
        <f t="shared" si="7"/>
        <v>0.929433152529762</v>
      </c>
    </row>
    <row r="97" spans="1:38" x14ac:dyDescent="0.2">
      <c r="A97" s="88">
        <v>1735</v>
      </c>
      <c r="B97" s="219" t="s">
        <v>619</v>
      </c>
      <c r="C97" s="220" t="s">
        <v>623</v>
      </c>
      <c r="D97" s="219">
        <v>2240</v>
      </c>
      <c r="E97" s="219" t="s">
        <v>629</v>
      </c>
      <c r="F97" s="219" t="s">
        <v>629</v>
      </c>
      <c r="G97" s="219" t="s">
        <v>629</v>
      </c>
      <c r="H97" s="219" t="s">
        <v>629</v>
      </c>
      <c r="I97" s="219" t="s">
        <v>629</v>
      </c>
      <c r="J97" s="219" t="s">
        <v>626</v>
      </c>
      <c r="K97" s="227" t="s">
        <v>712</v>
      </c>
      <c r="L97" s="219" t="s">
        <v>645</v>
      </c>
      <c r="M97" s="219">
        <v>275</v>
      </c>
      <c r="N97" s="219" t="s">
        <v>602</v>
      </c>
      <c r="O97" s="219">
        <v>60</v>
      </c>
      <c r="P97" s="219" t="s">
        <v>602</v>
      </c>
      <c r="Q97" s="222"/>
      <c r="R97" s="219">
        <v>49240</v>
      </c>
      <c r="S97" s="219" t="s">
        <v>468</v>
      </c>
      <c r="T97" s="219" t="s">
        <v>468</v>
      </c>
      <c r="U97" s="219" t="s">
        <v>468</v>
      </c>
      <c r="V97" s="219" t="s">
        <v>468</v>
      </c>
      <c r="W97" s="219" t="s">
        <v>468</v>
      </c>
      <c r="X97" s="219" t="s">
        <v>626</v>
      </c>
      <c r="Y97" s="219" t="s">
        <v>712</v>
      </c>
      <c r="Z97" s="219" t="s">
        <v>645</v>
      </c>
      <c r="AA97" s="223">
        <v>123</v>
      </c>
      <c r="AB97" s="219" t="s">
        <v>598</v>
      </c>
      <c r="AC97" s="223">
        <v>24</v>
      </c>
      <c r="AD97" s="219" t="s">
        <v>598</v>
      </c>
      <c r="AE97" s="88">
        <v>27729</v>
      </c>
      <c r="AF97" s="224">
        <f t="shared" si="4"/>
        <v>0.55272727272727273</v>
      </c>
      <c r="AG97" s="224">
        <f t="shared" si="5"/>
        <v>0.6</v>
      </c>
      <c r="AH97" s="224">
        <f t="shared" si="6"/>
        <v>0.43686027619821283</v>
      </c>
      <c r="AI97" s="87"/>
      <c r="AJ97" s="225">
        <v>5.1522024553571422</v>
      </c>
      <c r="AK97" s="219" t="s">
        <v>594</v>
      </c>
      <c r="AL97" s="226">
        <f t="shared" si="7"/>
        <v>0.91412995907738093</v>
      </c>
    </row>
    <row r="98" spans="1:38" x14ac:dyDescent="0.2">
      <c r="A98" s="88">
        <v>162</v>
      </c>
      <c r="B98" s="219" t="s">
        <v>619</v>
      </c>
      <c r="C98" s="220" t="s">
        <v>623</v>
      </c>
      <c r="D98" s="219">
        <v>2240</v>
      </c>
      <c r="E98" s="219" t="s">
        <v>629</v>
      </c>
      <c r="F98" s="219" t="s">
        <v>629</v>
      </c>
      <c r="G98" s="219" t="s">
        <v>629</v>
      </c>
      <c r="H98" s="219" t="s">
        <v>629</v>
      </c>
      <c r="I98" s="219" t="s">
        <v>629</v>
      </c>
      <c r="J98" s="219" t="s">
        <v>626</v>
      </c>
      <c r="K98" s="221" t="s">
        <v>712</v>
      </c>
      <c r="L98" s="219" t="s">
        <v>645</v>
      </c>
      <c r="M98" s="219">
        <v>275</v>
      </c>
      <c r="N98" s="219" t="s">
        <v>602</v>
      </c>
      <c r="O98" s="219">
        <v>60</v>
      </c>
      <c r="P98" s="219" t="s">
        <v>602</v>
      </c>
      <c r="Q98" s="222"/>
      <c r="R98" s="219">
        <v>49240</v>
      </c>
      <c r="S98" s="219" t="s">
        <v>468</v>
      </c>
      <c r="T98" s="219" t="s">
        <v>468</v>
      </c>
      <c r="U98" s="219" t="s">
        <v>468</v>
      </c>
      <c r="V98" s="219" t="s">
        <v>468</v>
      </c>
      <c r="W98" s="219" t="s">
        <v>468</v>
      </c>
      <c r="X98" s="219" t="s">
        <v>637</v>
      </c>
      <c r="Y98" s="219" t="s">
        <v>712</v>
      </c>
      <c r="Z98" s="219" t="s">
        <v>198</v>
      </c>
      <c r="AA98" s="223">
        <v>79</v>
      </c>
      <c r="AB98" s="219" t="s">
        <v>596</v>
      </c>
      <c r="AC98" s="223">
        <v>11</v>
      </c>
      <c r="AD98" s="219" t="s">
        <v>598</v>
      </c>
      <c r="AE98" s="88">
        <v>18955</v>
      </c>
      <c r="AF98" s="224">
        <f t="shared" si="4"/>
        <v>0.71272727272727276</v>
      </c>
      <c r="AG98" s="224">
        <f t="shared" si="5"/>
        <v>0.81666666666666665</v>
      </c>
      <c r="AH98" s="224">
        <f t="shared" si="6"/>
        <v>0.61504874086108852</v>
      </c>
      <c r="AI98" s="87"/>
      <c r="AJ98" s="225">
        <v>2.976135625</v>
      </c>
      <c r="AK98" s="219" t="s">
        <v>594</v>
      </c>
      <c r="AL98" s="226">
        <f t="shared" si="7"/>
        <v>0.9503977395833334</v>
      </c>
    </row>
    <row r="99" spans="1:38" hidden="1" x14ac:dyDescent="0.2">
      <c r="A99" s="88">
        <v>256</v>
      </c>
      <c r="B99" s="219" t="s">
        <v>619</v>
      </c>
      <c r="C99" s="220" t="s">
        <v>713</v>
      </c>
      <c r="D99" s="219">
        <v>2240</v>
      </c>
      <c r="E99" s="219" t="s">
        <v>629</v>
      </c>
      <c r="F99" s="219" t="s">
        <v>629</v>
      </c>
      <c r="G99" s="219" t="s">
        <v>629</v>
      </c>
      <c r="H99" s="219" t="s">
        <v>629</v>
      </c>
      <c r="I99" s="219" t="s">
        <v>629</v>
      </c>
      <c r="J99" s="219" t="s">
        <v>626</v>
      </c>
      <c r="K99" s="221" t="s">
        <v>712</v>
      </c>
      <c r="L99" s="219" t="s">
        <v>645</v>
      </c>
      <c r="M99" s="219">
        <v>184</v>
      </c>
      <c r="N99" s="219" t="s">
        <v>600</v>
      </c>
      <c r="O99" s="219">
        <v>39</v>
      </c>
      <c r="P99" s="219" t="s">
        <v>600</v>
      </c>
      <c r="Q99" s="222"/>
      <c r="R99" s="219">
        <v>36156</v>
      </c>
      <c r="S99" s="219" t="s">
        <v>629</v>
      </c>
      <c r="T99" s="219" t="s">
        <v>629</v>
      </c>
      <c r="U99" s="219" t="s">
        <v>629</v>
      </c>
      <c r="V99" s="219" t="s">
        <v>629</v>
      </c>
      <c r="W99" s="219" t="s">
        <v>629</v>
      </c>
      <c r="X99" s="219" t="s">
        <v>626</v>
      </c>
      <c r="Y99" s="219" t="s">
        <v>712</v>
      </c>
      <c r="Z99" s="219" t="s">
        <v>198</v>
      </c>
      <c r="AA99" s="223">
        <v>146</v>
      </c>
      <c r="AB99" s="219" t="s">
        <v>598</v>
      </c>
      <c r="AC99" s="223">
        <v>31</v>
      </c>
      <c r="AD99" s="219" t="s">
        <v>600</v>
      </c>
      <c r="AE99" s="88">
        <v>30637</v>
      </c>
      <c r="AF99" s="224">
        <f t="shared" si="4"/>
        <v>0.20652173913043478</v>
      </c>
      <c r="AG99" s="224">
        <f t="shared" si="5"/>
        <v>0.20512820512820512</v>
      </c>
      <c r="AH99" s="224">
        <f t="shared" si="6"/>
        <v>0.15264409779842902</v>
      </c>
      <c r="AI99" s="87"/>
      <c r="AJ99" s="225">
        <v>6.3053500446428572</v>
      </c>
      <c r="AK99" s="219" t="s">
        <v>596</v>
      </c>
      <c r="AL99" s="226">
        <f t="shared" si="7"/>
        <v>0.8383243578296703</v>
      </c>
    </row>
    <row r="100" spans="1:38" hidden="1" x14ac:dyDescent="0.2">
      <c r="A100" s="88" t="e">
        <v>#N/A</v>
      </c>
      <c r="B100" s="219" t="s">
        <v>619</v>
      </c>
      <c r="C100" s="220" t="s">
        <v>713</v>
      </c>
      <c r="D100" s="219">
        <v>2240</v>
      </c>
      <c r="E100" s="219" t="s">
        <v>629</v>
      </c>
      <c r="F100" s="219" t="s">
        <v>629</v>
      </c>
      <c r="G100" s="219" t="s">
        <v>629</v>
      </c>
      <c r="H100" s="219" t="s">
        <v>629</v>
      </c>
      <c r="I100" s="219" t="s">
        <v>629</v>
      </c>
      <c r="J100" s="219" t="s">
        <v>626</v>
      </c>
      <c r="K100" s="221" t="s">
        <v>712</v>
      </c>
      <c r="L100" s="219" t="s">
        <v>645</v>
      </c>
      <c r="M100" s="219">
        <v>184</v>
      </c>
      <c r="N100" s="219" t="s">
        <v>600</v>
      </c>
      <c r="O100" s="219">
        <v>39</v>
      </c>
      <c r="P100" s="219" t="s">
        <v>600</v>
      </c>
      <c r="Q100" s="222"/>
      <c r="R100" s="219">
        <v>36156</v>
      </c>
      <c r="S100" s="219" t="s">
        <v>629</v>
      </c>
      <c r="T100" s="219" t="s">
        <v>629</v>
      </c>
      <c r="U100" s="219" t="s">
        <v>629</v>
      </c>
      <c r="V100" s="219" t="s">
        <v>629</v>
      </c>
      <c r="W100" s="219" t="s">
        <v>629</v>
      </c>
      <c r="X100" s="219" t="s">
        <v>637</v>
      </c>
      <c r="Y100" s="219" t="s">
        <v>712</v>
      </c>
      <c r="Z100" s="219" t="s">
        <v>198</v>
      </c>
      <c r="AA100" s="223">
        <v>124</v>
      </c>
      <c r="AB100" s="219" t="s">
        <v>598</v>
      </c>
      <c r="AC100" s="223">
        <v>22</v>
      </c>
      <c r="AD100" s="219" t="s">
        <v>598</v>
      </c>
      <c r="AE100" s="88" t="s">
        <v>629</v>
      </c>
      <c r="AF100" s="224">
        <f t="shared" si="4"/>
        <v>0.32608695652173914</v>
      </c>
      <c r="AG100" s="224">
        <f t="shared" si="5"/>
        <v>0.4358974358974359</v>
      </c>
      <c r="AH100" s="224" t="e">
        <f t="shared" si="6"/>
        <v>#VALUE!</v>
      </c>
      <c r="AI100" s="87"/>
      <c r="AJ100" s="225">
        <v>5</v>
      </c>
      <c r="AK100" s="219" t="s">
        <v>594</v>
      </c>
      <c r="AL100" s="226">
        <f t="shared" si="7"/>
        <v>0.87179487179487181</v>
      </c>
    </row>
    <row r="101" spans="1:38" x14ac:dyDescent="0.2">
      <c r="A101" s="15">
        <v>257</v>
      </c>
      <c r="B101" s="228" t="s">
        <v>619</v>
      </c>
      <c r="C101" s="229" t="s">
        <v>713</v>
      </c>
      <c r="D101" s="228">
        <v>2240</v>
      </c>
      <c r="E101" s="228" t="s">
        <v>629</v>
      </c>
      <c r="F101" s="228" t="s">
        <v>629</v>
      </c>
      <c r="G101" s="228" t="s">
        <v>629</v>
      </c>
      <c r="H101" s="228" t="s">
        <v>629</v>
      </c>
      <c r="I101" s="228" t="s">
        <v>629</v>
      </c>
      <c r="J101" s="228" t="s">
        <v>626</v>
      </c>
      <c r="K101" s="233" t="s">
        <v>712</v>
      </c>
      <c r="L101" s="228" t="s">
        <v>645</v>
      </c>
      <c r="M101" s="228">
        <v>184</v>
      </c>
      <c r="N101" s="228" t="s">
        <v>600</v>
      </c>
      <c r="O101" s="228">
        <v>39</v>
      </c>
      <c r="P101" s="228" t="s">
        <v>600</v>
      </c>
      <c r="Q101" s="234"/>
      <c r="R101" s="228">
        <v>36156</v>
      </c>
      <c r="S101" s="228" t="s">
        <v>468</v>
      </c>
      <c r="T101" s="228" t="s">
        <v>468</v>
      </c>
      <c r="U101" s="228" t="s">
        <v>468</v>
      </c>
      <c r="V101" s="228" t="s">
        <v>468</v>
      </c>
      <c r="W101" s="228" t="s">
        <v>468</v>
      </c>
      <c r="X101" s="228" t="s">
        <v>626</v>
      </c>
      <c r="Y101" s="228" t="s">
        <v>712</v>
      </c>
      <c r="Z101" s="228" t="s">
        <v>198</v>
      </c>
      <c r="AA101" s="230">
        <v>71</v>
      </c>
      <c r="AB101" s="228" t="s">
        <v>596</v>
      </c>
      <c r="AC101" s="230">
        <v>13</v>
      </c>
      <c r="AD101" s="228" t="s">
        <v>598</v>
      </c>
      <c r="AE101" s="15">
        <v>16926</v>
      </c>
      <c r="AF101" s="224">
        <f t="shared" si="4"/>
        <v>0.61413043478260865</v>
      </c>
      <c r="AG101" s="224">
        <f t="shared" si="5"/>
        <v>0.66666666666666663</v>
      </c>
      <c r="AH101" s="224">
        <f t="shared" si="6"/>
        <v>0.53186193162960504</v>
      </c>
      <c r="AJ101" s="231">
        <v>2.9082307589285712</v>
      </c>
      <c r="AK101" s="228" t="s">
        <v>594</v>
      </c>
      <c r="AL101" s="226">
        <f t="shared" si="7"/>
        <v>0.92542998054029313</v>
      </c>
    </row>
    <row r="102" spans="1:38" x14ac:dyDescent="0.2">
      <c r="A102" s="15">
        <v>1736</v>
      </c>
      <c r="B102" s="228" t="s">
        <v>619</v>
      </c>
      <c r="C102" s="229" t="s">
        <v>713</v>
      </c>
      <c r="D102" s="228">
        <v>2240</v>
      </c>
      <c r="E102" s="228" t="s">
        <v>629</v>
      </c>
      <c r="F102" s="228" t="s">
        <v>629</v>
      </c>
      <c r="G102" s="228" t="s">
        <v>629</v>
      </c>
      <c r="H102" s="228" t="s">
        <v>629</v>
      </c>
      <c r="I102" s="228" t="s">
        <v>629</v>
      </c>
      <c r="J102" s="228" t="s">
        <v>626</v>
      </c>
      <c r="K102" s="235" t="s">
        <v>712</v>
      </c>
      <c r="L102" s="228" t="s">
        <v>645</v>
      </c>
      <c r="M102" s="228">
        <v>184</v>
      </c>
      <c r="N102" s="228" t="s">
        <v>600</v>
      </c>
      <c r="O102" s="228">
        <v>39</v>
      </c>
      <c r="P102" s="228" t="s">
        <v>600</v>
      </c>
      <c r="Q102" s="234"/>
      <c r="R102" s="228">
        <v>36156</v>
      </c>
      <c r="S102" s="228" t="s">
        <v>468</v>
      </c>
      <c r="T102" s="228" t="s">
        <v>468</v>
      </c>
      <c r="U102" s="228" t="s">
        <v>468</v>
      </c>
      <c r="V102" s="228" t="s">
        <v>468</v>
      </c>
      <c r="W102" s="228" t="s">
        <v>468</v>
      </c>
      <c r="X102" s="228" t="s">
        <v>626</v>
      </c>
      <c r="Y102" s="228" t="s">
        <v>712</v>
      </c>
      <c r="Z102" s="228" t="s">
        <v>645</v>
      </c>
      <c r="AA102" s="230">
        <v>85</v>
      </c>
      <c r="AB102" s="228" t="s">
        <v>596</v>
      </c>
      <c r="AC102" s="230">
        <v>16</v>
      </c>
      <c r="AD102" s="228" t="s">
        <v>598</v>
      </c>
      <c r="AE102" s="15">
        <v>20443</v>
      </c>
      <c r="AF102" s="224">
        <f t="shared" si="4"/>
        <v>0.53804347826086951</v>
      </c>
      <c r="AG102" s="224">
        <f t="shared" si="5"/>
        <v>0.58974358974358976</v>
      </c>
      <c r="AH102" s="224">
        <f t="shared" si="6"/>
        <v>0.4345890032083195</v>
      </c>
      <c r="AJ102" s="231">
        <v>3.5296187946428565</v>
      </c>
      <c r="AK102" s="228" t="s">
        <v>594</v>
      </c>
      <c r="AL102" s="226">
        <f t="shared" si="7"/>
        <v>0.90949695398351649</v>
      </c>
    </row>
    <row r="103" spans="1:38" x14ac:dyDescent="0.2">
      <c r="A103" s="15">
        <v>258</v>
      </c>
      <c r="B103" s="228" t="s">
        <v>619</v>
      </c>
      <c r="C103" s="229" t="s">
        <v>713</v>
      </c>
      <c r="D103" s="228">
        <v>2240</v>
      </c>
      <c r="E103" s="228" t="s">
        <v>629</v>
      </c>
      <c r="F103" s="228" t="s">
        <v>629</v>
      </c>
      <c r="G103" s="228" t="s">
        <v>629</v>
      </c>
      <c r="H103" s="228" t="s">
        <v>629</v>
      </c>
      <c r="I103" s="228" t="s">
        <v>629</v>
      </c>
      <c r="J103" s="228" t="s">
        <v>626</v>
      </c>
      <c r="K103" s="233" t="s">
        <v>712</v>
      </c>
      <c r="L103" s="228" t="s">
        <v>645</v>
      </c>
      <c r="M103" s="228">
        <v>184</v>
      </c>
      <c r="N103" s="228" t="s">
        <v>600</v>
      </c>
      <c r="O103" s="228">
        <v>39</v>
      </c>
      <c r="P103" s="228" t="s">
        <v>600</v>
      </c>
      <c r="Q103" s="234"/>
      <c r="R103" s="228">
        <v>36156</v>
      </c>
      <c r="S103" s="228" t="s">
        <v>468</v>
      </c>
      <c r="T103" s="228" t="s">
        <v>468</v>
      </c>
      <c r="U103" s="228" t="s">
        <v>468</v>
      </c>
      <c r="V103" s="228" t="s">
        <v>468</v>
      </c>
      <c r="W103" s="228" t="s">
        <v>468</v>
      </c>
      <c r="X103" s="228" t="s">
        <v>637</v>
      </c>
      <c r="Y103" s="228" t="s">
        <v>712</v>
      </c>
      <c r="Z103" s="228" t="s">
        <v>198</v>
      </c>
      <c r="AA103" s="230">
        <v>51</v>
      </c>
      <c r="AB103" s="228" t="s">
        <v>594</v>
      </c>
      <c r="AC103" s="230">
        <v>6</v>
      </c>
      <c r="AD103" s="228" t="s">
        <v>596</v>
      </c>
      <c r="AE103" s="15">
        <v>12460</v>
      </c>
      <c r="AF103" s="224">
        <f t="shared" si="4"/>
        <v>0.72282608695652173</v>
      </c>
      <c r="AG103" s="224">
        <f t="shared" si="5"/>
        <v>0.84615384615384615</v>
      </c>
      <c r="AH103" s="224">
        <f t="shared" si="6"/>
        <v>0.65538223254784822</v>
      </c>
      <c r="AJ103" s="231">
        <v>1.8304666964285714</v>
      </c>
      <c r="AK103" s="228" t="s">
        <v>594</v>
      </c>
      <c r="AL103" s="226">
        <f t="shared" si="7"/>
        <v>0.95306495650183143</v>
      </c>
    </row>
    <row r="104" spans="1:38" x14ac:dyDescent="0.2">
      <c r="A104" s="15">
        <v>23</v>
      </c>
      <c r="B104" s="228" t="s">
        <v>619</v>
      </c>
      <c r="C104" s="229" t="s">
        <v>711</v>
      </c>
      <c r="D104" s="228">
        <v>2240</v>
      </c>
      <c r="E104" s="228" t="s">
        <v>629</v>
      </c>
      <c r="F104" s="228" t="s">
        <v>629</v>
      </c>
      <c r="G104" s="228" t="s">
        <v>629</v>
      </c>
      <c r="H104" s="228" t="s">
        <v>629</v>
      </c>
      <c r="I104" s="228" t="s">
        <v>629</v>
      </c>
      <c r="J104" s="228" t="s">
        <v>630</v>
      </c>
      <c r="K104" s="228" t="s">
        <v>714</v>
      </c>
      <c r="L104" s="228" t="s">
        <v>645</v>
      </c>
      <c r="M104" s="228">
        <v>323</v>
      </c>
      <c r="N104" s="228" t="s">
        <v>602</v>
      </c>
      <c r="O104" s="228">
        <v>71</v>
      </c>
      <c r="P104" s="228" t="s">
        <v>604</v>
      </c>
      <c r="Q104" s="228"/>
      <c r="R104" s="228">
        <v>46465</v>
      </c>
      <c r="S104" s="228" t="s">
        <v>468</v>
      </c>
      <c r="T104" s="228" t="s">
        <v>468</v>
      </c>
      <c r="U104" s="228" t="s">
        <v>468</v>
      </c>
      <c r="V104" s="228" t="s">
        <v>468</v>
      </c>
      <c r="W104" s="228" t="s">
        <v>468</v>
      </c>
      <c r="X104" s="228" t="s">
        <v>630</v>
      </c>
      <c r="Y104" s="228" t="s">
        <v>714</v>
      </c>
      <c r="Z104" s="228" t="s">
        <v>645</v>
      </c>
      <c r="AA104" s="230">
        <v>141</v>
      </c>
      <c r="AB104" s="228" t="s">
        <v>598</v>
      </c>
      <c r="AC104" s="230">
        <v>29</v>
      </c>
      <c r="AD104" s="228" t="s">
        <v>598</v>
      </c>
      <c r="AE104" s="15">
        <v>21810</v>
      </c>
      <c r="AF104" s="224">
        <f t="shared" si="4"/>
        <v>0.56346749226006188</v>
      </c>
      <c r="AG104" s="224">
        <f t="shared" si="5"/>
        <v>0.59154929577464788</v>
      </c>
      <c r="AH104" s="224">
        <f t="shared" si="6"/>
        <v>0.53061444097707955</v>
      </c>
      <c r="AJ104" s="231">
        <v>6.0335519642857136</v>
      </c>
      <c r="AK104" s="228" t="s">
        <v>596</v>
      </c>
      <c r="AL104" s="226">
        <f t="shared" si="7"/>
        <v>0.91502039486921516</v>
      </c>
    </row>
    <row r="105" spans="1:38" hidden="1" x14ac:dyDescent="0.2">
      <c r="A105" s="15">
        <v>20</v>
      </c>
      <c r="B105" s="228" t="s">
        <v>619</v>
      </c>
      <c r="C105" s="229" t="s">
        <v>711</v>
      </c>
      <c r="D105" s="228">
        <v>2240</v>
      </c>
      <c r="E105" s="228" t="s">
        <v>629</v>
      </c>
      <c r="F105" s="228" t="s">
        <v>629</v>
      </c>
      <c r="G105" s="228" t="s">
        <v>629</v>
      </c>
      <c r="H105" s="228" t="s">
        <v>629</v>
      </c>
      <c r="I105" s="228" t="s">
        <v>629</v>
      </c>
      <c r="J105" s="228" t="s">
        <v>630</v>
      </c>
      <c r="K105" s="228" t="s">
        <v>714</v>
      </c>
      <c r="L105" s="228" t="s">
        <v>645</v>
      </c>
      <c r="M105" s="228">
        <v>323</v>
      </c>
      <c r="N105" s="228" t="s">
        <v>602</v>
      </c>
      <c r="O105" s="228">
        <v>71</v>
      </c>
      <c r="P105" s="228" t="s">
        <v>604</v>
      </c>
      <c r="Q105" s="228"/>
      <c r="R105" s="228">
        <v>46465</v>
      </c>
      <c r="S105" s="228" t="s">
        <v>629</v>
      </c>
      <c r="T105" s="228" t="s">
        <v>629</v>
      </c>
      <c r="U105" s="228" t="s">
        <v>629</v>
      </c>
      <c r="V105" s="228" t="s">
        <v>629</v>
      </c>
      <c r="W105" s="228" t="s">
        <v>629</v>
      </c>
      <c r="X105" s="228" t="s">
        <v>630</v>
      </c>
      <c r="Y105" s="228" t="s">
        <v>714</v>
      </c>
      <c r="Z105" s="228" t="s">
        <v>198</v>
      </c>
      <c r="AA105" s="230">
        <v>286</v>
      </c>
      <c r="AB105" s="228" t="s">
        <v>602</v>
      </c>
      <c r="AC105" s="230">
        <v>63</v>
      </c>
      <c r="AD105" s="228" t="s">
        <v>602</v>
      </c>
      <c r="AE105" s="15">
        <v>41310</v>
      </c>
      <c r="AF105" s="224">
        <f t="shared" si="4"/>
        <v>0.11455108359133127</v>
      </c>
      <c r="AG105" s="224">
        <f t="shared" si="5"/>
        <v>0.11267605633802817</v>
      </c>
      <c r="AH105" s="224">
        <f t="shared" si="6"/>
        <v>0.11094372108038308</v>
      </c>
      <c r="AJ105" s="231">
        <v>12.46754482142857</v>
      </c>
      <c r="AK105" s="228" t="s">
        <v>598</v>
      </c>
      <c r="AL105" s="226">
        <f t="shared" si="7"/>
        <v>0.82440077716297788</v>
      </c>
    </row>
    <row r="106" spans="1:38" hidden="1" x14ac:dyDescent="0.2">
      <c r="A106" s="15">
        <v>18</v>
      </c>
      <c r="B106" s="228" t="s">
        <v>619</v>
      </c>
      <c r="C106" s="229" t="s">
        <v>711</v>
      </c>
      <c r="D106" s="228">
        <v>2240</v>
      </c>
      <c r="E106" s="228" t="s">
        <v>629</v>
      </c>
      <c r="F106" s="228" t="s">
        <v>629</v>
      </c>
      <c r="G106" s="228" t="s">
        <v>629</v>
      </c>
      <c r="H106" s="228" t="s">
        <v>629</v>
      </c>
      <c r="I106" s="228" t="s">
        <v>629</v>
      </c>
      <c r="J106" s="228" t="s">
        <v>630</v>
      </c>
      <c r="K106" s="228" t="s">
        <v>714</v>
      </c>
      <c r="L106" s="228" t="s">
        <v>645</v>
      </c>
      <c r="M106" s="228">
        <v>323</v>
      </c>
      <c r="N106" s="228" t="s">
        <v>602</v>
      </c>
      <c r="O106" s="228">
        <v>71</v>
      </c>
      <c r="P106" s="228" t="s">
        <v>604</v>
      </c>
      <c r="Q106" s="228"/>
      <c r="R106" s="228">
        <v>46465</v>
      </c>
      <c r="S106" s="228" t="s">
        <v>629</v>
      </c>
      <c r="T106" s="228" t="s">
        <v>629</v>
      </c>
      <c r="U106" s="228" t="s">
        <v>629</v>
      </c>
      <c r="V106" s="228" t="s">
        <v>629</v>
      </c>
      <c r="W106" s="228" t="s">
        <v>629</v>
      </c>
      <c r="X106" s="228" t="s">
        <v>636</v>
      </c>
      <c r="Y106" s="228" t="s">
        <v>714</v>
      </c>
      <c r="Z106" s="228" t="s">
        <v>198</v>
      </c>
      <c r="AA106" s="230">
        <v>269</v>
      </c>
      <c r="AB106" s="228" t="s">
        <v>602</v>
      </c>
      <c r="AC106" s="230">
        <v>59</v>
      </c>
      <c r="AD106" s="228" t="s">
        <v>602</v>
      </c>
      <c r="AE106" s="15">
        <v>38906</v>
      </c>
      <c r="AF106" s="224">
        <f t="shared" si="4"/>
        <v>0.16718266253869968</v>
      </c>
      <c r="AG106" s="224">
        <f t="shared" si="5"/>
        <v>0.16901408450704225</v>
      </c>
      <c r="AH106" s="224">
        <f t="shared" si="6"/>
        <v>0.16268158829226301</v>
      </c>
      <c r="AJ106" s="231">
        <v>11.701701249999999</v>
      </c>
      <c r="AK106" s="228" t="s">
        <v>598</v>
      </c>
      <c r="AL106" s="226">
        <f t="shared" si="7"/>
        <v>0.83518730633802818</v>
      </c>
    </row>
    <row r="107" spans="1:38" hidden="1" x14ac:dyDescent="0.2">
      <c r="A107" s="15">
        <v>44</v>
      </c>
      <c r="B107" s="228" t="s">
        <v>619</v>
      </c>
      <c r="C107" s="229" t="s">
        <v>711</v>
      </c>
      <c r="D107" s="228">
        <v>2240</v>
      </c>
      <c r="E107" s="228" t="s">
        <v>629</v>
      </c>
      <c r="F107" s="228" t="s">
        <v>629</v>
      </c>
      <c r="G107" s="228" t="s">
        <v>629</v>
      </c>
      <c r="H107" s="228" t="s">
        <v>629</v>
      </c>
      <c r="I107" s="228" t="s">
        <v>629</v>
      </c>
      <c r="J107" s="228" t="s">
        <v>630</v>
      </c>
      <c r="K107" s="228" t="s">
        <v>714</v>
      </c>
      <c r="L107" s="228" t="s">
        <v>645</v>
      </c>
      <c r="M107" s="228">
        <v>323</v>
      </c>
      <c r="N107" s="228" t="s">
        <v>602</v>
      </c>
      <c r="O107" s="228">
        <v>71</v>
      </c>
      <c r="P107" s="228" t="s">
        <v>604</v>
      </c>
      <c r="Q107" s="228"/>
      <c r="R107" s="228">
        <v>46465</v>
      </c>
      <c r="S107" s="228" t="s">
        <v>629</v>
      </c>
      <c r="T107" s="228" t="s">
        <v>629</v>
      </c>
      <c r="U107" s="228" t="s">
        <v>629</v>
      </c>
      <c r="V107" s="228" t="s">
        <v>629</v>
      </c>
      <c r="W107" s="228" t="s">
        <v>629</v>
      </c>
      <c r="X107" s="228" t="s">
        <v>643</v>
      </c>
      <c r="Y107" s="228" t="s">
        <v>714</v>
      </c>
      <c r="Z107" s="228" t="s">
        <v>198</v>
      </c>
      <c r="AA107" s="230">
        <v>251.36841517857144</v>
      </c>
      <c r="AB107" s="228" t="s">
        <v>602</v>
      </c>
      <c r="AC107" s="230">
        <v>21.671687276785718</v>
      </c>
      <c r="AD107" s="228" t="s">
        <v>598</v>
      </c>
      <c r="AE107" s="15" t="s">
        <v>629</v>
      </c>
      <c r="AF107" s="224">
        <f t="shared" si="4"/>
        <v>0.22176961245024321</v>
      </c>
      <c r="AG107" s="224">
        <f t="shared" si="5"/>
        <v>0.69476496793259557</v>
      </c>
      <c r="AH107" s="224" t="e">
        <f t="shared" si="6"/>
        <v>#VALUE!</v>
      </c>
      <c r="AJ107" s="231">
        <v>9.1248314732142859</v>
      </c>
      <c r="AK107" s="228" t="s">
        <v>596</v>
      </c>
      <c r="AL107" s="226">
        <f t="shared" si="7"/>
        <v>0.87148124685613682</v>
      </c>
    </row>
    <row r="108" spans="1:38" hidden="1" x14ac:dyDescent="0.2">
      <c r="A108" s="15">
        <v>1069</v>
      </c>
      <c r="B108" s="228" t="s">
        <v>619</v>
      </c>
      <c r="C108" s="229" t="s">
        <v>711</v>
      </c>
      <c r="D108" s="228">
        <v>2240</v>
      </c>
      <c r="E108" s="228" t="s">
        <v>629</v>
      </c>
      <c r="F108" s="228" t="s">
        <v>629</v>
      </c>
      <c r="G108" s="228" t="s">
        <v>629</v>
      </c>
      <c r="H108" s="228" t="s">
        <v>629</v>
      </c>
      <c r="I108" s="228" t="s">
        <v>629</v>
      </c>
      <c r="J108" s="228" t="s">
        <v>630</v>
      </c>
      <c r="K108" s="228" t="s">
        <v>714</v>
      </c>
      <c r="L108" s="228" t="s">
        <v>645</v>
      </c>
      <c r="M108" s="228">
        <v>323</v>
      </c>
      <c r="N108" s="228" t="s">
        <v>602</v>
      </c>
      <c r="O108" s="228">
        <v>71</v>
      </c>
      <c r="P108" s="228" t="s">
        <v>604</v>
      </c>
      <c r="Q108" s="228"/>
      <c r="R108" s="228">
        <v>46465</v>
      </c>
      <c r="S108" s="228" t="s">
        <v>629</v>
      </c>
      <c r="T108" s="228" t="s">
        <v>629</v>
      </c>
      <c r="U108" s="228" t="s">
        <v>629</v>
      </c>
      <c r="V108" s="228" t="s">
        <v>629</v>
      </c>
      <c r="W108" s="228" t="s">
        <v>629</v>
      </c>
      <c r="X108" s="232" t="s">
        <v>639</v>
      </c>
      <c r="Y108" s="228" t="s">
        <v>714</v>
      </c>
      <c r="Z108" s="228" t="s">
        <v>198</v>
      </c>
      <c r="AA108" s="230">
        <v>245</v>
      </c>
      <c r="AB108" s="228" t="s">
        <v>600</v>
      </c>
      <c r="AC108" s="230">
        <v>8</v>
      </c>
      <c r="AD108" s="228" t="s">
        <v>596</v>
      </c>
      <c r="AE108" s="15">
        <v>39308</v>
      </c>
      <c r="AF108" s="224">
        <f t="shared" si="4"/>
        <v>0.24148606811145512</v>
      </c>
      <c r="AG108" s="224">
        <f t="shared" si="5"/>
        <v>0.88732394366197187</v>
      </c>
      <c r="AH108" s="224">
        <f t="shared" si="6"/>
        <v>0.15402991498977725</v>
      </c>
      <c r="AJ108" s="231">
        <v>8.1279351785714287</v>
      </c>
      <c r="AK108" s="228" t="s">
        <v>596</v>
      </c>
      <c r="AL108" s="226">
        <f t="shared" si="7"/>
        <v>0.88552203973843058</v>
      </c>
    </row>
    <row r="109" spans="1:38" x14ac:dyDescent="0.2">
      <c r="A109" s="15">
        <v>21</v>
      </c>
      <c r="B109" s="228" t="s">
        <v>619</v>
      </c>
      <c r="C109" s="229" t="s">
        <v>711</v>
      </c>
      <c r="D109" s="228">
        <v>2240</v>
      </c>
      <c r="E109" s="228" t="s">
        <v>629</v>
      </c>
      <c r="F109" s="228" t="s">
        <v>629</v>
      </c>
      <c r="G109" s="228" t="s">
        <v>629</v>
      </c>
      <c r="H109" s="228" t="s">
        <v>629</v>
      </c>
      <c r="I109" s="228" t="s">
        <v>629</v>
      </c>
      <c r="J109" s="228" t="s">
        <v>630</v>
      </c>
      <c r="K109" s="228" t="s">
        <v>714</v>
      </c>
      <c r="L109" s="228" t="s">
        <v>645</v>
      </c>
      <c r="M109" s="228">
        <v>323</v>
      </c>
      <c r="N109" s="228" t="s">
        <v>602</v>
      </c>
      <c r="O109" s="228">
        <v>71</v>
      </c>
      <c r="P109" s="228" t="s">
        <v>604</v>
      </c>
      <c r="Q109" s="228"/>
      <c r="R109" s="228">
        <v>46465</v>
      </c>
      <c r="S109" s="228" t="s">
        <v>468</v>
      </c>
      <c r="T109" s="228" t="s">
        <v>468</v>
      </c>
      <c r="U109" s="228" t="s">
        <v>468</v>
      </c>
      <c r="V109" s="228" t="s">
        <v>468</v>
      </c>
      <c r="W109" s="228" t="s">
        <v>468</v>
      </c>
      <c r="X109" s="228" t="s">
        <v>630</v>
      </c>
      <c r="Y109" s="228" t="s">
        <v>714</v>
      </c>
      <c r="Z109" s="228" t="s">
        <v>198</v>
      </c>
      <c r="AA109" s="230">
        <v>118</v>
      </c>
      <c r="AB109" s="228" t="s">
        <v>598</v>
      </c>
      <c r="AC109" s="230">
        <v>24</v>
      </c>
      <c r="AD109" s="228" t="s">
        <v>598</v>
      </c>
      <c r="AE109" s="15">
        <v>18659</v>
      </c>
      <c r="AF109" s="224">
        <f t="shared" si="4"/>
        <v>0.6346749226006192</v>
      </c>
      <c r="AG109" s="224">
        <f t="shared" si="5"/>
        <v>0.6619718309859155</v>
      </c>
      <c r="AH109" s="224">
        <f t="shared" si="6"/>
        <v>0.59842892499730982</v>
      </c>
      <c r="AJ109" s="231">
        <v>4.9748917857142851</v>
      </c>
      <c r="AK109" s="228" t="s">
        <v>594</v>
      </c>
      <c r="AL109" s="226">
        <f t="shared" si="7"/>
        <v>0.92993110160965786</v>
      </c>
    </row>
    <row r="110" spans="1:38" x14ac:dyDescent="0.2">
      <c r="A110" s="15">
        <v>19</v>
      </c>
      <c r="B110" s="228" t="s">
        <v>619</v>
      </c>
      <c r="C110" s="229" t="s">
        <v>711</v>
      </c>
      <c r="D110" s="228">
        <v>2240</v>
      </c>
      <c r="E110" s="228" t="s">
        <v>629</v>
      </c>
      <c r="F110" s="228" t="s">
        <v>629</v>
      </c>
      <c r="G110" s="228" t="s">
        <v>629</v>
      </c>
      <c r="H110" s="228" t="s">
        <v>629</v>
      </c>
      <c r="I110" s="228" t="s">
        <v>629</v>
      </c>
      <c r="J110" s="228" t="s">
        <v>630</v>
      </c>
      <c r="K110" s="228" t="s">
        <v>714</v>
      </c>
      <c r="L110" s="228" t="s">
        <v>645</v>
      </c>
      <c r="M110" s="228">
        <v>323</v>
      </c>
      <c r="N110" s="228" t="s">
        <v>602</v>
      </c>
      <c r="O110" s="228">
        <v>71</v>
      </c>
      <c r="P110" s="228" t="s">
        <v>604</v>
      </c>
      <c r="Q110" s="228"/>
      <c r="R110" s="228">
        <v>46465</v>
      </c>
      <c r="S110" s="228" t="s">
        <v>468</v>
      </c>
      <c r="T110" s="228" t="s">
        <v>468</v>
      </c>
      <c r="U110" s="228" t="s">
        <v>468</v>
      </c>
      <c r="V110" s="228" t="s">
        <v>468</v>
      </c>
      <c r="W110" s="228" t="s">
        <v>468</v>
      </c>
      <c r="X110" s="228" t="s">
        <v>636</v>
      </c>
      <c r="Y110" s="228" t="s">
        <v>714</v>
      </c>
      <c r="Z110" s="228" t="s">
        <v>198</v>
      </c>
      <c r="AA110" s="230">
        <v>100</v>
      </c>
      <c r="AB110" s="228" t="s">
        <v>596</v>
      </c>
      <c r="AC110" s="230">
        <v>20</v>
      </c>
      <c r="AD110" s="228" t="s">
        <v>598</v>
      </c>
      <c r="AE110" s="15">
        <v>16321</v>
      </c>
      <c r="AF110" s="224">
        <f t="shared" si="4"/>
        <v>0.69040247678018574</v>
      </c>
      <c r="AG110" s="224">
        <f t="shared" si="5"/>
        <v>0.71830985915492962</v>
      </c>
      <c r="AH110" s="224">
        <f t="shared" si="6"/>
        <v>0.64874636823415477</v>
      </c>
      <c r="AJ110" s="231">
        <v>4.2090482142857146</v>
      </c>
      <c r="AK110" s="228" t="s">
        <v>594</v>
      </c>
      <c r="AL110" s="226">
        <f t="shared" si="7"/>
        <v>0.94071763078470827</v>
      </c>
    </row>
    <row r="111" spans="1:38" x14ac:dyDescent="0.2">
      <c r="A111" s="15">
        <v>45</v>
      </c>
      <c r="B111" s="228" t="s">
        <v>619</v>
      </c>
      <c r="C111" s="229" t="s">
        <v>711</v>
      </c>
      <c r="D111" s="228">
        <v>2240</v>
      </c>
      <c r="E111" s="228" t="s">
        <v>629</v>
      </c>
      <c r="F111" s="228" t="s">
        <v>629</v>
      </c>
      <c r="G111" s="228" t="s">
        <v>629</v>
      </c>
      <c r="H111" s="228" t="s">
        <v>629</v>
      </c>
      <c r="I111" s="228" t="s">
        <v>629</v>
      </c>
      <c r="J111" s="228" t="s">
        <v>630</v>
      </c>
      <c r="K111" s="228" t="s">
        <v>714</v>
      </c>
      <c r="L111" s="228" t="s">
        <v>645</v>
      </c>
      <c r="M111" s="228">
        <v>323</v>
      </c>
      <c r="N111" s="228" t="s">
        <v>602</v>
      </c>
      <c r="O111" s="228">
        <v>71</v>
      </c>
      <c r="P111" s="228" t="s">
        <v>604</v>
      </c>
      <c r="Q111" s="228"/>
      <c r="R111" s="228">
        <v>46465</v>
      </c>
      <c r="S111" s="228" t="s">
        <v>468</v>
      </c>
      <c r="T111" s="228" t="s">
        <v>468</v>
      </c>
      <c r="U111" s="228" t="s">
        <v>468</v>
      </c>
      <c r="V111" s="228" t="s">
        <v>468</v>
      </c>
      <c r="W111" s="228" t="s">
        <v>468</v>
      </c>
      <c r="X111" s="228" t="s">
        <v>643</v>
      </c>
      <c r="Y111" s="228" t="s">
        <v>714</v>
      </c>
      <c r="Z111" s="228" t="s">
        <v>198</v>
      </c>
      <c r="AA111" s="230">
        <v>108.92641964285714</v>
      </c>
      <c r="AB111" s="228" t="s">
        <v>596</v>
      </c>
      <c r="AC111" s="230">
        <v>10.298469776785716</v>
      </c>
      <c r="AD111" s="228" t="s">
        <v>596</v>
      </c>
      <c r="AE111" s="15" t="s">
        <v>629</v>
      </c>
      <c r="AF111" s="224">
        <f t="shared" si="4"/>
        <v>0.66276650265369308</v>
      </c>
      <c r="AG111" s="224">
        <f t="shared" si="5"/>
        <v>0.85495112990442657</v>
      </c>
      <c r="AH111" s="224" t="e">
        <f t="shared" si="6"/>
        <v>#VALUE!</v>
      </c>
      <c r="AJ111" s="231">
        <v>3.8755619196428572</v>
      </c>
      <c r="AK111" s="228" t="s">
        <v>594</v>
      </c>
      <c r="AL111" s="226">
        <f t="shared" si="7"/>
        <v>0.94541462085010053</v>
      </c>
    </row>
    <row r="112" spans="1:38" x14ac:dyDescent="0.2">
      <c r="A112" s="15">
        <v>1070</v>
      </c>
      <c r="B112" s="228" t="s">
        <v>619</v>
      </c>
      <c r="C112" s="229" t="s">
        <v>711</v>
      </c>
      <c r="D112" s="228">
        <v>2240</v>
      </c>
      <c r="E112" s="228" t="s">
        <v>629</v>
      </c>
      <c r="F112" s="228" t="s">
        <v>629</v>
      </c>
      <c r="G112" s="228" t="s">
        <v>629</v>
      </c>
      <c r="H112" s="228" t="s">
        <v>629</v>
      </c>
      <c r="I112" s="228" t="s">
        <v>629</v>
      </c>
      <c r="J112" s="228" t="s">
        <v>630</v>
      </c>
      <c r="K112" s="228" t="s">
        <v>714</v>
      </c>
      <c r="L112" s="228" t="s">
        <v>645</v>
      </c>
      <c r="M112" s="228">
        <v>323</v>
      </c>
      <c r="N112" s="228" t="s">
        <v>602</v>
      </c>
      <c r="O112" s="228">
        <v>71</v>
      </c>
      <c r="P112" s="228" t="s">
        <v>604</v>
      </c>
      <c r="Q112" s="228"/>
      <c r="R112" s="228">
        <v>46465</v>
      </c>
      <c r="S112" s="228" t="s">
        <v>468</v>
      </c>
      <c r="T112" s="228" t="s">
        <v>468</v>
      </c>
      <c r="U112" s="228" t="s">
        <v>468</v>
      </c>
      <c r="V112" s="228" t="s">
        <v>468</v>
      </c>
      <c r="W112" s="228" t="s">
        <v>468</v>
      </c>
      <c r="X112" s="232" t="s">
        <v>639</v>
      </c>
      <c r="Y112" s="228" t="s">
        <v>714</v>
      </c>
      <c r="Z112" s="228" t="s">
        <v>198</v>
      </c>
      <c r="AA112" s="230">
        <v>104</v>
      </c>
      <c r="AB112" s="228" t="s">
        <v>596</v>
      </c>
      <c r="AC112" s="230">
        <v>3</v>
      </c>
      <c r="AD112" s="228" t="s">
        <v>594</v>
      </c>
      <c r="AE112" s="15">
        <v>17994</v>
      </c>
      <c r="AF112" s="224">
        <f t="shared" si="4"/>
        <v>0.67801857585139313</v>
      </c>
      <c r="AG112" s="224">
        <f t="shared" si="5"/>
        <v>0.95774647887323938</v>
      </c>
      <c r="AH112" s="224">
        <f t="shared" si="6"/>
        <v>0.61274077262455606</v>
      </c>
      <c r="AJ112" s="231">
        <v>3.2450081696428574</v>
      </c>
      <c r="AK112" s="228" t="s">
        <v>594</v>
      </c>
      <c r="AL112" s="226">
        <f t="shared" si="7"/>
        <v>0.95429565958249496</v>
      </c>
    </row>
    <row r="113" spans="1:38" x14ac:dyDescent="0.2">
      <c r="A113" s="15">
        <v>1723</v>
      </c>
      <c r="B113" s="228" t="s">
        <v>619</v>
      </c>
      <c r="C113" s="229" t="s">
        <v>623</v>
      </c>
      <c r="D113" s="228">
        <v>2240</v>
      </c>
      <c r="E113" s="228" t="s">
        <v>629</v>
      </c>
      <c r="F113" s="228" t="s">
        <v>629</v>
      </c>
      <c r="G113" s="228" t="s">
        <v>629</v>
      </c>
      <c r="H113" s="228" t="s">
        <v>629</v>
      </c>
      <c r="I113" s="228" t="s">
        <v>629</v>
      </c>
      <c r="J113" s="228" t="s">
        <v>630</v>
      </c>
      <c r="K113" s="228" t="s">
        <v>714</v>
      </c>
      <c r="L113" s="228" t="s">
        <v>645</v>
      </c>
      <c r="M113" s="228">
        <v>294</v>
      </c>
      <c r="N113" s="228" t="s">
        <v>602</v>
      </c>
      <c r="O113" s="228">
        <v>65</v>
      </c>
      <c r="P113" s="228" t="s">
        <v>602</v>
      </c>
      <c r="Q113" s="228"/>
      <c r="R113" s="228">
        <v>42355</v>
      </c>
      <c r="S113" s="228" t="s">
        <v>468</v>
      </c>
      <c r="T113" s="228" t="s">
        <v>468</v>
      </c>
      <c r="U113" s="228" t="s">
        <v>468</v>
      </c>
      <c r="V113" s="228" t="s">
        <v>468</v>
      </c>
      <c r="W113" s="228" t="s">
        <v>468</v>
      </c>
      <c r="X113" s="228" t="s">
        <v>630</v>
      </c>
      <c r="Y113" s="228" t="s">
        <v>714</v>
      </c>
      <c r="Z113" s="228" t="s">
        <v>645</v>
      </c>
      <c r="AA113" s="230">
        <v>129</v>
      </c>
      <c r="AB113" s="228" t="s">
        <v>598</v>
      </c>
      <c r="AC113" s="230">
        <v>26</v>
      </c>
      <c r="AD113" s="228" t="s">
        <v>598</v>
      </c>
      <c r="AE113" s="15">
        <v>20115</v>
      </c>
      <c r="AF113" s="224">
        <f t="shared" si="4"/>
        <v>0.56122448979591832</v>
      </c>
      <c r="AG113" s="224">
        <f t="shared" si="5"/>
        <v>0.6</v>
      </c>
      <c r="AH113" s="224">
        <f t="shared" si="6"/>
        <v>0.52508558611734146</v>
      </c>
      <c r="AJ113" s="231">
        <v>5.5026303125</v>
      </c>
      <c r="AK113" s="228" t="s">
        <v>594</v>
      </c>
      <c r="AL113" s="226">
        <f t="shared" si="7"/>
        <v>0.91534414903846151</v>
      </c>
    </row>
    <row r="114" spans="1:38" hidden="1" x14ac:dyDescent="0.2">
      <c r="A114" s="15">
        <v>156</v>
      </c>
      <c r="B114" s="228" t="s">
        <v>619</v>
      </c>
      <c r="C114" s="229" t="s">
        <v>623</v>
      </c>
      <c r="D114" s="228">
        <v>2240</v>
      </c>
      <c r="E114" s="228" t="s">
        <v>629</v>
      </c>
      <c r="F114" s="228" t="s">
        <v>629</v>
      </c>
      <c r="G114" s="228" t="s">
        <v>629</v>
      </c>
      <c r="H114" s="228" t="s">
        <v>629</v>
      </c>
      <c r="I114" s="228" t="s">
        <v>629</v>
      </c>
      <c r="J114" s="228" t="s">
        <v>630</v>
      </c>
      <c r="K114" s="228" t="s">
        <v>714</v>
      </c>
      <c r="L114" s="228" t="s">
        <v>645</v>
      </c>
      <c r="M114" s="228">
        <v>294</v>
      </c>
      <c r="N114" s="228" t="s">
        <v>602</v>
      </c>
      <c r="O114" s="228">
        <v>65</v>
      </c>
      <c r="P114" s="228" t="s">
        <v>602</v>
      </c>
      <c r="Q114" s="228"/>
      <c r="R114" s="228">
        <v>42355</v>
      </c>
      <c r="S114" s="228" t="s">
        <v>629</v>
      </c>
      <c r="T114" s="228" t="s">
        <v>629</v>
      </c>
      <c r="U114" s="228" t="s">
        <v>629</v>
      </c>
      <c r="V114" s="228" t="s">
        <v>629</v>
      </c>
      <c r="W114" s="228" t="s">
        <v>629</v>
      </c>
      <c r="X114" s="228" t="s">
        <v>630</v>
      </c>
      <c r="Y114" s="228" t="s">
        <v>714</v>
      </c>
      <c r="Z114" s="228" t="s">
        <v>198</v>
      </c>
      <c r="AA114" s="230">
        <v>259</v>
      </c>
      <c r="AB114" s="228" t="s">
        <v>602</v>
      </c>
      <c r="AC114" s="230">
        <v>57</v>
      </c>
      <c r="AD114" s="228" t="s">
        <v>602</v>
      </c>
      <c r="AE114" s="15">
        <v>37456</v>
      </c>
      <c r="AF114" s="224">
        <f t="shared" si="4"/>
        <v>0.11904761904761904</v>
      </c>
      <c r="AG114" s="224">
        <f t="shared" si="5"/>
        <v>0.12307692307692308</v>
      </c>
      <c r="AH114" s="224">
        <f t="shared" si="6"/>
        <v>0.11566521071892338</v>
      </c>
      <c r="AJ114" s="231">
        <v>11.262288705357141</v>
      </c>
      <c r="AK114" s="228" t="s">
        <v>598</v>
      </c>
      <c r="AL114" s="226">
        <f t="shared" si="7"/>
        <v>0.82673401991758244</v>
      </c>
    </row>
    <row r="115" spans="1:38" hidden="1" x14ac:dyDescent="0.2">
      <c r="A115" s="15">
        <v>154</v>
      </c>
      <c r="B115" s="228" t="s">
        <v>619</v>
      </c>
      <c r="C115" s="229" t="s">
        <v>623</v>
      </c>
      <c r="D115" s="228">
        <v>2240</v>
      </c>
      <c r="E115" s="228" t="s">
        <v>629</v>
      </c>
      <c r="F115" s="228" t="s">
        <v>629</v>
      </c>
      <c r="G115" s="228" t="s">
        <v>629</v>
      </c>
      <c r="H115" s="228" t="s">
        <v>629</v>
      </c>
      <c r="I115" s="228" t="s">
        <v>629</v>
      </c>
      <c r="J115" s="228" t="s">
        <v>630</v>
      </c>
      <c r="K115" s="228" t="s">
        <v>714</v>
      </c>
      <c r="L115" s="228" t="s">
        <v>645</v>
      </c>
      <c r="M115" s="228">
        <v>294</v>
      </c>
      <c r="N115" s="228" t="s">
        <v>602</v>
      </c>
      <c r="O115" s="228">
        <v>65</v>
      </c>
      <c r="P115" s="228" t="s">
        <v>602</v>
      </c>
      <c r="Q115" s="228"/>
      <c r="R115" s="228">
        <v>42355</v>
      </c>
      <c r="S115" s="228" t="s">
        <v>629</v>
      </c>
      <c r="T115" s="228" t="s">
        <v>629</v>
      </c>
      <c r="U115" s="228" t="s">
        <v>629</v>
      </c>
      <c r="V115" s="228" t="s">
        <v>629</v>
      </c>
      <c r="W115" s="228" t="s">
        <v>629</v>
      </c>
      <c r="X115" s="228" t="s">
        <v>636</v>
      </c>
      <c r="Y115" s="228" t="s">
        <v>714</v>
      </c>
      <c r="Z115" s="228" t="s">
        <v>198</v>
      </c>
      <c r="AA115" s="230">
        <v>238</v>
      </c>
      <c r="AB115" s="228" t="s">
        <v>600</v>
      </c>
      <c r="AC115" s="230">
        <v>52</v>
      </c>
      <c r="AD115" s="228" t="s">
        <v>602</v>
      </c>
      <c r="AE115" s="15">
        <v>34639</v>
      </c>
      <c r="AF115" s="224">
        <f>(M115-AA115)/M115</f>
        <v>0.19047619047619047</v>
      </c>
      <c r="AG115" s="224">
        <f>(O115-AC115)/O115</f>
        <v>0.2</v>
      </c>
      <c r="AH115" s="224">
        <f>(R115-AE115)/R115</f>
        <v>0.18217447762955968</v>
      </c>
      <c r="AJ115" s="231">
        <v>10.364449062499999</v>
      </c>
      <c r="AK115" s="228" t="s">
        <v>596</v>
      </c>
      <c r="AL115" s="226">
        <f t="shared" si="7"/>
        <v>0.84054693749999998</v>
      </c>
    </row>
    <row r="116" spans="1:38" s="241" customFormat="1" hidden="1" x14ac:dyDescent="0.2">
      <c r="A116" s="236"/>
      <c r="B116" s="237" t="s">
        <v>619</v>
      </c>
      <c r="C116" s="238" t="s">
        <v>623</v>
      </c>
      <c r="D116" s="237">
        <v>2240</v>
      </c>
      <c r="E116" s="237" t="s">
        <v>629</v>
      </c>
      <c r="F116" s="237" t="s">
        <v>629</v>
      </c>
      <c r="G116" s="237" t="s">
        <v>629</v>
      </c>
      <c r="H116" s="237" t="s">
        <v>629</v>
      </c>
      <c r="I116" s="237" t="s">
        <v>629</v>
      </c>
      <c r="J116" s="237" t="s">
        <v>630</v>
      </c>
      <c r="K116" s="237" t="s">
        <v>714</v>
      </c>
      <c r="L116" s="237" t="s">
        <v>645</v>
      </c>
      <c r="M116" s="237">
        <v>294</v>
      </c>
      <c r="N116" s="237" t="s">
        <v>602</v>
      </c>
      <c r="O116" s="237">
        <v>65</v>
      </c>
      <c r="P116" s="237" t="s">
        <v>602</v>
      </c>
      <c r="Q116" s="237"/>
      <c r="R116" s="237">
        <v>42355</v>
      </c>
      <c r="S116" s="237" t="s">
        <v>629</v>
      </c>
      <c r="T116" s="237" t="s">
        <v>629</v>
      </c>
      <c r="U116" s="237" t="s">
        <v>629</v>
      </c>
      <c r="V116" s="237" t="s">
        <v>629</v>
      </c>
      <c r="W116" s="237" t="s">
        <v>629</v>
      </c>
      <c r="X116" s="219" t="s">
        <v>644</v>
      </c>
      <c r="Y116" s="237" t="s">
        <v>714</v>
      </c>
      <c r="Z116" s="237" t="s">
        <v>198</v>
      </c>
      <c r="AA116" s="239">
        <v>217</v>
      </c>
      <c r="AB116" s="237" t="s">
        <v>600</v>
      </c>
      <c r="AC116" s="239">
        <v>22</v>
      </c>
      <c r="AD116" s="237" t="s">
        <v>598</v>
      </c>
      <c r="AE116" s="236" t="s">
        <v>629</v>
      </c>
      <c r="AF116" s="240">
        <f>(M116-AA116)/M116</f>
        <v>0.26190476190476192</v>
      </c>
      <c r="AG116" s="240">
        <f>(O116-AC116)/O116</f>
        <v>0.66153846153846152</v>
      </c>
      <c r="AH116" s="240" t="e">
        <f>(R116-AE116)/R116</f>
        <v>#VALUE!</v>
      </c>
      <c r="AJ116" s="242" t="e">
        <v>#N/A</v>
      </c>
      <c r="AK116" s="237" t="e">
        <v>#N/A</v>
      </c>
      <c r="AL116" s="226" t="e">
        <f t="shared" si="7"/>
        <v>#N/A</v>
      </c>
    </row>
    <row r="117" spans="1:38" hidden="1" x14ac:dyDescent="0.2">
      <c r="A117" s="15">
        <v>1090</v>
      </c>
      <c r="B117" s="228" t="s">
        <v>619</v>
      </c>
      <c r="C117" s="229" t="s">
        <v>623</v>
      </c>
      <c r="D117" s="228">
        <v>2240</v>
      </c>
      <c r="E117" s="228" t="s">
        <v>629</v>
      </c>
      <c r="F117" s="228" t="s">
        <v>629</v>
      </c>
      <c r="G117" s="228" t="s">
        <v>629</v>
      </c>
      <c r="H117" s="228" t="s">
        <v>629</v>
      </c>
      <c r="I117" s="228" t="s">
        <v>629</v>
      </c>
      <c r="J117" s="228" t="s">
        <v>630</v>
      </c>
      <c r="K117" s="228" t="s">
        <v>714</v>
      </c>
      <c r="L117" s="228" t="s">
        <v>645</v>
      </c>
      <c r="M117" s="228">
        <v>294</v>
      </c>
      <c r="N117" s="228" t="s">
        <v>602</v>
      </c>
      <c r="O117" s="228">
        <v>65</v>
      </c>
      <c r="P117" s="228" t="s">
        <v>602</v>
      </c>
      <c r="Q117" s="228"/>
      <c r="R117" s="228">
        <v>42355</v>
      </c>
      <c r="S117" s="228" t="s">
        <v>629</v>
      </c>
      <c r="T117" s="228" t="s">
        <v>629</v>
      </c>
      <c r="U117" s="228" t="s">
        <v>629</v>
      </c>
      <c r="V117" s="228" t="s">
        <v>629</v>
      </c>
      <c r="W117" s="228" t="s">
        <v>629</v>
      </c>
      <c r="X117" s="232" t="s">
        <v>639</v>
      </c>
      <c r="Y117" s="228" t="s">
        <v>714</v>
      </c>
      <c r="Z117" s="228" t="s">
        <v>198</v>
      </c>
      <c r="AA117" s="230">
        <v>222</v>
      </c>
      <c r="AB117" s="228" t="s">
        <v>600</v>
      </c>
      <c r="AC117" s="230">
        <v>7</v>
      </c>
      <c r="AD117" s="228" t="s">
        <v>596</v>
      </c>
      <c r="AE117" s="15">
        <v>35776</v>
      </c>
      <c r="AF117" s="224">
        <f>(M117-AA117)/M117</f>
        <v>0.24489795918367346</v>
      </c>
      <c r="AG117" s="224">
        <f>(O117-AC117)/O117</f>
        <v>0.89230769230769236</v>
      </c>
      <c r="AH117" s="224">
        <f>(R117-AE117)/R117</f>
        <v>0.15532994923857868</v>
      </c>
      <c r="AJ117" s="231">
        <v>7.3673190178571417</v>
      </c>
      <c r="AK117" s="228" t="s">
        <v>596</v>
      </c>
      <c r="AL117" s="226">
        <f t="shared" si="7"/>
        <v>0.88665663049450549</v>
      </c>
    </row>
    <row r="118" spans="1:38" x14ac:dyDescent="0.2">
      <c r="A118" s="15">
        <v>157</v>
      </c>
      <c r="B118" s="228" t="s">
        <v>619</v>
      </c>
      <c r="C118" s="229" t="s">
        <v>623</v>
      </c>
      <c r="D118" s="228">
        <v>2240</v>
      </c>
      <c r="E118" s="228" t="s">
        <v>629</v>
      </c>
      <c r="F118" s="228" t="s">
        <v>629</v>
      </c>
      <c r="G118" s="228" t="s">
        <v>629</v>
      </c>
      <c r="H118" s="228" t="s">
        <v>629</v>
      </c>
      <c r="I118" s="228" t="s">
        <v>629</v>
      </c>
      <c r="J118" s="228" t="s">
        <v>630</v>
      </c>
      <c r="K118" s="228" t="s">
        <v>714</v>
      </c>
      <c r="L118" s="228" t="s">
        <v>645</v>
      </c>
      <c r="M118" s="228">
        <v>294</v>
      </c>
      <c r="N118" s="228" t="s">
        <v>602</v>
      </c>
      <c r="O118" s="228">
        <v>65</v>
      </c>
      <c r="P118" s="228" t="s">
        <v>602</v>
      </c>
      <c r="Q118" s="228"/>
      <c r="R118" s="228">
        <v>42355</v>
      </c>
      <c r="S118" s="228" t="s">
        <v>468</v>
      </c>
      <c r="T118" s="228" t="s">
        <v>468</v>
      </c>
      <c r="U118" s="228" t="s">
        <v>468</v>
      </c>
      <c r="V118" s="228" t="s">
        <v>468</v>
      </c>
      <c r="W118" s="228" t="s">
        <v>468</v>
      </c>
      <c r="X118" s="228" t="s">
        <v>630</v>
      </c>
      <c r="Y118" s="228" t="s">
        <v>714</v>
      </c>
      <c r="Z118" s="228" t="s">
        <v>198</v>
      </c>
      <c r="AA118" s="230">
        <v>108</v>
      </c>
      <c r="AB118" s="228" t="s">
        <v>596</v>
      </c>
      <c r="AC118" s="230">
        <v>22</v>
      </c>
      <c r="AD118" s="228" t="s">
        <v>598</v>
      </c>
      <c r="AE118" s="15">
        <v>17273</v>
      </c>
      <c r="AF118" s="224">
        <f t="shared" ref="AF118:AF181" si="8">(M118-AA118)/M118</f>
        <v>0.63265306122448983</v>
      </c>
      <c r="AG118" s="224">
        <f t="shared" ref="AG118:AG181" si="9">(O118-AC118)/O118</f>
        <v>0.66153846153846152</v>
      </c>
      <c r="AH118" s="224">
        <f t="shared" ref="AH118:AH181" si="10">(R118-AE118)/R118</f>
        <v>0.59218510211309172</v>
      </c>
      <c r="AJ118" s="231">
        <v>4.5971495982142851</v>
      </c>
      <c r="AK118" s="228" t="s">
        <v>594</v>
      </c>
      <c r="AL118" s="226">
        <f t="shared" si="7"/>
        <v>0.9292746215659341</v>
      </c>
    </row>
    <row r="119" spans="1:38" x14ac:dyDescent="0.2">
      <c r="A119" s="15">
        <v>155</v>
      </c>
      <c r="B119" s="228" t="s">
        <v>619</v>
      </c>
      <c r="C119" s="229" t="s">
        <v>623</v>
      </c>
      <c r="D119" s="228">
        <v>2240</v>
      </c>
      <c r="E119" s="228" t="s">
        <v>629</v>
      </c>
      <c r="F119" s="228" t="s">
        <v>629</v>
      </c>
      <c r="G119" s="228" t="s">
        <v>629</v>
      </c>
      <c r="H119" s="228" t="s">
        <v>629</v>
      </c>
      <c r="I119" s="228" t="s">
        <v>629</v>
      </c>
      <c r="J119" s="228" t="s">
        <v>630</v>
      </c>
      <c r="K119" s="228" t="s">
        <v>714</v>
      </c>
      <c r="L119" s="228" t="s">
        <v>645</v>
      </c>
      <c r="M119" s="228">
        <v>294</v>
      </c>
      <c r="N119" s="228" t="s">
        <v>602</v>
      </c>
      <c r="O119" s="228">
        <v>65</v>
      </c>
      <c r="P119" s="228" t="s">
        <v>602</v>
      </c>
      <c r="Q119" s="228"/>
      <c r="R119" s="228">
        <v>42355</v>
      </c>
      <c r="S119" s="228" t="s">
        <v>468</v>
      </c>
      <c r="T119" s="228" t="s">
        <v>468</v>
      </c>
      <c r="U119" s="228" t="s">
        <v>468</v>
      </c>
      <c r="V119" s="228" t="s">
        <v>468</v>
      </c>
      <c r="W119" s="228" t="s">
        <v>468</v>
      </c>
      <c r="X119" s="228" t="s">
        <v>636</v>
      </c>
      <c r="Y119" s="228" t="s">
        <v>714</v>
      </c>
      <c r="Z119" s="228" t="s">
        <v>198</v>
      </c>
      <c r="AA119" s="230">
        <v>87</v>
      </c>
      <c r="AB119" s="228" t="s">
        <v>596</v>
      </c>
      <c r="AC119" s="230">
        <v>17</v>
      </c>
      <c r="AD119" s="228" t="s">
        <v>598</v>
      </c>
      <c r="AE119" s="15">
        <v>14527</v>
      </c>
      <c r="AF119" s="224">
        <f t="shared" si="8"/>
        <v>0.70408163265306123</v>
      </c>
      <c r="AG119" s="224">
        <f t="shared" si="9"/>
        <v>0.7384615384615385</v>
      </c>
      <c r="AH119" s="224">
        <f t="shared" si="10"/>
        <v>0.65701806162200449</v>
      </c>
      <c r="AJ119" s="231">
        <v>3.7125774553571422</v>
      </c>
      <c r="AK119" s="228" t="s">
        <v>594</v>
      </c>
      <c r="AL119" s="226">
        <f t="shared" si="7"/>
        <v>0.94288342376373624</v>
      </c>
    </row>
    <row r="120" spans="1:38" x14ac:dyDescent="0.2">
      <c r="A120" s="15">
        <v>178</v>
      </c>
      <c r="B120" s="228" t="s">
        <v>619</v>
      </c>
      <c r="C120" s="229" t="s">
        <v>623</v>
      </c>
      <c r="D120" s="228">
        <v>2240</v>
      </c>
      <c r="E120" s="228" t="s">
        <v>629</v>
      </c>
      <c r="F120" s="228" t="s">
        <v>629</v>
      </c>
      <c r="G120" s="228" t="s">
        <v>629</v>
      </c>
      <c r="H120" s="228" t="s">
        <v>629</v>
      </c>
      <c r="I120" s="228" t="s">
        <v>629</v>
      </c>
      <c r="J120" s="228" t="s">
        <v>630</v>
      </c>
      <c r="K120" s="228" t="s">
        <v>714</v>
      </c>
      <c r="L120" s="228" t="s">
        <v>645</v>
      </c>
      <c r="M120" s="228">
        <v>294</v>
      </c>
      <c r="N120" s="228" t="s">
        <v>602</v>
      </c>
      <c r="O120" s="228">
        <v>65</v>
      </c>
      <c r="P120" s="228" t="s">
        <v>602</v>
      </c>
      <c r="Q120" s="228"/>
      <c r="R120" s="228">
        <v>42355</v>
      </c>
      <c r="S120" s="228" t="s">
        <v>468</v>
      </c>
      <c r="T120" s="228" t="s">
        <v>468</v>
      </c>
      <c r="U120" s="228" t="s">
        <v>468</v>
      </c>
      <c r="V120" s="228" t="s">
        <v>468</v>
      </c>
      <c r="W120" s="228" t="s">
        <v>468</v>
      </c>
      <c r="X120" s="228" t="s">
        <v>643</v>
      </c>
      <c r="Y120" s="228" t="s">
        <v>714</v>
      </c>
      <c r="Z120" s="228" t="s">
        <v>198</v>
      </c>
      <c r="AA120" s="230">
        <v>100.13768973214285</v>
      </c>
      <c r="AB120" s="228" t="s">
        <v>596</v>
      </c>
      <c r="AC120" s="230">
        <v>9.5541227678571445</v>
      </c>
      <c r="AD120" s="228" t="s">
        <v>596</v>
      </c>
      <c r="AE120" s="15" t="s">
        <v>629</v>
      </c>
      <c r="AF120" s="224">
        <f t="shared" si="8"/>
        <v>0.65939561315597661</v>
      </c>
      <c r="AG120" s="224">
        <f t="shared" si="9"/>
        <v>0.8530134958791209</v>
      </c>
      <c r="AH120" s="224" t="e">
        <f t="shared" si="10"/>
        <v>#VALUE!</v>
      </c>
      <c r="AJ120" s="231">
        <v>3.5572086830357144</v>
      </c>
      <c r="AK120" s="228" t="s">
        <v>594</v>
      </c>
      <c r="AL120" s="226">
        <f t="shared" si="7"/>
        <v>0.94527371256868142</v>
      </c>
    </row>
    <row r="121" spans="1:38" x14ac:dyDescent="0.2">
      <c r="A121" s="15">
        <v>1091</v>
      </c>
      <c r="B121" s="228" t="s">
        <v>619</v>
      </c>
      <c r="C121" s="229" t="s">
        <v>623</v>
      </c>
      <c r="D121" s="228">
        <v>2240</v>
      </c>
      <c r="E121" s="228" t="s">
        <v>629</v>
      </c>
      <c r="F121" s="228" t="s">
        <v>629</v>
      </c>
      <c r="G121" s="228" t="s">
        <v>629</v>
      </c>
      <c r="H121" s="228" t="s">
        <v>629</v>
      </c>
      <c r="I121" s="228" t="s">
        <v>629</v>
      </c>
      <c r="J121" s="228" t="s">
        <v>630</v>
      </c>
      <c r="K121" s="228" t="s">
        <v>714</v>
      </c>
      <c r="L121" s="228" t="s">
        <v>645</v>
      </c>
      <c r="M121" s="228">
        <v>294</v>
      </c>
      <c r="N121" s="228" t="s">
        <v>602</v>
      </c>
      <c r="O121" s="228">
        <v>65</v>
      </c>
      <c r="P121" s="228" t="s">
        <v>602</v>
      </c>
      <c r="Q121" s="228"/>
      <c r="R121" s="228">
        <v>42355</v>
      </c>
      <c r="S121" s="228" t="s">
        <v>468</v>
      </c>
      <c r="T121" s="228" t="s">
        <v>468</v>
      </c>
      <c r="U121" s="228" t="s">
        <v>468</v>
      </c>
      <c r="V121" s="228" t="s">
        <v>468</v>
      </c>
      <c r="W121" s="228" t="s">
        <v>468</v>
      </c>
      <c r="X121" s="232" t="s">
        <v>639</v>
      </c>
      <c r="Y121" s="228" t="s">
        <v>714</v>
      </c>
      <c r="Z121" s="228" t="s">
        <v>198</v>
      </c>
      <c r="AA121" s="230">
        <v>95</v>
      </c>
      <c r="AB121" s="228" t="s">
        <v>596</v>
      </c>
      <c r="AC121" s="230">
        <v>2</v>
      </c>
      <c r="AD121" s="228" t="s">
        <v>594</v>
      </c>
      <c r="AE121" s="15">
        <v>16636</v>
      </c>
      <c r="AF121" s="224">
        <f t="shared" si="8"/>
        <v>0.6768707482993197</v>
      </c>
      <c r="AG121" s="224">
        <f t="shared" si="9"/>
        <v>0.96923076923076923</v>
      </c>
      <c r="AH121" s="224">
        <f t="shared" si="10"/>
        <v>0.60722464880179439</v>
      </c>
      <c r="AJ121" s="231">
        <v>2.9622195982142858</v>
      </c>
      <c r="AK121" s="228" t="s">
        <v>594</v>
      </c>
      <c r="AL121" s="226">
        <f t="shared" si="7"/>
        <v>0.95442739079670336</v>
      </c>
    </row>
    <row r="122" spans="1:38" x14ac:dyDescent="0.2">
      <c r="A122" s="15">
        <v>1724</v>
      </c>
      <c r="B122" s="228" t="s">
        <v>619</v>
      </c>
      <c r="C122" s="229" t="s">
        <v>713</v>
      </c>
      <c r="D122" s="228">
        <v>2240</v>
      </c>
      <c r="E122" s="228" t="s">
        <v>629</v>
      </c>
      <c r="F122" s="228" t="s">
        <v>629</v>
      </c>
      <c r="G122" s="228" t="s">
        <v>629</v>
      </c>
      <c r="H122" s="228" t="s">
        <v>629</v>
      </c>
      <c r="I122" s="228" t="s">
        <v>629</v>
      </c>
      <c r="J122" s="228" t="s">
        <v>630</v>
      </c>
      <c r="K122" s="228" t="s">
        <v>714</v>
      </c>
      <c r="L122" s="228" t="s">
        <v>645</v>
      </c>
      <c r="M122" s="228">
        <v>198</v>
      </c>
      <c r="N122" s="228" t="s">
        <v>600</v>
      </c>
      <c r="O122" s="228">
        <v>43</v>
      </c>
      <c r="P122" s="228" t="s">
        <v>600</v>
      </c>
      <c r="Q122" s="228"/>
      <c r="R122" s="228">
        <v>28871</v>
      </c>
      <c r="S122" s="228" t="s">
        <v>468</v>
      </c>
      <c r="T122" s="228" t="s">
        <v>468</v>
      </c>
      <c r="U122" s="228" t="s">
        <v>468</v>
      </c>
      <c r="V122" s="228" t="s">
        <v>468</v>
      </c>
      <c r="W122" s="228" t="s">
        <v>468</v>
      </c>
      <c r="X122" s="228" t="s">
        <v>630</v>
      </c>
      <c r="Y122" s="228" t="s">
        <v>714</v>
      </c>
      <c r="Z122" s="228" t="s">
        <v>645</v>
      </c>
      <c r="AA122" s="230">
        <v>91</v>
      </c>
      <c r="AB122" s="228" t="s">
        <v>596</v>
      </c>
      <c r="AC122" s="230">
        <v>18</v>
      </c>
      <c r="AD122" s="228" t="s">
        <v>598</v>
      </c>
      <c r="AE122" s="15">
        <v>14804</v>
      </c>
      <c r="AF122" s="224">
        <f t="shared" si="8"/>
        <v>0.54040404040404044</v>
      </c>
      <c r="AG122" s="224">
        <f t="shared" si="9"/>
        <v>0.58139534883720934</v>
      </c>
      <c r="AH122" s="224">
        <f t="shared" si="10"/>
        <v>0.48723632711024906</v>
      </c>
      <c r="AJ122" s="231">
        <v>3.8551362946428576</v>
      </c>
      <c r="AK122" s="228" t="s">
        <v>594</v>
      </c>
      <c r="AL122" s="226">
        <f t="shared" si="7"/>
        <v>0.91034566756644508</v>
      </c>
    </row>
    <row r="123" spans="1:38" hidden="1" x14ac:dyDescent="0.2">
      <c r="A123" s="15">
        <v>252</v>
      </c>
      <c r="B123" s="228" t="s">
        <v>619</v>
      </c>
      <c r="C123" s="229" t="s">
        <v>713</v>
      </c>
      <c r="D123" s="228">
        <v>2240</v>
      </c>
      <c r="E123" s="228" t="s">
        <v>629</v>
      </c>
      <c r="F123" s="228" t="s">
        <v>629</v>
      </c>
      <c r="G123" s="228" t="s">
        <v>629</v>
      </c>
      <c r="H123" s="228" t="s">
        <v>629</v>
      </c>
      <c r="I123" s="228" t="s">
        <v>629</v>
      </c>
      <c r="J123" s="228" t="s">
        <v>630</v>
      </c>
      <c r="K123" s="228" t="s">
        <v>714</v>
      </c>
      <c r="L123" s="228" t="s">
        <v>645</v>
      </c>
      <c r="M123" s="228">
        <v>198</v>
      </c>
      <c r="N123" s="228" t="s">
        <v>600</v>
      </c>
      <c r="O123" s="228">
        <v>43</v>
      </c>
      <c r="P123" s="228" t="s">
        <v>600</v>
      </c>
      <c r="Q123" s="228"/>
      <c r="R123" s="228">
        <v>28871</v>
      </c>
      <c r="S123" s="228" t="s">
        <v>629</v>
      </c>
      <c r="T123" s="228" t="s">
        <v>629</v>
      </c>
      <c r="U123" s="228" t="s">
        <v>629</v>
      </c>
      <c r="V123" s="228" t="s">
        <v>629</v>
      </c>
      <c r="W123" s="228" t="s">
        <v>629</v>
      </c>
      <c r="X123" s="228" t="s">
        <v>630</v>
      </c>
      <c r="Y123" s="228" t="s">
        <v>714</v>
      </c>
      <c r="Z123" s="228" t="s">
        <v>198</v>
      </c>
      <c r="AA123" s="230">
        <v>173</v>
      </c>
      <c r="AB123" s="228" t="s">
        <v>598</v>
      </c>
      <c r="AC123" s="230">
        <v>37</v>
      </c>
      <c r="AD123" s="228" t="s">
        <v>600</v>
      </c>
      <c r="AE123" s="15">
        <v>25442</v>
      </c>
      <c r="AF123" s="224">
        <f t="shared" si="8"/>
        <v>0.12626262626262627</v>
      </c>
      <c r="AG123" s="224">
        <f t="shared" si="9"/>
        <v>0.13953488372093023</v>
      </c>
      <c r="AH123" s="224">
        <f t="shared" si="10"/>
        <v>0.11876969969865955</v>
      </c>
      <c r="AJ123" s="231">
        <v>7.5190012946428562</v>
      </c>
      <c r="AK123" s="228" t="s">
        <v>596</v>
      </c>
      <c r="AL123" s="226">
        <f t="shared" si="7"/>
        <v>0.8251395047757476</v>
      </c>
    </row>
    <row r="124" spans="1:38" hidden="1" x14ac:dyDescent="0.2">
      <c r="A124" s="15">
        <v>250</v>
      </c>
      <c r="B124" s="228" t="s">
        <v>619</v>
      </c>
      <c r="C124" s="229" t="s">
        <v>713</v>
      </c>
      <c r="D124" s="228">
        <v>2240</v>
      </c>
      <c r="E124" s="228" t="s">
        <v>629</v>
      </c>
      <c r="F124" s="228" t="s">
        <v>629</v>
      </c>
      <c r="G124" s="228" t="s">
        <v>629</v>
      </c>
      <c r="H124" s="228" t="s">
        <v>629</v>
      </c>
      <c r="I124" s="228" t="s">
        <v>629</v>
      </c>
      <c r="J124" s="228" t="s">
        <v>630</v>
      </c>
      <c r="K124" s="228" t="s">
        <v>714</v>
      </c>
      <c r="L124" s="228" t="s">
        <v>645</v>
      </c>
      <c r="M124" s="228">
        <v>198</v>
      </c>
      <c r="N124" s="228" t="s">
        <v>600</v>
      </c>
      <c r="O124" s="228">
        <v>43</v>
      </c>
      <c r="P124" s="228" t="s">
        <v>600</v>
      </c>
      <c r="Q124" s="228"/>
      <c r="R124" s="228">
        <v>28871</v>
      </c>
      <c r="S124" s="228" t="s">
        <v>629</v>
      </c>
      <c r="T124" s="228" t="s">
        <v>629</v>
      </c>
      <c r="U124" s="228" t="s">
        <v>629</v>
      </c>
      <c r="V124" s="228" t="s">
        <v>629</v>
      </c>
      <c r="W124" s="228" t="s">
        <v>629</v>
      </c>
      <c r="X124" s="228" t="s">
        <v>636</v>
      </c>
      <c r="Y124" s="228" t="s">
        <v>714</v>
      </c>
      <c r="Z124" s="228" t="s">
        <v>198</v>
      </c>
      <c r="AA124" s="230">
        <v>150</v>
      </c>
      <c r="AB124" s="228" t="s">
        <v>598</v>
      </c>
      <c r="AC124" s="230">
        <v>32</v>
      </c>
      <c r="AD124" s="228" t="s">
        <v>600</v>
      </c>
      <c r="AE124" s="15">
        <v>22307</v>
      </c>
      <c r="AF124" s="224">
        <f t="shared" si="8"/>
        <v>0.24242424242424243</v>
      </c>
      <c r="AG124" s="224">
        <f t="shared" si="9"/>
        <v>0.2558139534883721</v>
      </c>
      <c r="AH124" s="224">
        <f t="shared" si="10"/>
        <v>0.22735617055176474</v>
      </c>
      <c r="AJ124" s="231">
        <v>6.5199105803571431</v>
      </c>
      <c r="AK124" s="228" t="s">
        <v>596</v>
      </c>
      <c r="AL124" s="226">
        <f>(O124-AJ124)/O124</f>
        <v>0.84837417254983394</v>
      </c>
    </row>
    <row r="125" spans="1:38" s="241" customFormat="1" hidden="1" x14ac:dyDescent="0.2">
      <c r="A125" s="236" t="e">
        <v>#N/A</v>
      </c>
      <c r="B125" s="237" t="s">
        <v>619</v>
      </c>
      <c r="C125" s="238" t="s">
        <v>713</v>
      </c>
      <c r="D125" s="237">
        <v>2240</v>
      </c>
      <c r="E125" s="237" t="s">
        <v>629</v>
      </c>
      <c r="F125" s="237" t="s">
        <v>629</v>
      </c>
      <c r="G125" s="237" t="s">
        <v>629</v>
      </c>
      <c r="H125" s="237" t="s">
        <v>629</v>
      </c>
      <c r="I125" s="237" t="s">
        <v>629</v>
      </c>
      <c r="J125" s="237" t="s">
        <v>630</v>
      </c>
      <c r="K125" s="237" t="s">
        <v>714</v>
      </c>
      <c r="L125" s="237" t="s">
        <v>645</v>
      </c>
      <c r="M125" s="237">
        <v>198</v>
      </c>
      <c r="N125" s="237" t="s">
        <v>600</v>
      </c>
      <c r="O125" s="237">
        <v>43</v>
      </c>
      <c r="P125" s="237" t="s">
        <v>600</v>
      </c>
      <c r="Q125" s="237"/>
      <c r="R125" s="237">
        <v>28871</v>
      </c>
      <c r="S125" s="237" t="s">
        <v>629</v>
      </c>
      <c r="T125" s="237" t="s">
        <v>629</v>
      </c>
      <c r="U125" s="237" t="s">
        <v>629</v>
      </c>
      <c r="V125" s="237" t="s">
        <v>629</v>
      </c>
      <c r="W125" s="237" t="s">
        <v>629</v>
      </c>
      <c r="X125" s="219" t="s">
        <v>644</v>
      </c>
      <c r="Y125" s="237" t="s">
        <v>714</v>
      </c>
      <c r="Z125" s="237" t="s">
        <v>198</v>
      </c>
      <c r="AA125" s="239">
        <v>137</v>
      </c>
      <c r="AB125" s="237" t="s">
        <v>598</v>
      </c>
      <c r="AC125" s="239">
        <v>14</v>
      </c>
      <c r="AD125" s="237" t="s">
        <v>598</v>
      </c>
      <c r="AE125" s="236" t="s">
        <v>629</v>
      </c>
      <c r="AF125" s="224">
        <f t="shared" si="8"/>
        <v>0.30808080808080807</v>
      </c>
      <c r="AG125" s="224">
        <f t="shared" si="9"/>
        <v>0.67441860465116277</v>
      </c>
      <c r="AH125" s="224" t="e">
        <f t="shared" si="10"/>
        <v>#VALUE!</v>
      </c>
      <c r="AJ125" s="242">
        <v>5</v>
      </c>
      <c r="AK125" s="237" t="s">
        <v>594</v>
      </c>
      <c r="AL125" s="226">
        <f>(O125-AJ125)/O125</f>
        <v>0.88372093023255816</v>
      </c>
    </row>
    <row r="126" spans="1:38" hidden="1" x14ac:dyDescent="0.2">
      <c r="A126" s="15">
        <v>1111</v>
      </c>
      <c r="B126" s="228" t="s">
        <v>619</v>
      </c>
      <c r="C126" s="229" t="s">
        <v>713</v>
      </c>
      <c r="D126" s="228">
        <v>2240</v>
      </c>
      <c r="E126" s="228" t="s">
        <v>629</v>
      </c>
      <c r="F126" s="228" t="s">
        <v>629</v>
      </c>
      <c r="G126" s="228" t="s">
        <v>629</v>
      </c>
      <c r="H126" s="228" t="s">
        <v>629</v>
      </c>
      <c r="I126" s="228" t="s">
        <v>629</v>
      </c>
      <c r="J126" s="228" t="s">
        <v>630</v>
      </c>
      <c r="K126" s="228" t="s">
        <v>714</v>
      </c>
      <c r="L126" s="228" t="s">
        <v>645</v>
      </c>
      <c r="M126" s="228">
        <v>198</v>
      </c>
      <c r="N126" s="228" t="s">
        <v>600</v>
      </c>
      <c r="O126" s="228">
        <v>43</v>
      </c>
      <c r="P126" s="228" t="s">
        <v>600</v>
      </c>
      <c r="Q126" s="228"/>
      <c r="R126" s="228">
        <v>28871</v>
      </c>
      <c r="S126" s="228" t="s">
        <v>629</v>
      </c>
      <c r="T126" s="228" t="s">
        <v>629</v>
      </c>
      <c r="U126" s="228" t="s">
        <v>629</v>
      </c>
      <c r="V126" s="228" t="s">
        <v>629</v>
      </c>
      <c r="W126" s="228" t="s">
        <v>629</v>
      </c>
      <c r="X126" s="232" t="s">
        <v>639</v>
      </c>
      <c r="Y126" s="228" t="s">
        <v>714</v>
      </c>
      <c r="Z126" s="228" t="s">
        <v>198</v>
      </c>
      <c r="AA126" s="230">
        <v>132</v>
      </c>
      <c r="AB126" s="228" t="s">
        <v>598</v>
      </c>
      <c r="AC126" s="230">
        <v>4</v>
      </c>
      <c r="AD126" s="228" t="s">
        <v>594</v>
      </c>
      <c r="AE126" s="15">
        <v>21570</v>
      </c>
      <c r="AF126" s="224">
        <f t="shared" si="8"/>
        <v>0.33333333333333331</v>
      </c>
      <c r="AG126" s="224">
        <f t="shared" si="9"/>
        <v>0.90697674418604646</v>
      </c>
      <c r="AH126" s="224">
        <f t="shared" si="10"/>
        <v>0.25288351633126666</v>
      </c>
      <c r="AJ126" s="231">
        <v>4.3271802232142855</v>
      </c>
      <c r="AK126" s="228" t="s">
        <v>594</v>
      </c>
      <c r="AL126" s="226">
        <f t="shared" ref="AL126:AL189" si="11">(O126-AJ126)/O126</f>
        <v>0.89936790178571435</v>
      </c>
    </row>
    <row r="127" spans="1:38" x14ac:dyDescent="0.2">
      <c r="A127" s="15">
        <v>253</v>
      </c>
      <c r="B127" s="228" t="s">
        <v>619</v>
      </c>
      <c r="C127" s="229" t="s">
        <v>713</v>
      </c>
      <c r="D127" s="228">
        <v>2240</v>
      </c>
      <c r="E127" s="228" t="s">
        <v>629</v>
      </c>
      <c r="F127" s="228" t="s">
        <v>629</v>
      </c>
      <c r="G127" s="228" t="s">
        <v>629</v>
      </c>
      <c r="H127" s="228" t="s">
        <v>629</v>
      </c>
      <c r="I127" s="228" t="s">
        <v>629</v>
      </c>
      <c r="J127" s="228" t="s">
        <v>630</v>
      </c>
      <c r="K127" s="228" t="s">
        <v>714</v>
      </c>
      <c r="L127" s="228" t="s">
        <v>645</v>
      </c>
      <c r="M127" s="228">
        <v>198</v>
      </c>
      <c r="N127" s="228" t="s">
        <v>600</v>
      </c>
      <c r="O127" s="228">
        <v>43</v>
      </c>
      <c r="P127" s="228" t="s">
        <v>600</v>
      </c>
      <c r="Q127" s="228"/>
      <c r="R127" s="228">
        <v>28871</v>
      </c>
      <c r="S127" s="228" t="s">
        <v>468</v>
      </c>
      <c r="T127" s="228" t="s">
        <v>468</v>
      </c>
      <c r="U127" s="228" t="s">
        <v>468</v>
      </c>
      <c r="V127" s="228" t="s">
        <v>468</v>
      </c>
      <c r="W127" s="228" t="s">
        <v>468</v>
      </c>
      <c r="X127" s="228" t="s">
        <v>630</v>
      </c>
      <c r="Y127" s="228" t="s">
        <v>714</v>
      </c>
      <c r="Z127" s="228" t="s">
        <v>198</v>
      </c>
      <c r="AA127" s="230">
        <v>78</v>
      </c>
      <c r="AB127" s="228" t="s">
        <v>596</v>
      </c>
      <c r="AC127" s="230">
        <v>15</v>
      </c>
      <c r="AD127" s="228" t="s">
        <v>598</v>
      </c>
      <c r="AE127" s="15">
        <v>13057</v>
      </c>
      <c r="AF127" s="224">
        <f t="shared" si="8"/>
        <v>0.60606060606060608</v>
      </c>
      <c r="AG127" s="224">
        <f t="shared" si="9"/>
        <v>0.65116279069767447</v>
      </c>
      <c r="AH127" s="224">
        <f t="shared" si="10"/>
        <v>0.5477468740258391</v>
      </c>
      <c r="AJ127" s="231">
        <v>3.2509118303571425</v>
      </c>
      <c r="AK127" s="228" t="s">
        <v>594</v>
      </c>
      <c r="AL127" s="226">
        <f t="shared" si="11"/>
        <v>0.92439739929401998</v>
      </c>
    </row>
    <row r="128" spans="1:38" x14ac:dyDescent="0.2">
      <c r="A128" s="15">
        <v>251</v>
      </c>
      <c r="B128" s="228" t="s">
        <v>619</v>
      </c>
      <c r="C128" s="229" t="s">
        <v>713</v>
      </c>
      <c r="D128" s="228">
        <v>2240</v>
      </c>
      <c r="E128" s="228" t="s">
        <v>629</v>
      </c>
      <c r="F128" s="228" t="s">
        <v>629</v>
      </c>
      <c r="G128" s="228" t="s">
        <v>629</v>
      </c>
      <c r="H128" s="228" t="s">
        <v>629</v>
      </c>
      <c r="I128" s="228" t="s">
        <v>629</v>
      </c>
      <c r="J128" s="228" t="s">
        <v>630</v>
      </c>
      <c r="K128" s="228" t="s">
        <v>714</v>
      </c>
      <c r="L128" s="228" t="s">
        <v>645</v>
      </c>
      <c r="M128" s="228">
        <v>198</v>
      </c>
      <c r="N128" s="228" t="s">
        <v>600</v>
      </c>
      <c r="O128" s="228">
        <v>43</v>
      </c>
      <c r="P128" s="228" t="s">
        <v>600</v>
      </c>
      <c r="Q128" s="228"/>
      <c r="R128" s="228">
        <v>28871</v>
      </c>
      <c r="S128" s="228" t="s">
        <v>468</v>
      </c>
      <c r="T128" s="228" t="s">
        <v>468</v>
      </c>
      <c r="U128" s="228" t="s">
        <v>468</v>
      </c>
      <c r="V128" s="228" t="s">
        <v>468</v>
      </c>
      <c r="W128" s="228" t="s">
        <v>468</v>
      </c>
      <c r="X128" s="228" t="s">
        <v>636</v>
      </c>
      <c r="Y128" s="228" t="s">
        <v>714</v>
      </c>
      <c r="Z128" s="228" t="s">
        <v>198</v>
      </c>
      <c r="AA128" s="230">
        <v>55</v>
      </c>
      <c r="AB128" s="228" t="s">
        <v>594</v>
      </c>
      <c r="AC128" s="230">
        <v>10</v>
      </c>
      <c r="AD128" s="228" t="s">
        <v>596</v>
      </c>
      <c r="AE128" s="15">
        <v>9922</v>
      </c>
      <c r="AF128" s="224">
        <f t="shared" si="8"/>
        <v>0.72222222222222221</v>
      </c>
      <c r="AG128" s="224">
        <f t="shared" si="9"/>
        <v>0.76744186046511631</v>
      </c>
      <c r="AH128" s="224">
        <f t="shared" si="10"/>
        <v>0.65633334487894424</v>
      </c>
      <c r="AJ128" s="231">
        <v>2.2518211160714281</v>
      </c>
      <c r="AK128" s="228" t="s">
        <v>594</v>
      </c>
      <c r="AL128" s="226">
        <f t="shared" si="11"/>
        <v>0.94763206706810632</v>
      </c>
    </row>
    <row r="129" spans="1:38" x14ac:dyDescent="0.2">
      <c r="A129" s="15">
        <v>274</v>
      </c>
      <c r="B129" s="228" t="s">
        <v>619</v>
      </c>
      <c r="C129" s="229" t="s">
        <v>713</v>
      </c>
      <c r="D129" s="228">
        <v>2240</v>
      </c>
      <c r="E129" s="228" t="s">
        <v>629</v>
      </c>
      <c r="F129" s="228" t="s">
        <v>629</v>
      </c>
      <c r="G129" s="228" t="s">
        <v>629</v>
      </c>
      <c r="H129" s="228" t="s">
        <v>629</v>
      </c>
      <c r="I129" s="228" t="s">
        <v>629</v>
      </c>
      <c r="J129" s="228" t="s">
        <v>630</v>
      </c>
      <c r="K129" s="228" t="s">
        <v>714</v>
      </c>
      <c r="L129" s="228" t="s">
        <v>645</v>
      </c>
      <c r="M129" s="228">
        <v>198</v>
      </c>
      <c r="N129" s="228" t="s">
        <v>600</v>
      </c>
      <c r="O129" s="228">
        <v>43</v>
      </c>
      <c r="P129" s="228" t="s">
        <v>600</v>
      </c>
      <c r="Q129" s="228"/>
      <c r="R129" s="228">
        <v>28871</v>
      </c>
      <c r="S129" s="228" t="s">
        <v>468</v>
      </c>
      <c r="T129" s="228" t="s">
        <v>468</v>
      </c>
      <c r="U129" s="228" t="s">
        <v>468</v>
      </c>
      <c r="V129" s="228" t="s">
        <v>468</v>
      </c>
      <c r="W129" s="228" t="s">
        <v>468</v>
      </c>
      <c r="X129" s="228" t="s">
        <v>715</v>
      </c>
      <c r="Y129" s="228" t="s">
        <v>714</v>
      </c>
      <c r="Z129" s="228" t="s">
        <v>198</v>
      </c>
      <c r="AA129" s="230">
        <v>68.880783482142846</v>
      </c>
      <c r="AB129" s="228" t="s">
        <v>594</v>
      </c>
      <c r="AC129" s="230">
        <v>7.0915779910714285</v>
      </c>
      <c r="AD129" s="228" t="s">
        <v>596</v>
      </c>
      <c r="AE129" s="15" t="s">
        <v>629</v>
      </c>
      <c r="AF129" s="224">
        <f t="shared" si="8"/>
        <v>0.65211725514069274</v>
      </c>
      <c r="AG129" s="224">
        <f t="shared" si="9"/>
        <v>0.83507958160299001</v>
      </c>
      <c r="AH129" s="224" t="e">
        <f t="shared" si="10"/>
        <v>#VALUE!</v>
      </c>
      <c r="AJ129" s="231">
        <v>2.4459800223214287</v>
      </c>
      <c r="AK129" s="228" t="s">
        <v>594</v>
      </c>
      <c r="AL129" s="226">
        <f t="shared" si="11"/>
        <v>0.94311674366694354</v>
      </c>
    </row>
    <row r="130" spans="1:38" x14ac:dyDescent="0.2">
      <c r="A130" s="15">
        <v>1112</v>
      </c>
      <c r="B130" s="228" t="s">
        <v>619</v>
      </c>
      <c r="C130" s="229" t="s">
        <v>713</v>
      </c>
      <c r="D130" s="228">
        <v>2240</v>
      </c>
      <c r="E130" s="228" t="s">
        <v>629</v>
      </c>
      <c r="F130" s="228" t="s">
        <v>629</v>
      </c>
      <c r="G130" s="228" t="s">
        <v>629</v>
      </c>
      <c r="H130" s="228" t="s">
        <v>629</v>
      </c>
      <c r="I130" s="228" t="s">
        <v>629</v>
      </c>
      <c r="J130" s="228" t="s">
        <v>630</v>
      </c>
      <c r="K130" s="228" t="s">
        <v>714</v>
      </c>
      <c r="L130" s="228" t="s">
        <v>645</v>
      </c>
      <c r="M130" s="228">
        <v>198</v>
      </c>
      <c r="N130" s="228" t="s">
        <v>600</v>
      </c>
      <c r="O130" s="228">
        <v>43</v>
      </c>
      <c r="P130" s="228" t="s">
        <v>600</v>
      </c>
      <c r="Q130" s="228"/>
      <c r="R130" s="228">
        <v>28871</v>
      </c>
      <c r="S130" s="228" t="s">
        <v>468</v>
      </c>
      <c r="T130" s="228" t="s">
        <v>468</v>
      </c>
      <c r="U130" s="228" t="s">
        <v>468</v>
      </c>
      <c r="V130" s="228" t="s">
        <v>468</v>
      </c>
      <c r="W130" s="228" t="s">
        <v>468</v>
      </c>
      <c r="X130" s="232" t="s">
        <v>639</v>
      </c>
      <c r="Y130" s="228" t="s">
        <v>714</v>
      </c>
      <c r="Z130" s="228" t="s">
        <v>198</v>
      </c>
      <c r="AA130" s="230">
        <v>62</v>
      </c>
      <c r="AB130" s="228" t="s">
        <v>594</v>
      </c>
      <c r="AC130" s="230">
        <v>1</v>
      </c>
      <c r="AD130" s="228" t="s">
        <v>594</v>
      </c>
      <c r="AE130" s="15">
        <v>11383</v>
      </c>
      <c r="AF130" s="224">
        <f t="shared" si="8"/>
        <v>0.68686868686868685</v>
      </c>
      <c r="AG130" s="224">
        <f t="shared" si="9"/>
        <v>0.97674418604651159</v>
      </c>
      <c r="AH130" s="224">
        <f t="shared" si="10"/>
        <v>0.60572893214644452</v>
      </c>
      <c r="AJ130" s="231">
        <v>1.8915880803571428</v>
      </c>
      <c r="AK130" s="228" t="s">
        <v>594</v>
      </c>
      <c r="AL130" s="226">
        <f t="shared" si="11"/>
        <v>0.95600957952657806</v>
      </c>
    </row>
    <row r="131" spans="1:38" hidden="1" x14ac:dyDescent="0.2">
      <c r="A131" s="15">
        <v>5</v>
      </c>
      <c r="B131" s="228" t="s">
        <v>617</v>
      </c>
      <c r="C131" s="229" t="s">
        <v>711</v>
      </c>
      <c r="D131" s="228">
        <v>6530</v>
      </c>
      <c r="E131" s="228" t="s">
        <v>629</v>
      </c>
      <c r="F131" s="228" t="s">
        <v>629</v>
      </c>
      <c r="G131" s="228" t="s">
        <v>629</v>
      </c>
      <c r="H131" s="228" t="s">
        <v>629</v>
      </c>
      <c r="I131" s="228" t="s">
        <v>629</v>
      </c>
      <c r="J131" s="228" t="s">
        <v>626</v>
      </c>
      <c r="K131" s="233" t="s">
        <v>712</v>
      </c>
      <c r="L131" s="228" t="s">
        <v>645</v>
      </c>
      <c r="M131" s="228">
        <v>284</v>
      </c>
      <c r="N131" s="228" t="s">
        <v>602</v>
      </c>
      <c r="O131" s="228">
        <v>62</v>
      </c>
      <c r="P131" s="228" t="s">
        <v>602</v>
      </c>
      <c r="Q131" s="234"/>
      <c r="R131" s="228">
        <v>143747</v>
      </c>
      <c r="S131" s="228" t="s">
        <v>629</v>
      </c>
      <c r="T131" s="228" t="s">
        <v>629</v>
      </c>
      <c r="U131" s="228" t="s">
        <v>629</v>
      </c>
      <c r="V131" s="228" t="s">
        <v>629</v>
      </c>
      <c r="W131" s="228" t="s">
        <v>629</v>
      </c>
      <c r="X131" s="228" t="s">
        <v>626</v>
      </c>
      <c r="Y131" s="228" t="s">
        <v>712</v>
      </c>
      <c r="Z131" s="228" t="s">
        <v>198</v>
      </c>
      <c r="AA131" s="230">
        <v>236</v>
      </c>
      <c r="AB131" s="228" t="s">
        <v>600</v>
      </c>
      <c r="AC131" s="230">
        <v>51</v>
      </c>
      <c r="AD131" s="228" t="s">
        <v>602</v>
      </c>
      <c r="AE131" s="15">
        <v>123566</v>
      </c>
      <c r="AF131" s="224">
        <f t="shared" si="8"/>
        <v>0.16901408450704225</v>
      </c>
      <c r="AG131" s="224">
        <f t="shared" si="9"/>
        <v>0.17741935483870969</v>
      </c>
      <c r="AH131" s="224">
        <f t="shared" si="10"/>
        <v>0.14039249514772481</v>
      </c>
      <c r="AJ131" s="231">
        <v>10.238506784073506</v>
      </c>
      <c r="AK131" s="228" t="s">
        <v>596</v>
      </c>
      <c r="AL131" s="226">
        <f t="shared" si="11"/>
        <v>0.83486279380526596</v>
      </c>
    </row>
    <row r="132" spans="1:38" hidden="1" x14ac:dyDescent="0.2">
      <c r="A132" s="15">
        <v>8</v>
      </c>
      <c r="B132" s="228" t="s">
        <v>617</v>
      </c>
      <c r="C132" s="229" t="s">
        <v>711</v>
      </c>
      <c r="D132" s="228">
        <v>6530</v>
      </c>
      <c r="E132" s="228" t="s">
        <v>629</v>
      </c>
      <c r="F132" s="228" t="s">
        <v>629</v>
      </c>
      <c r="G132" s="228" t="s">
        <v>629</v>
      </c>
      <c r="H132" s="228" t="s">
        <v>629</v>
      </c>
      <c r="I132" s="228" t="s">
        <v>629</v>
      </c>
      <c r="J132" s="228" t="s">
        <v>626</v>
      </c>
      <c r="K132" s="233" t="s">
        <v>712</v>
      </c>
      <c r="L132" s="228" t="s">
        <v>645</v>
      </c>
      <c r="M132" s="228">
        <v>284</v>
      </c>
      <c r="N132" s="228" t="s">
        <v>602</v>
      </c>
      <c r="O132" s="228">
        <v>62</v>
      </c>
      <c r="P132" s="228" t="s">
        <v>602</v>
      </c>
      <c r="Q132" s="234"/>
      <c r="R132" s="228">
        <v>143747</v>
      </c>
      <c r="S132" s="228" t="s">
        <v>629</v>
      </c>
      <c r="T132" s="228" t="s">
        <v>629</v>
      </c>
      <c r="U132" s="228" t="s">
        <v>629</v>
      </c>
      <c r="V132" s="228" t="s">
        <v>629</v>
      </c>
      <c r="W132" s="228" t="s">
        <v>629</v>
      </c>
      <c r="X132" s="228" t="s">
        <v>637</v>
      </c>
      <c r="Y132" s="228" t="s">
        <v>712</v>
      </c>
      <c r="Z132" s="228" t="s">
        <v>198</v>
      </c>
      <c r="AA132" s="230">
        <v>216</v>
      </c>
      <c r="AB132" s="228" t="s">
        <v>600</v>
      </c>
      <c r="AC132" s="230">
        <v>44</v>
      </c>
      <c r="AD132" s="228" t="s">
        <v>600</v>
      </c>
      <c r="AE132" s="15">
        <v>120837</v>
      </c>
      <c r="AF132" s="224">
        <f t="shared" si="8"/>
        <v>0.23943661971830985</v>
      </c>
      <c r="AG132" s="224">
        <f t="shared" si="9"/>
        <v>0.29032258064516131</v>
      </c>
      <c r="AH132" s="224">
        <f t="shared" si="10"/>
        <v>0.15937723917716543</v>
      </c>
      <c r="AJ132" s="231">
        <v>9.1450222511485446</v>
      </c>
      <c r="AK132" s="228" t="s">
        <v>596</v>
      </c>
      <c r="AL132" s="226">
        <f t="shared" si="11"/>
        <v>0.85249964111050736</v>
      </c>
    </row>
    <row r="133" spans="1:38" x14ac:dyDescent="0.2">
      <c r="A133" s="15">
        <v>7</v>
      </c>
      <c r="B133" s="228" t="s">
        <v>617</v>
      </c>
      <c r="C133" s="229" t="s">
        <v>711</v>
      </c>
      <c r="D133" s="228">
        <v>6530</v>
      </c>
      <c r="E133" s="228" t="s">
        <v>629</v>
      </c>
      <c r="F133" s="228" t="s">
        <v>629</v>
      </c>
      <c r="G133" s="228" t="s">
        <v>629</v>
      </c>
      <c r="H133" s="228" t="s">
        <v>629</v>
      </c>
      <c r="I133" s="228" t="s">
        <v>629</v>
      </c>
      <c r="J133" s="228" t="s">
        <v>626</v>
      </c>
      <c r="K133" s="233" t="s">
        <v>712</v>
      </c>
      <c r="L133" s="228" t="s">
        <v>645</v>
      </c>
      <c r="M133" s="228">
        <v>284</v>
      </c>
      <c r="N133" s="228" t="s">
        <v>602</v>
      </c>
      <c r="O133" s="228">
        <v>62</v>
      </c>
      <c r="P133" s="228" t="s">
        <v>602</v>
      </c>
      <c r="Q133" s="234"/>
      <c r="R133" s="228">
        <v>143747</v>
      </c>
      <c r="S133" s="228" t="s">
        <v>468</v>
      </c>
      <c r="T133" s="228" t="s">
        <v>468</v>
      </c>
      <c r="U133" s="228" t="s">
        <v>468</v>
      </c>
      <c r="V133" s="228" t="s">
        <v>468</v>
      </c>
      <c r="W133" s="228" t="s">
        <v>468</v>
      </c>
      <c r="X133" s="228" t="s">
        <v>626</v>
      </c>
      <c r="Y133" s="228" t="s">
        <v>712</v>
      </c>
      <c r="Z133" s="228" t="s">
        <v>198</v>
      </c>
      <c r="AA133" s="230">
        <v>99</v>
      </c>
      <c r="AB133" s="228" t="s">
        <v>596</v>
      </c>
      <c r="AC133" s="230">
        <v>19</v>
      </c>
      <c r="AD133" s="228" t="s">
        <v>598</v>
      </c>
      <c r="AE133" s="15">
        <v>67458</v>
      </c>
      <c r="AF133" s="224">
        <f t="shared" si="8"/>
        <v>0.65140845070422537</v>
      </c>
      <c r="AG133" s="224">
        <f t="shared" si="9"/>
        <v>0.69354838709677424</v>
      </c>
      <c r="AH133" s="224">
        <f t="shared" si="10"/>
        <v>0.53071716279296266</v>
      </c>
      <c r="AJ133" s="231">
        <v>4.1168809954058192</v>
      </c>
      <c r="AK133" s="228" t="s">
        <v>594</v>
      </c>
      <c r="AL133" s="226">
        <f t="shared" si="11"/>
        <v>0.93359869362248671</v>
      </c>
    </row>
    <row r="134" spans="1:38" x14ac:dyDescent="0.2">
      <c r="A134" s="15">
        <v>6</v>
      </c>
      <c r="B134" s="228" t="s">
        <v>617</v>
      </c>
      <c r="C134" s="229" t="s">
        <v>711</v>
      </c>
      <c r="D134" s="228">
        <v>6530</v>
      </c>
      <c r="E134" s="228" t="s">
        <v>629</v>
      </c>
      <c r="F134" s="228" t="s">
        <v>629</v>
      </c>
      <c r="G134" s="228" t="s">
        <v>629</v>
      </c>
      <c r="H134" s="228" t="s">
        <v>629</v>
      </c>
      <c r="I134" s="228" t="s">
        <v>629</v>
      </c>
      <c r="J134" s="228" t="s">
        <v>626</v>
      </c>
      <c r="K134" s="235" t="s">
        <v>712</v>
      </c>
      <c r="L134" s="228" t="s">
        <v>645</v>
      </c>
      <c r="M134" s="228">
        <v>284</v>
      </c>
      <c r="N134" s="228" t="s">
        <v>602</v>
      </c>
      <c r="O134" s="228">
        <v>62</v>
      </c>
      <c r="P134" s="228" t="s">
        <v>602</v>
      </c>
      <c r="Q134" s="234"/>
      <c r="R134" s="228">
        <v>143747</v>
      </c>
      <c r="S134" s="228" t="s">
        <v>468</v>
      </c>
      <c r="T134" s="228" t="s">
        <v>468</v>
      </c>
      <c r="U134" s="228" t="s">
        <v>468</v>
      </c>
      <c r="V134" s="228" t="s">
        <v>468</v>
      </c>
      <c r="W134" s="228" t="s">
        <v>468</v>
      </c>
      <c r="X134" s="228" t="s">
        <v>626</v>
      </c>
      <c r="Y134" s="228" t="s">
        <v>712</v>
      </c>
      <c r="Z134" s="228" t="s">
        <v>645</v>
      </c>
      <c r="AA134" s="230">
        <v>128</v>
      </c>
      <c r="AB134" s="228" t="s">
        <v>598</v>
      </c>
      <c r="AC134" s="230">
        <v>25</v>
      </c>
      <c r="AD134" s="228" t="s">
        <v>598</v>
      </c>
      <c r="AE134" s="15">
        <v>79377</v>
      </c>
      <c r="AF134" s="224">
        <f t="shared" si="8"/>
        <v>0.54929577464788737</v>
      </c>
      <c r="AG134" s="224">
        <f t="shared" si="9"/>
        <v>0.59677419354838712</v>
      </c>
      <c r="AH134" s="224">
        <f t="shared" si="10"/>
        <v>0.44780064975269052</v>
      </c>
      <c r="AJ134" s="231">
        <v>5.3461520520673815</v>
      </c>
      <c r="AK134" s="228" t="s">
        <v>594</v>
      </c>
      <c r="AL134" s="226">
        <f t="shared" si="11"/>
        <v>0.91377174109568737</v>
      </c>
    </row>
    <row r="135" spans="1:38" x14ac:dyDescent="0.2">
      <c r="A135" s="15">
        <v>9</v>
      </c>
      <c r="B135" s="228" t="s">
        <v>617</v>
      </c>
      <c r="C135" s="229" t="s">
        <v>711</v>
      </c>
      <c r="D135" s="228">
        <v>6530</v>
      </c>
      <c r="E135" s="228" t="s">
        <v>629</v>
      </c>
      <c r="F135" s="228" t="s">
        <v>629</v>
      </c>
      <c r="G135" s="228" t="s">
        <v>629</v>
      </c>
      <c r="H135" s="228" t="s">
        <v>629</v>
      </c>
      <c r="I135" s="228" t="s">
        <v>629</v>
      </c>
      <c r="J135" s="228" t="s">
        <v>626</v>
      </c>
      <c r="K135" s="233" t="s">
        <v>712</v>
      </c>
      <c r="L135" s="228" t="s">
        <v>645</v>
      </c>
      <c r="M135" s="228">
        <v>284</v>
      </c>
      <c r="N135" s="228" t="s">
        <v>602</v>
      </c>
      <c r="O135" s="228">
        <v>62</v>
      </c>
      <c r="P135" s="228" t="s">
        <v>602</v>
      </c>
      <c r="Q135" s="234"/>
      <c r="R135" s="228">
        <v>143747</v>
      </c>
      <c r="S135" s="228" t="s">
        <v>468</v>
      </c>
      <c r="T135" s="228" t="s">
        <v>468</v>
      </c>
      <c r="U135" s="228" t="s">
        <v>468</v>
      </c>
      <c r="V135" s="228" t="s">
        <v>468</v>
      </c>
      <c r="W135" s="228" t="s">
        <v>468</v>
      </c>
      <c r="X135" s="228" t="s">
        <v>637</v>
      </c>
      <c r="Y135" s="228" t="s">
        <v>712</v>
      </c>
      <c r="Z135" s="228" t="s">
        <v>198</v>
      </c>
      <c r="AA135" s="230">
        <v>79</v>
      </c>
      <c r="AB135" s="228" t="s">
        <v>596</v>
      </c>
      <c r="AC135" s="230">
        <v>11</v>
      </c>
      <c r="AD135" s="228" t="s">
        <v>598</v>
      </c>
      <c r="AE135" s="15">
        <v>56087</v>
      </c>
      <c r="AF135" s="224">
        <f t="shared" si="8"/>
        <v>0.721830985915493</v>
      </c>
      <c r="AG135" s="224">
        <f t="shared" si="9"/>
        <v>0.82258064516129037</v>
      </c>
      <c r="AH135" s="224">
        <f t="shared" si="10"/>
        <v>0.60982142236011883</v>
      </c>
      <c r="AJ135" s="231">
        <v>3.016430949464012</v>
      </c>
      <c r="AK135" s="228" t="s">
        <v>594</v>
      </c>
      <c r="AL135" s="226">
        <f t="shared" si="11"/>
        <v>0.95134788791187086</v>
      </c>
    </row>
    <row r="136" spans="1:38" hidden="1" x14ac:dyDescent="0.2">
      <c r="A136" s="15">
        <v>1140</v>
      </c>
      <c r="B136" s="228" t="s">
        <v>617</v>
      </c>
      <c r="C136" s="229" t="s">
        <v>623</v>
      </c>
      <c r="D136" s="228">
        <v>6530</v>
      </c>
      <c r="E136" s="228" t="s">
        <v>629</v>
      </c>
      <c r="F136" s="228" t="s">
        <v>629</v>
      </c>
      <c r="G136" s="228" t="s">
        <v>629</v>
      </c>
      <c r="H136" s="228" t="s">
        <v>629</v>
      </c>
      <c r="I136" s="228" t="s">
        <v>629</v>
      </c>
      <c r="J136" s="228" t="s">
        <v>626</v>
      </c>
      <c r="K136" s="233" t="s">
        <v>712</v>
      </c>
      <c r="L136" s="228" t="s">
        <v>645</v>
      </c>
      <c r="M136" s="228">
        <v>257</v>
      </c>
      <c r="N136" s="228" t="s">
        <v>602</v>
      </c>
      <c r="O136" s="228">
        <v>56</v>
      </c>
      <c r="P136" s="228" t="s">
        <v>602</v>
      </c>
      <c r="Q136" s="234"/>
      <c r="R136" s="228">
        <v>132389</v>
      </c>
      <c r="S136" s="228" t="s">
        <v>629</v>
      </c>
      <c r="T136" s="228" t="s">
        <v>629</v>
      </c>
      <c r="U136" s="228" t="s">
        <v>629</v>
      </c>
      <c r="V136" s="228" t="s">
        <v>629</v>
      </c>
      <c r="W136" s="228" t="s">
        <v>629</v>
      </c>
      <c r="X136" s="228" t="s">
        <v>626</v>
      </c>
      <c r="Y136" s="228" t="s">
        <v>712</v>
      </c>
      <c r="Z136" s="228" t="s">
        <v>198</v>
      </c>
      <c r="AA136" s="230">
        <v>214</v>
      </c>
      <c r="AB136" s="228" t="s">
        <v>600</v>
      </c>
      <c r="AC136" s="230">
        <v>46</v>
      </c>
      <c r="AD136" s="228" t="s">
        <v>600</v>
      </c>
      <c r="AE136" s="15">
        <v>113965</v>
      </c>
      <c r="AF136" s="224">
        <f t="shared" si="8"/>
        <v>0.16731517509727625</v>
      </c>
      <c r="AG136" s="224">
        <f t="shared" si="9"/>
        <v>0.17857142857142858</v>
      </c>
      <c r="AH136" s="224">
        <f t="shared" si="10"/>
        <v>0.13916564064990294</v>
      </c>
      <c r="AJ136" s="231">
        <v>9.2448327718223577</v>
      </c>
      <c r="AK136" s="228" t="s">
        <v>596</v>
      </c>
      <c r="AL136" s="226">
        <f t="shared" si="11"/>
        <v>0.83491370050317215</v>
      </c>
    </row>
    <row r="137" spans="1:38" hidden="1" x14ac:dyDescent="0.2">
      <c r="A137" s="15">
        <v>1143</v>
      </c>
      <c r="B137" s="228" t="s">
        <v>617</v>
      </c>
      <c r="C137" s="229" t="s">
        <v>623</v>
      </c>
      <c r="D137" s="228">
        <v>6530</v>
      </c>
      <c r="E137" s="228" t="s">
        <v>629</v>
      </c>
      <c r="F137" s="228" t="s">
        <v>629</v>
      </c>
      <c r="G137" s="228" t="s">
        <v>629</v>
      </c>
      <c r="H137" s="228" t="s">
        <v>629</v>
      </c>
      <c r="I137" s="228" t="s">
        <v>629</v>
      </c>
      <c r="J137" s="228" t="s">
        <v>626</v>
      </c>
      <c r="K137" s="233" t="s">
        <v>712</v>
      </c>
      <c r="L137" s="228" t="s">
        <v>645</v>
      </c>
      <c r="M137" s="228">
        <v>257</v>
      </c>
      <c r="N137" s="228" t="s">
        <v>602</v>
      </c>
      <c r="O137" s="228">
        <v>56</v>
      </c>
      <c r="P137" s="228" t="s">
        <v>602</v>
      </c>
      <c r="Q137" s="234"/>
      <c r="R137" s="228">
        <v>132389</v>
      </c>
      <c r="S137" s="228" t="s">
        <v>629</v>
      </c>
      <c r="T137" s="228" t="s">
        <v>629</v>
      </c>
      <c r="U137" s="228" t="s">
        <v>629</v>
      </c>
      <c r="V137" s="228" t="s">
        <v>629</v>
      </c>
      <c r="W137" s="228" t="s">
        <v>629</v>
      </c>
      <c r="X137" s="228" t="s">
        <v>637</v>
      </c>
      <c r="Y137" s="228" t="s">
        <v>712</v>
      </c>
      <c r="Z137" s="228" t="s">
        <v>198</v>
      </c>
      <c r="AA137" s="230">
        <v>194</v>
      </c>
      <c r="AB137" s="228" t="s">
        <v>600</v>
      </c>
      <c r="AC137" s="230">
        <v>39</v>
      </c>
      <c r="AD137" s="228" t="s">
        <v>600</v>
      </c>
      <c r="AE137" s="15">
        <v>111248</v>
      </c>
      <c r="AF137" s="224">
        <f t="shared" si="8"/>
        <v>0.24513618677042801</v>
      </c>
      <c r="AG137" s="224">
        <f t="shared" si="9"/>
        <v>0.30357142857142855</v>
      </c>
      <c r="AH137" s="224">
        <f t="shared" si="10"/>
        <v>0.1596884937570342</v>
      </c>
      <c r="AJ137" s="231">
        <v>8.1801562480857584</v>
      </c>
      <c r="AK137" s="228" t="s">
        <v>596</v>
      </c>
      <c r="AL137" s="226">
        <f t="shared" si="11"/>
        <v>0.85392578128418284</v>
      </c>
    </row>
    <row r="138" spans="1:38" x14ac:dyDescent="0.2">
      <c r="A138" s="15">
        <v>1142</v>
      </c>
      <c r="B138" s="228" t="s">
        <v>617</v>
      </c>
      <c r="C138" s="229" t="s">
        <v>623</v>
      </c>
      <c r="D138" s="228">
        <v>6530</v>
      </c>
      <c r="E138" s="228" t="s">
        <v>629</v>
      </c>
      <c r="F138" s="228" t="s">
        <v>629</v>
      </c>
      <c r="G138" s="228" t="s">
        <v>629</v>
      </c>
      <c r="H138" s="228" t="s">
        <v>629</v>
      </c>
      <c r="I138" s="228" t="s">
        <v>629</v>
      </c>
      <c r="J138" s="228" t="s">
        <v>626</v>
      </c>
      <c r="K138" s="233" t="s">
        <v>712</v>
      </c>
      <c r="L138" s="228" t="s">
        <v>645</v>
      </c>
      <c r="M138" s="228">
        <v>257</v>
      </c>
      <c r="N138" s="228" t="s">
        <v>602</v>
      </c>
      <c r="O138" s="228">
        <v>56</v>
      </c>
      <c r="P138" s="228" t="s">
        <v>602</v>
      </c>
      <c r="Q138" s="234"/>
      <c r="R138" s="228">
        <v>132389</v>
      </c>
      <c r="S138" s="228" t="s">
        <v>468</v>
      </c>
      <c r="T138" s="228" t="s">
        <v>468</v>
      </c>
      <c r="U138" s="228" t="s">
        <v>468</v>
      </c>
      <c r="V138" s="228" t="s">
        <v>468</v>
      </c>
      <c r="W138" s="228" t="s">
        <v>468</v>
      </c>
      <c r="X138" s="228" t="s">
        <v>626</v>
      </c>
      <c r="Y138" s="228" t="s">
        <v>712</v>
      </c>
      <c r="Z138" s="228" t="s">
        <v>198</v>
      </c>
      <c r="AA138" s="230">
        <v>91</v>
      </c>
      <c r="AB138" s="228" t="s">
        <v>596</v>
      </c>
      <c r="AC138" s="230">
        <v>17</v>
      </c>
      <c r="AD138" s="228" t="s">
        <v>598</v>
      </c>
      <c r="AE138" s="15">
        <v>63152</v>
      </c>
      <c r="AF138" s="224">
        <f t="shared" si="8"/>
        <v>0.64591439688715957</v>
      </c>
      <c r="AG138" s="224">
        <f t="shared" si="9"/>
        <v>0.6964285714285714</v>
      </c>
      <c r="AH138" s="224">
        <f t="shared" si="10"/>
        <v>0.52298151659125758</v>
      </c>
      <c r="AJ138" s="231">
        <v>3.7486491883614086</v>
      </c>
      <c r="AK138" s="228" t="s">
        <v>594</v>
      </c>
      <c r="AL138" s="226">
        <f t="shared" si="11"/>
        <v>0.93305983592211761</v>
      </c>
    </row>
    <row r="139" spans="1:38" x14ac:dyDescent="0.2">
      <c r="A139" s="15">
        <v>1141</v>
      </c>
      <c r="B139" s="228" t="s">
        <v>617</v>
      </c>
      <c r="C139" s="229" t="s">
        <v>623</v>
      </c>
      <c r="D139" s="228">
        <v>6530</v>
      </c>
      <c r="E139" s="228" t="s">
        <v>629</v>
      </c>
      <c r="F139" s="228" t="s">
        <v>629</v>
      </c>
      <c r="G139" s="228" t="s">
        <v>629</v>
      </c>
      <c r="H139" s="228" t="s">
        <v>629</v>
      </c>
      <c r="I139" s="228" t="s">
        <v>629</v>
      </c>
      <c r="J139" s="228" t="s">
        <v>626</v>
      </c>
      <c r="K139" s="235" t="s">
        <v>712</v>
      </c>
      <c r="L139" s="228" t="s">
        <v>645</v>
      </c>
      <c r="M139" s="228">
        <v>257</v>
      </c>
      <c r="N139" s="228" t="s">
        <v>602</v>
      </c>
      <c r="O139" s="228">
        <v>56</v>
      </c>
      <c r="P139" s="228" t="s">
        <v>602</v>
      </c>
      <c r="Q139" s="234"/>
      <c r="R139" s="228">
        <v>132389</v>
      </c>
      <c r="S139" s="228" t="s">
        <v>468</v>
      </c>
      <c r="T139" s="228" t="s">
        <v>468</v>
      </c>
      <c r="U139" s="228" t="s">
        <v>468</v>
      </c>
      <c r="V139" s="228" t="s">
        <v>468</v>
      </c>
      <c r="W139" s="228" t="s">
        <v>468</v>
      </c>
      <c r="X139" s="228" t="s">
        <v>626</v>
      </c>
      <c r="Y139" s="228" t="s">
        <v>712</v>
      </c>
      <c r="Z139" s="228" t="s">
        <v>645</v>
      </c>
      <c r="AA139" s="230">
        <v>116</v>
      </c>
      <c r="AB139" s="228" t="s">
        <v>598</v>
      </c>
      <c r="AC139" s="230">
        <v>23</v>
      </c>
      <c r="AD139" s="228" t="s">
        <v>598</v>
      </c>
      <c r="AE139" s="15">
        <v>74712</v>
      </c>
      <c r="AF139" s="224">
        <f t="shared" si="8"/>
        <v>0.54863813229571989</v>
      </c>
      <c r="AG139" s="224">
        <f t="shared" si="9"/>
        <v>0.5892857142857143</v>
      </c>
      <c r="AH139" s="224">
        <f t="shared" si="10"/>
        <v>0.43566308379094942</v>
      </c>
      <c r="AJ139" s="231">
        <v>4.8574720980091879</v>
      </c>
      <c r="AK139" s="228" t="s">
        <v>594</v>
      </c>
      <c r="AL139" s="226">
        <f t="shared" si="11"/>
        <v>0.91325942682126449</v>
      </c>
    </row>
    <row r="140" spans="1:38" x14ac:dyDescent="0.2">
      <c r="A140" s="15">
        <v>1144</v>
      </c>
      <c r="B140" s="228" t="s">
        <v>617</v>
      </c>
      <c r="C140" s="229" t="s">
        <v>623</v>
      </c>
      <c r="D140" s="228">
        <v>6530</v>
      </c>
      <c r="E140" s="228" t="s">
        <v>629</v>
      </c>
      <c r="F140" s="228" t="s">
        <v>629</v>
      </c>
      <c r="G140" s="228" t="s">
        <v>629</v>
      </c>
      <c r="H140" s="228" t="s">
        <v>629</v>
      </c>
      <c r="I140" s="228" t="s">
        <v>629</v>
      </c>
      <c r="J140" s="228" t="s">
        <v>626</v>
      </c>
      <c r="K140" s="233" t="s">
        <v>712</v>
      </c>
      <c r="L140" s="228" t="s">
        <v>645</v>
      </c>
      <c r="M140" s="228">
        <v>257</v>
      </c>
      <c r="N140" s="228" t="s">
        <v>602</v>
      </c>
      <c r="O140" s="228">
        <v>56</v>
      </c>
      <c r="P140" s="228" t="s">
        <v>602</v>
      </c>
      <c r="Q140" s="234"/>
      <c r="R140" s="228">
        <v>132389</v>
      </c>
      <c r="S140" s="228" t="s">
        <v>468</v>
      </c>
      <c r="T140" s="228" t="s">
        <v>468</v>
      </c>
      <c r="U140" s="228" t="s">
        <v>468</v>
      </c>
      <c r="V140" s="228" t="s">
        <v>468</v>
      </c>
      <c r="W140" s="228" t="s">
        <v>468</v>
      </c>
      <c r="X140" s="228" t="s">
        <v>637</v>
      </c>
      <c r="Y140" s="228" t="s">
        <v>712</v>
      </c>
      <c r="Z140" s="228" t="s">
        <v>198</v>
      </c>
      <c r="AA140" s="230">
        <v>72</v>
      </c>
      <c r="AB140" s="228" t="s">
        <v>596</v>
      </c>
      <c r="AC140" s="230">
        <v>10</v>
      </c>
      <c r="AD140" s="228" t="s">
        <v>596</v>
      </c>
      <c r="AE140" s="15">
        <v>50638</v>
      </c>
      <c r="AF140" s="224">
        <f t="shared" si="8"/>
        <v>0.71984435797665369</v>
      </c>
      <c r="AG140" s="224">
        <f t="shared" si="9"/>
        <v>0.8214285714285714</v>
      </c>
      <c r="AH140" s="224">
        <f t="shared" si="10"/>
        <v>0.61750598614688534</v>
      </c>
      <c r="AJ140" s="231">
        <v>2.6910347166921897</v>
      </c>
      <c r="AK140" s="228" t="s">
        <v>594</v>
      </c>
      <c r="AL140" s="226">
        <f t="shared" si="11"/>
        <v>0.95194580863049671</v>
      </c>
    </row>
    <row r="141" spans="1:38" hidden="1" x14ac:dyDescent="0.2">
      <c r="A141" s="15">
        <v>1160</v>
      </c>
      <c r="B141" s="228" t="s">
        <v>617</v>
      </c>
      <c r="C141" s="229" t="s">
        <v>713</v>
      </c>
      <c r="D141" s="228">
        <v>6530</v>
      </c>
      <c r="E141" s="228" t="s">
        <v>629</v>
      </c>
      <c r="F141" s="228" t="s">
        <v>629</v>
      </c>
      <c r="G141" s="228" t="s">
        <v>629</v>
      </c>
      <c r="H141" s="228" t="s">
        <v>629</v>
      </c>
      <c r="I141" s="228" t="s">
        <v>629</v>
      </c>
      <c r="J141" s="228" t="s">
        <v>626</v>
      </c>
      <c r="K141" s="233" t="s">
        <v>712</v>
      </c>
      <c r="L141" s="228" t="s">
        <v>645</v>
      </c>
      <c r="M141" s="228">
        <v>175</v>
      </c>
      <c r="N141" s="228" t="s">
        <v>598</v>
      </c>
      <c r="O141" s="228">
        <v>37</v>
      </c>
      <c r="P141" s="228" t="s">
        <v>600</v>
      </c>
      <c r="Q141" s="234"/>
      <c r="R141" s="228">
        <v>97826</v>
      </c>
      <c r="S141" s="228" t="s">
        <v>629</v>
      </c>
      <c r="T141" s="228" t="s">
        <v>629</v>
      </c>
      <c r="U141" s="228" t="s">
        <v>629</v>
      </c>
      <c r="V141" s="228" t="s">
        <v>629</v>
      </c>
      <c r="W141" s="228" t="s">
        <v>629</v>
      </c>
      <c r="X141" s="228" t="s">
        <v>626</v>
      </c>
      <c r="Y141" s="228" t="s">
        <v>712</v>
      </c>
      <c r="Z141" s="228" t="s">
        <v>198</v>
      </c>
      <c r="AA141" s="230">
        <v>145</v>
      </c>
      <c r="AB141" s="228" t="s">
        <v>598</v>
      </c>
      <c r="AC141" s="230">
        <v>31</v>
      </c>
      <c r="AD141" s="228" t="s">
        <v>600</v>
      </c>
      <c r="AE141" s="15">
        <v>85148</v>
      </c>
      <c r="AF141" s="224">
        <f t="shared" si="8"/>
        <v>0.17142857142857143</v>
      </c>
      <c r="AG141" s="224">
        <f t="shared" si="9"/>
        <v>0.16216216216216217</v>
      </c>
      <c r="AH141" s="224">
        <f t="shared" si="10"/>
        <v>0.12959744853106536</v>
      </c>
      <c r="AJ141" s="231">
        <v>6.2560226493108724</v>
      </c>
      <c r="AK141" s="228" t="s">
        <v>596</v>
      </c>
      <c r="AL141" s="226">
        <f t="shared" si="11"/>
        <v>0.83091830677538181</v>
      </c>
    </row>
    <row r="142" spans="1:38" hidden="1" x14ac:dyDescent="0.2">
      <c r="A142" s="15">
        <v>1163</v>
      </c>
      <c r="B142" s="228" t="s">
        <v>617</v>
      </c>
      <c r="C142" s="229" t="s">
        <v>713</v>
      </c>
      <c r="D142" s="228">
        <v>6530</v>
      </c>
      <c r="E142" s="228" t="s">
        <v>629</v>
      </c>
      <c r="F142" s="228" t="s">
        <v>629</v>
      </c>
      <c r="G142" s="228" t="s">
        <v>629</v>
      </c>
      <c r="H142" s="228" t="s">
        <v>629</v>
      </c>
      <c r="I142" s="228" t="s">
        <v>629</v>
      </c>
      <c r="J142" s="228" t="s">
        <v>626</v>
      </c>
      <c r="K142" s="233" t="s">
        <v>712</v>
      </c>
      <c r="L142" s="228" t="s">
        <v>645</v>
      </c>
      <c r="M142" s="228">
        <v>175</v>
      </c>
      <c r="N142" s="228" t="s">
        <v>598</v>
      </c>
      <c r="O142" s="228">
        <v>37</v>
      </c>
      <c r="P142" s="228" t="s">
        <v>600</v>
      </c>
      <c r="Q142" s="234"/>
      <c r="R142" s="228">
        <v>97826</v>
      </c>
      <c r="S142" s="228" t="s">
        <v>629</v>
      </c>
      <c r="T142" s="228" t="s">
        <v>629</v>
      </c>
      <c r="U142" s="228" t="s">
        <v>629</v>
      </c>
      <c r="V142" s="228" t="s">
        <v>629</v>
      </c>
      <c r="W142" s="228" t="s">
        <v>629</v>
      </c>
      <c r="X142" s="228" t="s">
        <v>637</v>
      </c>
      <c r="Y142" s="228" t="s">
        <v>712</v>
      </c>
      <c r="Z142" s="228" t="s">
        <v>198</v>
      </c>
      <c r="AA142" s="230">
        <v>128</v>
      </c>
      <c r="AB142" s="228" t="s">
        <v>598</v>
      </c>
      <c r="AC142" s="230">
        <v>24</v>
      </c>
      <c r="AD142" s="228" t="s">
        <v>598</v>
      </c>
      <c r="AE142" s="15">
        <v>82890</v>
      </c>
      <c r="AF142" s="224">
        <f t="shared" si="8"/>
        <v>0.26857142857142857</v>
      </c>
      <c r="AG142" s="224">
        <f t="shared" si="9"/>
        <v>0.35135135135135137</v>
      </c>
      <c r="AH142" s="224">
        <f t="shared" si="10"/>
        <v>0.15267924682599718</v>
      </c>
      <c r="AJ142" s="231">
        <v>5.3386613782542112</v>
      </c>
      <c r="AK142" s="228" t="s">
        <v>594</v>
      </c>
      <c r="AL142" s="226">
        <f t="shared" si="11"/>
        <v>0.85571185464177801</v>
      </c>
    </row>
    <row r="143" spans="1:38" x14ac:dyDescent="0.2">
      <c r="A143" s="15">
        <v>1162</v>
      </c>
      <c r="B143" s="228" t="s">
        <v>617</v>
      </c>
      <c r="C143" s="229" t="s">
        <v>713</v>
      </c>
      <c r="D143" s="228">
        <v>6530</v>
      </c>
      <c r="E143" s="228" t="s">
        <v>629</v>
      </c>
      <c r="F143" s="228" t="s">
        <v>629</v>
      </c>
      <c r="G143" s="228" t="s">
        <v>629</v>
      </c>
      <c r="H143" s="228" t="s">
        <v>629</v>
      </c>
      <c r="I143" s="228" t="s">
        <v>629</v>
      </c>
      <c r="J143" s="228" t="s">
        <v>626</v>
      </c>
      <c r="K143" s="233" t="s">
        <v>712</v>
      </c>
      <c r="L143" s="228" t="s">
        <v>645</v>
      </c>
      <c r="M143" s="228">
        <v>175</v>
      </c>
      <c r="N143" s="228" t="s">
        <v>598</v>
      </c>
      <c r="O143" s="228">
        <v>37</v>
      </c>
      <c r="P143" s="228" t="s">
        <v>600</v>
      </c>
      <c r="Q143" s="234"/>
      <c r="R143" s="228">
        <v>97826</v>
      </c>
      <c r="S143" s="228" t="s">
        <v>468</v>
      </c>
      <c r="T143" s="228" t="s">
        <v>468</v>
      </c>
      <c r="U143" s="228" t="s">
        <v>468</v>
      </c>
      <c r="V143" s="228" t="s">
        <v>468</v>
      </c>
      <c r="W143" s="228" t="s">
        <v>468</v>
      </c>
      <c r="X143" s="228" t="s">
        <v>626</v>
      </c>
      <c r="Y143" s="228" t="s">
        <v>712</v>
      </c>
      <c r="Z143" s="228" t="s">
        <v>198</v>
      </c>
      <c r="AA143" s="230">
        <v>65</v>
      </c>
      <c r="AB143" s="228" t="s">
        <v>594</v>
      </c>
      <c r="AC143" s="230">
        <v>11</v>
      </c>
      <c r="AD143" s="228" t="s">
        <v>598</v>
      </c>
      <c r="AE143" s="15">
        <v>45692</v>
      </c>
      <c r="AF143" s="224">
        <f t="shared" si="8"/>
        <v>0.62857142857142856</v>
      </c>
      <c r="AG143" s="224">
        <f t="shared" si="9"/>
        <v>0.70270270270270274</v>
      </c>
      <c r="AH143" s="224">
        <f t="shared" si="10"/>
        <v>0.53292580704516179</v>
      </c>
      <c r="AJ143" s="231">
        <v>2.6553820980091887</v>
      </c>
      <c r="AK143" s="228" t="s">
        <v>594</v>
      </c>
      <c r="AL143" s="226">
        <f t="shared" si="11"/>
        <v>0.9282329162700218</v>
      </c>
    </row>
    <row r="144" spans="1:38" x14ac:dyDescent="0.2">
      <c r="A144" s="15">
        <v>1161</v>
      </c>
      <c r="B144" s="228" t="s">
        <v>617</v>
      </c>
      <c r="C144" s="229" t="s">
        <v>713</v>
      </c>
      <c r="D144" s="228">
        <v>6530</v>
      </c>
      <c r="E144" s="228" t="s">
        <v>629</v>
      </c>
      <c r="F144" s="228" t="s">
        <v>629</v>
      </c>
      <c r="G144" s="228" t="s">
        <v>629</v>
      </c>
      <c r="H144" s="228" t="s">
        <v>629</v>
      </c>
      <c r="I144" s="228" t="s">
        <v>629</v>
      </c>
      <c r="J144" s="228" t="s">
        <v>626</v>
      </c>
      <c r="K144" s="235" t="s">
        <v>712</v>
      </c>
      <c r="L144" s="228" t="s">
        <v>645</v>
      </c>
      <c r="M144" s="228">
        <v>175</v>
      </c>
      <c r="N144" s="228" t="s">
        <v>598</v>
      </c>
      <c r="O144" s="228">
        <v>37</v>
      </c>
      <c r="P144" s="228" t="s">
        <v>600</v>
      </c>
      <c r="Q144" s="234"/>
      <c r="R144" s="228">
        <v>97826</v>
      </c>
      <c r="S144" s="228" t="s">
        <v>468</v>
      </c>
      <c r="T144" s="228" t="s">
        <v>468</v>
      </c>
      <c r="U144" s="228" t="s">
        <v>468</v>
      </c>
      <c r="V144" s="228" t="s">
        <v>468</v>
      </c>
      <c r="W144" s="228" t="s">
        <v>468</v>
      </c>
      <c r="X144" s="228" t="s">
        <v>626</v>
      </c>
      <c r="Y144" s="228" t="s">
        <v>712</v>
      </c>
      <c r="Z144" s="228" t="s">
        <v>645</v>
      </c>
      <c r="AA144" s="230">
        <v>82</v>
      </c>
      <c r="AB144" s="228" t="s">
        <v>596</v>
      </c>
      <c r="AC144" s="230">
        <v>15</v>
      </c>
      <c r="AD144" s="228" t="s">
        <v>598</v>
      </c>
      <c r="AE144" s="15">
        <v>57723</v>
      </c>
      <c r="AF144" s="224">
        <f t="shared" si="8"/>
        <v>0.53142857142857147</v>
      </c>
      <c r="AG144" s="224">
        <f t="shared" si="9"/>
        <v>0.59459459459459463</v>
      </c>
      <c r="AH144" s="224">
        <f t="shared" si="10"/>
        <v>0.40994214217079306</v>
      </c>
      <c r="AJ144" s="231">
        <v>3.3842983614088822</v>
      </c>
      <c r="AK144" s="228" t="s">
        <v>594</v>
      </c>
      <c r="AL144" s="226">
        <f t="shared" si="11"/>
        <v>0.90853247671867887</v>
      </c>
    </row>
    <row r="145" spans="1:38" x14ac:dyDescent="0.2">
      <c r="A145" s="15">
        <v>1164</v>
      </c>
      <c r="B145" s="228" t="s">
        <v>617</v>
      </c>
      <c r="C145" s="229" t="s">
        <v>713</v>
      </c>
      <c r="D145" s="228">
        <v>6530</v>
      </c>
      <c r="E145" s="228" t="s">
        <v>629</v>
      </c>
      <c r="F145" s="228" t="s">
        <v>629</v>
      </c>
      <c r="G145" s="228" t="s">
        <v>629</v>
      </c>
      <c r="H145" s="228" t="s">
        <v>629</v>
      </c>
      <c r="I145" s="228" t="s">
        <v>629</v>
      </c>
      <c r="J145" s="228" t="s">
        <v>626</v>
      </c>
      <c r="K145" s="233" t="s">
        <v>712</v>
      </c>
      <c r="L145" s="228" t="s">
        <v>645</v>
      </c>
      <c r="M145" s="228">
        <v>175</v>
      </c>
      <c r="N145" s="228" t="s">
        <v>598</v>
      </c>
      <c r="O145" s="228">
        <v>37</v>
      </c>
      <c r="P145" s="228" t="s">
        <v>600</v>
      </c>
      <c r="Q145" s="234"/>
      <c r="R145" s="228">
        <v>97826</v>
      </c>
      <c r="S145" s="228" t="s">
        <v>468</v>
      </c>
      <c r="T145" s="228" t="s">
        <v>468</v>
      </c>
      <c r="U145" s="228" t="s">
        <v>468</v>
      </c>
      <c r="V145" s="228" t="s">
        <v>468</v>
      </c>
      <c r="W145" s="228" t="s">
        <v>468</v>
      </c>
      <c r="X145" s="228" t="s">
        <v>637</v>
      </c>
      <c r="Y145" s="228" t="s">
        <v>712</v>
      </c>
      <c r="Z145" s="228" t="s">
        <v>198</v>
      </c>
      <c r="AA145" s="230">
        <v>49</v>
      </c>
      <c r="AB145" s="228" t="s">
        <v>594</v>
      </c>
      <c r="AC145" s="230">
        <v>5</v>
      </c>
      <c r="AD145" s="228" t="s">
        <v>594</v>
      </c>
      <c r="AE145" s="15">
        <v>34910</v>
      </c>
      <c r="AF145" s="224">
        <f t="shared" si="8"/>
        <v>0.72</v>
      </c>
      <c r="AG145" s="224">
        <f t="shared" si="9"/>
        <v>0.86486486486486491</v>
      </c>
      <c r="AH145" s="224">
        <f t="shared" si="10"/>
        <v>0.64314190501502666</v>
      </c>
      <c r="AJ145" s="231">
        <v>1.7408040428790199</v>
      </c>
      <c r="AK145" s="228" t="s">
        <v>594</v>
      </c>
      <c r="AL145" s="226">
        <f t="shared" si="11"/>
        <v>0.95295124208435078</v>
      </c>
    </row>
    <row r="146" spans="1:38" x14ac:dyDescent="0.2">
      <c r="A146" s="15">
        <v>1603</v>
      </c>
      <c r="B146" s="228" t="s">
        <v>617</v>
      </c>
      <c r="C146" s="229" t="s">
        <v>711</v>
      </c>
      <c r="D146" s="228">
        <v>6530</v>
      </c>
      <c r="E146" s="228" t="s">
        <v>629</v>
      </c>
      <c r="F146" s="228" t="s">
        <v>629</v>
      </c>
      <c r="G146" s="228" t="s">
        <v>629</v>
      </c>
      <c r="H146" s="228" t="s">
        <v>629</v>
      </c>
      <c r="I146" s="228" t="s">
        <v>629</v>
      </c>
      <c r="J146" s="228" t="s">
        <v>630</v>
      </c>
      <c r="K146" s="228" t="s">
        <v>714</v>
      </c>
      <c r="L146" s="228" t="s">
        <v>645</v>
      </c>
      <c r="M146" s="228">
        <v>285</v>
      </c>
      <c r="N146" s="228" t="s">
        <v>602</v>
      </c>
      <c r="O146" s="228">
        <v>62</v>
      </c>
      <c r="P146" s="228" t="s">
        <v>602</v>
      </c>
      <c r="Q146" s="228"/>
      <c r="R146" s="228">
        <v>119204</v>
      </c>
      <c r="S146" s="228" t="s">
        <v>468</v>
      </c>
      <c r="T146" s="228" t="s">
        <v>468</v>
      </c>
      <c r="U146" s="228" t="s">
        <v>468</v>
      </c>
      <c r="V146" s="228" t="s">
        <v>468</v>
      </c>
      <c r="W146" s="228" t="s">
        <v>468</v>
      </c>
      <c r="X146" s="228" t="s">
        <v>630</v>
      </c>
      <c r="Y146" s="228" t="s">
        <v>714</v>
      </c>
      <c r="Z146" s="228" t="s">
        <v>645</v>
      </c>
      <c r="AA146" s="230">
        <v>120</v>
      </c>
      <c r="AB146" s="228" t="s">
        <v>598</v>
      </c>
      <c r="AC146" s="230">
        <v>24</v>
      </c>
      <c r="AD146" s="228" t="s">
        <v>598</v>
      </c>
      <c r="AE146" s="15">
        <v>55274</v>
      </c>
      <c r="AF146" s="224">
        <f t="shared" si="8"/>
        <v>0.57894736842105265</v>
      </c>
      <c r="AG146" s="224">
        <f t="shared" si="9"/>
        <v>0.61290322580645162</v>
      </c>
      <c r="AH146" s="224">
        <f t="shared" si="10"/>
        <v>0.53630750645951475</v>
      </c>
      <c r="AJ146" s="231">
        <v>5.0784471209800914</v>
      </c>
      <c r="AK146" s="228" t="s">
        <v>594</v>
      </c>
      <c r="AL146" s="226">
        <f t="shared" si="11"/>
        <v>0.9180895625648372</v>
      </c>
    </row>
    <row r="147" spans="1:38" hidden="1" x14ac:dyDescent="0.2">
      <c r="A147" s="15">
        <v>2</v>
      </c>
      <c r="B147" s="228" t="s">
        <v>617</v>
      </c>
      <c r="C147" s="229" t="s">
        <v>711</v>
      </c>
      <c r="D147" s="228">
        <v>6530</v>
      </c>
      <c r="E147" s="228" t="s">
        <v>629</v>
      </c>
      <c r="F147" s="228" t="s">
        <v>629</v>
      </c>
      <c r="G147" s="228" t="s">
        <v>629</v>
      </c>
      <c r="H147" s="228" t="s">
        <v>629</v>
      </c>
      <c r="I147" s="228" t="s">
        <v>629</v>
      </c>
      <c r="J147" s="228" t="s">
        <v>630</v>
      </c>
      <c r="K147" s="228" t="s">
        <v>714</v>
      </c>
      <c r="L147" s="228" t="s">
        <v>645</v>
      </c>
      <c r="M147" s="228">
        <v>285</v>
      </c>
      <c r="N147" s="228" t="s">
        <v>602</v>
      </c>
      <c r="O147" s="228">
        <v>62</v>
      </c>
      <c r="P147" s="228" t="s">
        <v>602</v>
      </c>
      <c r="Q147" s="228"/>
      <c r="R147" s="228">
        <v>119204</v>
      </c>
      <c r="S147" s="228" t="s">
        <v>629</v>
      </c>
      <c r="T147" s="228" t="s">
        <v>629</v>
      </c>
      <c r="U147" s="228" t="s">
        <v>629</v>
      </c>
      <c r="V147" s="228" t="s">
        <v>629</v>
      </c>
      <c r="W147" s="228" t="s">
        <v>629</v>
      </c>
      <c r="X147" s="228" t="s">
        <v>630</v>
      </c>
      <c r="Y147" s="228" t="s">
        <v>714</v>
      </c>
      <c r="Z147" s="228" t="s">
        <v>198</v>
      </c>
      <c r="AA147" s="230">
        <v>251</v>
      </c>
      <c r="AB147" s="228" t="s">
        <v>602</v>
      </c>
      <c r="AC147" s="230">
        <v>55</v>
      </c>
      <c r="AD147" s="228" t="s">
        <v>602</v>
      </c>
      <c r="AE147" s="15">
        <v>105591</v>
      </c>
      <c r="AF147" s="224">
        <f t="shared" si="8"/>
        <v>0.11929824561403508</v>
      </c>
      <c r="AG147" s="224">
        <f t="shared" si="9"/>
        <v>0.11290322580645161</v>
      </c>
      <c r="AH147" s="224">
        <f t="shared" si="10"/>
        <v>0.1141991879467132</v>
      </c>
      <c r="AJ147" s="231">
        <v>10.923927059724347</v>
      </c>
      <c r="AK147" s="228" t="s">
        <v>596</v>
      </c>
      <c r="AL147" s="226">
        <f t="shared" si="11"/>
        <v>0.82380762806896213</v>
      </c>
    </row>
    <row r="148" spans="1:38" hidden="1" x14ac:dyDescent="0.2">
      <c r="A148" s="15">
        <v>1257</v>
      </c>
      <c r="B148" s="228" t="s">
        <v>617</v>
      </c>
      <c r="C148" s="229" t="s">
        <v>711</v>
      </c>
      <c r="D148" s="228">
        <v>6530</v>
      </c>
      <c r="E148" s="228" t="s">
        <v>629</v>
      </c>
      <c r="F148" s="228" t="s">
        <v>629</v>
      </c>
      <c r="G148" s="228" t="s">
        <v>629</v>
      </c>
      <c r="H148" s="228" t="s">
        <v>629</v>
      </c>
      <c r="I148" s="228" t="s">
        <v>629</v>
      </c>
      <c r="J148" s="228" t="s">
        <v>630</v>
      </c>
      <c r="K148" s="228" t="s">
        <v>714</v>
      </c>
      <c r="L148" s="228" t="s">
        <v>645</v>
      </c>
      <c r="M148" s="228">
        <v>285</v>
      </c>
      <c r="N148" s="228" t="s">
        <v>602</v>
      </c>
      <c r="O148" s="228">
        <v>62</v>
      </c>
      <c r="P148" s="228" t="s">
        <v>602</v>
      </c>
      <c r="Q148" s="228"/>
      <c r="R148" s="228">
        <v>119204</v>
      </c>
      <c r="S148" s="228" t="s">
        <v>629</v>
      </c>
      <c r="T148" s="228" t="s">
        <v>629</v>
      </c>
      <c r="U148" s="228" t="s">
        <v>629</v>
      </c>
      <c r="V148" s="228" t="s">
        <v>629</v>
      </c>
      <c r="W148" s="228" t="s">
        <v>629</v>
      </c>
      <c r="X148" s="228" t="s">
        <v>636</v>
      </c>
      <c r="Y148" s="228" t="s">
        <v>714</v>
      </c>
      <c r="Z148" s="228" t="s">
        <v>198</v>
      </c>
      <c r="AA148" s="230">
        <v>236</v>
      </c>
      <c r="AB148" s="228" t="s">
        <v>600</v>
      </c>
      <c r="AC148" s="230">
        <v>51</v>
      </c>
      <c r="AD148" s="228" t="s">
        <v>602</v>
      </c>
      <c r="AE148" s="15">
        <v>99504</v>
      </c>
      <c r="AF148" s="224">
        <f t="shared" si="8"/>
        <v>0.17192982456140352</v>
      </c>
      <c r="AG148" s="224">
        <f t="shared" si="9"/>
        <v>0.17741935483870969</v>
      </c>
      <c r="AH148" s="224">
        <f t="shared" si="10"/>
        <v>0.16526291064058254</v>
      </c>
      <c r="AJ148" s="231">
        <v>10.25852644716692</v>
      </c>
      <c r="AK148" s="228" t="s">
        <v>596</v>
      </c>
      <c r="AL148" s="226">
        <f t="shared" si="11"/>
        <v>0.8345398960134367</v>
      </c>
    </row>
    <row r="149" spans="1:38" hidden="1" x14ac:dyDescent="0.2">
      <c r="A149" s="15">
        <v>14</v>
      </c>
      <c r="B149" s="228" t="s">
        <v>617</v>
      </c>
      <c r="C149" s="229" t="s">
        <v>711</v>
      </c>
      <c r="D149" s="228">
        <v>6530</v>
      </c>
      <c r="E149" s="228" t="s">
        <v>629</v>
      </c>
      <c r="F149" s="228" t="s">
        <v>629</v>
      </c>
      <c r="G149" s="228" t="s">
        <v>629</v>
      </c>
      <c r="H149" s="228" t="s">
        <v>629</v>
      </c>
      <c r="I149" s="228" t="s">
        <v>629</v>
      </c>
      <c r="J149" s="228" t="s">
        <v>630</v>
      </c>
      <c r="K149" s="228" t="s">
        <v>714</v>
      </c>
      <c r="L149" s="228" t="s">
        <v>645</v>
      </c>
      <c r="M149" s="228">
        <v>285</v>
      </c>
      <c r="N149" s="228" t="s">
        <v>602</v>
      </c>
      <c r="O149" s="228">
        <v>62</v>
      </c>
      <c r="P149" s="228" t="s">
        <v>602</v>
      </c>
      <c r="Q149" s="228"/>
      <c r="R149" s="228">
        <v>119204</v>
      </c>
      <c r="S149" s="228" t="s">
        <v>629</v>
      </c>
      <c r="T149" s="228" t="s">
        <v>629</v>
      </c>
      <c r="U149" s="228" t="s">
        <v>629</v>
      </c>
      <c r="V149" s="228" t="s">
        <v>629</v>
      </c>
      <c r="W149" s="228" t="s">
        <v>629</v>
      </c>
      <c r="X149" s="228" t="s">
        <v>643</v>
      </c>
      <c r="Y149" s="228" t="s">
        <v>714</v>
      </c>
      <c r="Z149" s="228" t="s">
        <v>198</v>
      </c>
      <c r="AA149" s="230">
        <v>224.90288820826953</v>
      </c>
      <c r="AB149" s="228" t="s">
        <v>600</v>
      </c>
      <c r="AC149" s="230">
        <v>19.47723436447167</v>
      </c>
      <c r="AD149" s="228" t="s">
        <v>598</v>
      </c>
      <c r="AE149" s="15" t="s">
        <v>629</v>
      </c>
      <c r="AF149" s="224">
        <f t="shared" si="8"/>
        <v>0.21086705891835253</v>
      </c>
      <c r="AG149" s="224">
        <f t="shared" si="9"/>
        <v>0.68585105863755369</v>
      </c>
      <c r="AH149" s="224" t="e">
        <f t="shared" si="10"/>
        <v>#VALUE!</v>
      </c>
      <c r="AJ149" s="231">
        <v>8.1611841500765685</v>
      </c>
      <c r="AK149" s="228" t="s">
        <v>596</v>
      </c>
      <c r="AL149" s="226">
        <f t="shared" si="11"/>
        <v>0.86836799757941019</v>
      </c>
    </row>
    <row r="150" spans="1:38" hidden="1" x14ac:dyDescent="0.2">
      <c r="A150" s="15">
        <v>1266</v>
      </c>
      <c r="B150" s="228" t="s">
        <v>617</v>
      </c>
      <c r="C150" s="229" t="s">
        <v>711</v>
      </c>
      <c r="D150" s="228">
        <v>6530</v>
      </c>
      <c r="E150" s="228" t="s">
        <v>629</v>
      </c>
      <c r="F150" s="228" t="s">
        <v>629</v>
      </c>
      <c r="G150" s="228" t="s">
        <v>629</v>
      </c>
      <c r="H150" s="228" t="s">
        <v>629</v>
      </c>
      <c r="I150" s="228" t="s">
        <v>629</v>
      </c>
      <c r="J150" s="228" t="s">
        <v>630</v>
      </c>
      <c r="K150" s="228" t="s">
        <v>714</v>
      </c>
      <c r="L150" s="228" t="s">
        <v>645</v>
      </c>
      <c r="M150" s="228">
        <v>285</v>
      </c>
      <c r="N150" s="228" t="s">
        <v>602</v>
      </c>
      <c r="O150" s="228">
        <v>62</v>
      </c>
      <c r="P150" s="228" t="s">
        <v>602</v>
      </c>
      <c r="Q150" s="228"/>
      <c r="R150" s="228">
        <v>119204</v>
      </c>
      <c r="S150" s="228" t="s">
        <v>629</v>
      </c>
      <c r="T150" s="228" t="s">
        <v>629</v>
      </c>
      <c r="U150" s="228" t="s">
        <v>629</v>
      </c>
      <c r="V150" s="228" t="s">
        <v>629</v>
      </c>
      <c r="W150" s="228" t="s">
        <v>629</v>
      </c>
      <c r="X150" s="232" t="s">
        <v>639</v>
      </c>
      <c r="Y150" s="228" t="s">
        <v>714</v>
      </c>
      <c r="Z150" s="228" t="s">
        <v>198</v>
      </c>
      <c r="AA150" s="230">
        <v>215</v>
      </c>
      <c r="AB150" s="228" t="s">
        <v>600</v>
      </c>
      <c r="AC150" s="230">
        <v>7</v>
      </c>
      <c r="AD150" s="228" t="s">
        <v>596</v>
      </c>
      <c r="AE150" s="15">
        <v>101044</v>
      </c>
      <c r="AF150" s="224">
        <f t="shared" si="8"/>
        <v>0.24561403508771928</v>
      </c>
      <c r="AG150" s="224">
        <f t="shared" si="9"/>
        <v>0.88709677419354838</v>
      </c>
      <c r="AH150" s="224">
        <f t="shared" si="10"/>
        <v>0.15234388107781618</v>
      </c>
      <c r="AJ150" s="231">
        <v>7.1237417457886671</v>
      </c>
      <c r="AK150" s="228" t="s">
        <v>596</v>
      </c>
      <c r="AL150" s="226">
        <f t="shared" si="11"/>
        <v>0.88510093958405378</v>
      </c>
    </row>
    <row r="151" spans="1:38" x14ac:dyDescent="0.2">
      <c r="A151" s="15">
        <v>3</v>
      </c>
      <c r="B151" s="228" t="s">
        <v>617</v>
      </c>
      <c r="C151" s="229" t="s">
        <v>711</v>
      </c>
      <c r="D151" s="228">
        <v>6530</v>
      </c>
      <c r="E151" s="228" t="s">
        <v>629</v>
      </c>
      <c r="F151" s="228" t="s">
        <v>629</v>
      </c>
      <c r="G151" s="228" t="s">
        <v>629</v>
      </c>
      <c r="H151" s="228" t="s">
        <v>629</v>
      </c>
      <c r="I151" s="228" t="s">
        <v>629</v>
      </c>
      <c r="J151" s="228" t="s">
        <v>630</v>
      </c>
      <c r="K151" s="228" t="s">
        <v>714</v>
      </c>
      <c r="L151" s="228" t="s">
        <v>645</v>
      </c>
      <c r="M151" s="228">
        <v>285</v>
      </c>
      <c r="N151" s="228" t="s">
        <v>602</v>
      </c>
      <c r="O151" s="228">
        <v>62</v>
      </c>
      <c r="P151" s="228" t="s">
        <v>602</v>
      </c>
      <c r="Q151" s="228"/>
      <c r="R151" s="228">
        <v>119204</v>
      </c>
      <c r="S151" s="228" t="s">
        <v>468</v>
      </c>
      <c r="T151" s="228" t="s">
        <v>468</v>
      </c>
      <c r="U151" s="228" t="s">
        <v>468</v>
      </c>
      <c r="V151" s="228" t="s">
        <v>468</v>
      </c>
      <c r="W151" s="228" t="s">
        <v>468</v>
      </c>
      <c r="X151" s="228" t="s">
        <v>630</v>
      </c>
      <c r="Y151" s="228" t="s">
        <v>714</v>
      </c>
      <c r="Z151" s="228" t="s">
        <v>198</v>
      </c>
      <c r="AA151" s="230">
        <v>108</v>
      </c>
      <c r="AB151" s="228" t="s">
        <v>596</v>
      </c>
      <c r="AC151" s="230">
        <v>21</v>
      </c>
      <c r="AD151" s="228" t="s">
        <v>598</v>
      </c>
      <c r="AE151" s="15">
        <v>49713</v>
      </c>
      <c r="AF151" s="224">
        <f t="shared" si="8"/>
        <v>0.62105263157894741</v>
      </c>
      <c r="AG151" s="224">
        <f t="shared" si="9"/>
        <v>0.66129032258064513</v>
      </c>
      <c r="AH151" s="224">
        <f t="shared" si="10"/>
        <v>0.58295862554947819</v>
      </c>
      <c r="AJ151" s="231">
        <v>4.5892185758039812</v>
      </c>
      <c r="AK151" s="228" t="s">
        <v>594</v>
      </c>
      <c r="AL151" s="226">
        <f t="shared" si="11"/>
        <v>0.92598034555154862</v>
      </c>
    </row>
    <row r="152" spans="1:38" x14ac:dyDescent="0.2">
      <c r="A152" s="15">
        <v>1258</v>
      </c>
      <c r="B152" s="228" t="s">
        <v>617</v>
      </c>
      <c r="C152" s="229" t="s">
        <v>711</v>
      </c>
      <c r="D152" s="228">
        <v>6530</v>
      </c>
      <c r="E152" s="228" t="s">
        <v>629</v>
      </c>
      <c r="F152" s="228" t="s">
        <v>629</v>
      </c>
      <c r="G152" s="228" t="s">
        <v>629</v>
      </c>
      <c r="H152" s="228" t="s">
        <v>629</v>
      </c>
      <c r="I152" s="228" t="s">
        <v>629</v>
      </c>
      <c r="J152" s="228" t="s">
        <v>630</v>
      </c>
      <c r="K152" s="228" t="s">
        <v>714</v>
      </c>
      <c r="L152" s="228" t="s">
        <v>645</v>
      </c>
      <c r="M152" s="228">
        <v>285</v>
      </c>
      <c r="N152" s="228" t="s">
        <v>602</v>
      </c>
      <c r="O152" s="228">
        <v>62</v>
      </c>
      <c r="P152" s="228" t="s">
        <v>602</v>
      </c>
      <c r="Q152" s="228"/>
      <c r="R152" s="228">
        <v>119204</v>
      </c>
      <c r="S152" s="228" t="s">
        <v>468</v>
      </c>
      <c r="T152" s="228" t="s">
        <v>468</v>
      </c>
      <c r="U152" s="228" t="s">
        <v>468</v>
      </c>
      <c r="V152" s="228" t="s">
        <v>468</v>
      </c>
      <c r="W152" s="228" t="s">
        <v>468</v>
      </c>
      <c r="X152" s="228" t="s">
        <v>636</v>
      </c>
      <c r="Y152" s="228" t="s">
        <v>714</v>
      </c>
      <c r="Z152" s="228" t="s">
        <v>198</v>
      </c>
      <c r="AA152" s="230">
        <v>93</v>
      </c>
      <c r="AB152" s="228" t="s">
        <v>596</v>
      </c>
      <c r="AC152" s="230">
        <v>18</v>
      </c>
      <c r="AD152" s="228" t="s">
        <v>598</v>
      </c>
      <c r="AE152" s="15">
        <v>43626</v>
      </c>
      <c r="AF152" s="224">
        <f t="shared" si="8"/>
        <v>0.67368421052631577</v>
      </c>
      <c r="AG152" s="224">
        <f t="shared" si="9"/>
        <v>0.70967741935483875</v>
      </c>
      <c r="AH152" s="224">
        <f t="shared" si="10"/>
        <v>0.63402234824334758</v>
      </c>
      <c r="AJ152" s="231">
        <v>3.8904850382848388</v>
      </c>
      <c r="AK152" s="228" t="s">
        <v>594</v>
      </c>
      <c r="AL152" s="226">
        <f t="shared" si="11"/>
        <v>0.93725024131798651</v>
      </c>
    </row>
    <row r="153" spans="1:38" x14ac:dyDescent="0.2">
      <c r="A153" s="15">
        <v>16</v>
      </c>
      <c r="B153" s="228" t="s">
        <v>617</v>
      </c>
      <c r="C153" s="229" t="s">
        <v>711</v>
      </c>
      <c r="D153" s="228">
        <v>6530</v>
      </c>
      <c r="E153" s="228" t="s">
        <v>629</v>
      </c>
      <c r="F153" s="228" t="s">
        <v>629</v>
      </c>
      <c r="G153" s="228" t="s">
        <v>629</v>
      </c>
      <c r="H153" s="228" t="s">
        <v>629</v>
      </c>
      <c r="I153" s="228" t="s">
        <v>629</v>
      </c>
      <c r="J153" s="228" t="s">
        <v>630</v>
      </c>
      <c r="K153" s="228" t="s">
        <v>714</v>
      </c>
      <c r="L153" s="228" t="s">
        <v>645</v>
      </c>
      <c r="M153" s="228">
        <v>285</v>
      </c>
      <c r="N153" s="228" t="s">
        <v>602</v>
      </c>
      <c r="O153" s="228">
        <v>62</v>
      </c>
      <c r="P153" s="228" t="s">
        <v>602</v>
      </c>
      <c r="Q153" s="228"/>
      <c r="R153" s="228">
        <v>119204</v>
      </c>
      <c r="S153" s="228" t="s">
        <v>468</v>
      </c>
      <c r="T153" s="228" t="s">
        <v>468</v>
      </c>
      <c r="U153" s="228" t="s">
        <v>468</v>
      </c>
      <c r="V153" s="228" t="s">
        <v>468</v>
      </c>
      <c r="W153" s="228" t="s">
        <v>468</v>
      </c>
      <c r="X153" s="228" t="s">
        <v>643</v>
      </c>
      <c r="Y153" s="228" t="s">
        <v>714</v>
      </c>
      <c r="Z153" s="228" t="s">
        <v>198</v>
      </c>
      <c r="AA153" s="230">
        <v>99.887165390505345</v>
      </c>
      <c r="AB153" s="228" t="s">
        <v>596</v>
      </c>
      <c r="AC153" s="230">
        <v>9.1187341041347629</v>
      </c>
      <c r="AD153" s="228" t="s">
        <v>596</v>
      </c>
      <c r="AE153" s="15" t="s">
        <v>629</v>
      </c>
      <c r="AF153" s="224">
        <f t="shared" si="8"/>
        <v>0.64951871792805138</v>
      </c>
      <c r="AG153" s="224">
        <f t="shared" si="9"/>
        <v>0.85292364348169747</v>
      </c>
      <c r="AH153" s="224" t="e">
        <f t="shared" si="10"/>
        <v>#VALUE!</v>
      </c>
      <c r="AJ153" s="231">
        <v>3.5266688667687598</v>
      </c>
      <c r="AK153" s="228" t="s">
        <v>594</v>
      </c>
      <c r="AL153" s="226">
        <f t="shared" si="11"/>
        <v>0.94311824408437483</v>
      </c>
    </row>
    <row r="154" spans="1:38" x14ac:dyDescent="0.2">
      <c r="A154" s="15">
        <v>1267</v>
      </c>
      <c r="B154" s="228" t="s">
        <v>617</v>
      </c>
      <c r="C154" s="229" t="s">
        <v>711</v>
      </c>
      <c r="D154" s="228">
        <v>6530</v>
      </c>
      <c r="E154" s="228" t="s">
        <v>629</v>
      </c>
      <c r="F154" s="228" t="s">
        <v>629</v>
      </c>
      <c r="G154" s="228" t="s">
        <v>629</v>
      </c>
      <c r="H154" s="228" t="s">
        <v>629</v>
      </c>
      <c r="I154" s="228" t="s">
        <v>629</v>
      </c>
      <c r="J154" s="228" t="s">
        <v>630</v>
      </c>
      <c r="K154" s="228" t="s">
        <v>714</v>
      </c>
      <c r="L154" s="228" t="s">
        <v>645</v>
      </c>
      <c r="M154" s="228">
        <v>285</v>
      </c>
      <c r="N154" s="228" t="s">
        <v>602</v>
      </c>
      <c r="O154" s="228">
        <v>62</v>
      </c>
      <c r="P154" s="228" t="s">
        <v>602</v>
      </c>
      <c r="Q154" s="228"/>
      <c r="R154" s="228">
        <v>119204</v>
      </c>
      <c r="S154" s="228" t="s">
        <v>468</v>
      </c>
      <c r="T154" s="228" t="s">
        <v>468</v>
      </c>
      <c r="U154" s="228" t="s">
        <v>468</v>
      </c>
      <c r="V154" s="228" t="s">
        <v>468</v>
      </c>
      <c r="W154" s="228" t="s">
        <v>468</v>
      </c>
      <c r="X154" s="232" t="s">
        <v>639</v>
      </c>
      <c r="Y154" s="228" t="s">
        <v>714</v>
      </c>
      <c r="Z154" s="228" t="s">
        <v>198</v>
      </c>
      <c r="AA154" s="230">
        <v>96</v>
      </c>
      <c r="AB154" s="228" t="s">
        <v>596</v>
      </c>
      <c r="AC154" s="230">
        <v>3</v>
      </c>
      <c r="AD154" s="228" t="s">
        <v>594</v>
      </c>
      <c r="AE154" s="15">
        <v>49385</v>
      </c>
      <c r="AF154" s="224">
        <f t="shared" si="8"/>
        <v>0.66315789473684206</v>
      </c>
      <c r="AG154" s="224">
        <f t="shared" si="9"/>
        <v>0.95161290322580649</v>
      </c>
      <c r="AH154" s="224">
        <f t="shared" si="10"/>
        <v>0.5857102110667427</v>
      </c>
      <c r="AJ154" s="231">
        <v>3.010259448698315</v>
      </c>
      <c r="AK154" s="228" t="s">
        <v>594</v>
      </c>
      <c r="AL154" s="226">
        <f t="shared" si="11"/>
        <v>0.9514474282468014</v>
      </c>
    </row>
    <row r="155" spans="1:38" x14ac:dyDescent="0.2">
      <c r="A155" s="15">
        <v>1281</v>
      </c>
      <c r="B155" s="228" t="s">
        <v>617</v>
      </c>
      <c r="C155" s="229" t="s">
        <v>623</v>
      </c>
      <c r="D155" s="228">
        <v>6530</v>
      </c>
      <c r="E155" s="228" t="s">
        <v>629</v>
      </c>
      <c r="F155" s="228" t="s">
        <v>629</v>
      </c>
      <c r="G155" s="228" t="s">
        <v>629</v>
      </c>
      <c r="H155" s="228" t="s">
        <v>629</v>
      </c>
      <c r="I155" s="228" t="s">
        <v>629</v>
      </c>
      <c r="J155" s="228" t="s">
        <v>630</v>
      </c>
      <c r="K155" s="228" t="s">
        <v>714</v>
      </c>
      <c r="L155" s="228" t="s">
        <v>645</v>
      </c>
      <c r="M155" s="228">
        <v>257</v>
      </c>
      <c r="N155" s="228" t="s">
        <v>602</v>
      </c>
      <c r="O155" s="228">
        <v>56</v>
      </c>
      <c r="P155" s="228" t="s">
        <v>602</v>
      </c>
      <c r="Q155" s="228"/>
      <c r="R155" s="228">
        <v>107951</v>
      </c>
      <c r="S155" s="228" t="s">
        <v>468</v>
      </c>
      <c r="T155" s="228" t="s">
        <v>468</v>
      </c>
      <c r="U155" s="228" t="s">
        <v>468</v>
      </c>
      <c r="V155" s="228" t="s">
        <v>468</v>
      </c>
      <c r="W155" s="228" t="s">
        <v>468</v>
      </c>
      <c r="X155" s="228" t="s">
        <v>630</v>
      </c>
      <c r="Y155" s="228" t="s">
        <v>714</v>
      </c>
      <c r="Z155" s="228" t="s">
        <v>645</v>
      </c>
      <c r="AA155" s="230">
        <v>110</v>
      </c>
      <c r="AB155" s="228" t="s">
        <v>598</v>
      </c>
      <c r="AC155" s="230">
        <v>22</v>
      </c>
      <c r="AD155" s="228" t="s">
        <v>598</v>
      </c>
      <c r="AE155" s="15">
        <v>50925</v>
      </c>
      <c r="AF155" s="224">
        <f t="shared" si="8"/>
        <v>0.57198443579766534</v>
      </c>
      <c r="AG155" s="224">
        <f t="shared" si="9"/>
        <v>0.6071428571428571</v>
      </c>
      <c r="AH155" s="224">
        <f t="shared" si="10"/>
        <v>0.52825819121638518</v>
      </c>
      <c r="AJ155" s="231">
        <v>4.6212947013782539</v>
      </c>
      <c r="AK155" s="228" t="s">
        <v>594</v>
      </c>
      <c r="AL155" s="226">
        <f t="shared" si="11"/>
        <v>0.91747688033253116</v>
      </c>
    </row>
    <row r="156" spans="1:38" hidden="1" x14ac:dyDescent="0.2">
      <c r="A156" s="15">
        <v>1279</v>
      </c>
      <c r="B156" s="228" t="s">
        <v>617</v>
      </c>
      <c r="C156" s="229" t="s">
        <v>623</v>
      </c>
      <c r="D156" s="228">
        <v>6530</v>
      </c>
      <c r="E156" s="228" t="s">
        <v>629</v>
      </c>
      <c r="F156" s="228" t="s">
        <v>629</v>
      </c>
      <c r="G156" s="228" t="s">
        <v>629</v>
      </c>
      <c r="H156" s="228" t="s">
        <v>629</v>
      </c>
      <c r="I156" s="228" t="s">
        <v>629</v>
      </c>
      <c r="J156" s="228" t="s">
        <v>630</v>
      </c>
      <c r="K156" s="228" t="s">
        <v>714</v>
      </c>
      <c r="L156" s="228" t="s">
        <v>645</v>
      </c>
      <c r="M156" s="228">
        <v>257</v>
      </c>
      <c r="N156" s="228" t="s">
        <v>602</v>
      </c>
      <c r="O156" s="228">
        <v>56</v>
      </c>
      <c r="P156" s="228" t="s">
        <v>602</v>
      </c>
      <c r="Q156" s="228"/>
      <c r="R156" s="228">
        <v>107951</v>
      </c>
      <c r="S156" s="228" t="s">
        <v>629</v>
      </c>
      <c r="T156" s="228" t="s">
        <v>629</v>
      </c>
      <c r="U156" s="228" t="s">
        <v>629</v>
      </c>
      <c r="V156" s="228" t="s">
        <v>629</v>
      </c>
      <c r="W156" s="228" t="s">
        <v>629</v>
      </c>
      <c r="X156" s="228" t="s">
        <v>630</v>
      </c>
      <c r="Y156" s="228" t="s">
        <v>714</v>
      </c>
      <c r="Z156" s="228" t="s">
        <v>198</v>
      </c>
      <c r="AA156" s="230">
        <v>225</v>
      </c>
      <c r="AB156" s="228" t="s">
        <v>600</v>
      </c>
      <c r="AC156" s="230">
        <v>49</v>
      </c>
      <c r="AD156" s="228" t="s">
        <v>600</v>
      </c>
      <c r="AE156" s="15">
        <v>95153</v>
      </c>
      <c r="AF156" s="224">
        <f t="shared" si="8"/>
        <v>0.1245136186770428</v>
      </c>
      <c r="AG156" s="224">
        <f t="shared" si="9"/>
        <v>0.125</v>
      </c>
      <c r="AH156" s="224">
        <f t="shared" si="10"/>
        <v>0.11855378829283657</v>
      </c>
      <c r="AJ156" s="231">
        <v>9.8075139969372138</v>
      </c>
      <c r="AK156" s="228" t="s">
        <v>596</v>
      </c>
      <c r="AL156" s="226">
        <f t="shared" si="11"/>
        <v>0.82486582148326393</v>
      </c>
    </row>
    <row r="157" spans="1:38" hidden="1" x14ac:dyDescent="0.2">
      <c r="A157" s="15">
        <v>1292</v>
      </c>
      <c r="B157" s="228" t="s">
        <v>617</v>
      </c>
      <c r="C157" s="229" t="s">
        <v>623</v>
      </c>
      <c r="D157" s="228">
        <v>6530</v>
      </c>
      <c r="E157" s="228" t="s">
        <v>629</v>
      </c>
      <c r="F157" s="228" t="s">
        <v>629</v>
      </c>
      <c r="G157" s="228" t="s">
        <v>629</v>
      </c>
      <c r="H157" s="228" t="s">
        <v>629</v>
      </c>
      <c r="I157" s="228" t="s">
        <v>629</v>
      </c>
      <c r="J157" s="228" t="s">
        <v>630</v>
      </c>
      <c r="K157" s="228" t="s">
        <v>714</v>
      </c>
      <c r="L157" s="228" t="s">
        <v>645</v>
      </c>
      <c r="M157" s="228">
        <v>257</v>
      </c>
      <c r="N157" s="228" t="s">
        <v>602</v>
      </c>
      <c r="O157" s="228">
        <v>56</v>
      </c>
      <c r="P157" s="228" t="s">
        <v>602</v>
      </c>
      <c r="Q157" s="228"/>
      <c r="R157" s="228">
        <v>107951</v>
      </c>
      <c r="S157" s="228" t="s">
        <v>629</v>
      </c>
      <c r="T157" s="228" t="s">
        <v>629</v>
      </c>
      <c r="U157" s="228" t="s">
        <v>629</v>
      </c>
      <c r="V157" s="228" t="s">
        <v>629</v>
      </c>
      <c r="W157" s="228" t="s">
        <v>629</v>
      </c>
      <c r="X157" s="228" t="s">
        <v>636</v>
      </c>
      <c r="Y157" s="228" t="s">
        <v>714</v>
      </c>
      <c r="Z157" s="228" t="s">
        <v>198</v>
      </c>
      <c r="AA157" s="230">
        <v>208</v>
      </c>
      <c r="AB157" s="228" t="s">
        <v>600</v>
      </c>
      <c r="AC157" s="230">
        <v>45</v>
      </c>
      <c r="AD157" s="228" t="s">
        <v>600</v>
      </c>
      <c r="AE157" s="15">
        <v>88026</v>
      </c>
      <c r="AF157" s="224">
        <f t="shared" si="8"/>
        <v>0.19066147859922178</v>
      </c>
      <c r="AG157" s="224">
        <f t="shared" si="9"/>
        <v>0.19642857142857142</v>
      </c>
      <c r="AH157" s="224">
        <f t="shared" si="10"/>
        <v>0.1845744828672268</v>
      </c>
      <c r="AJ157" s="231">
        <v>9.0284067381317001</v>
      </c>
      <c r="AK157" s="228" t="s">
        <v>596</v>
      </c>
      <c r="AL157" s="226">
        <f t="shared" si="11"/>
        <v>0.8387784511047911</v>
      </c>
    </row>
    <row r="158" spans="1:38" hidden="1" x14ac:dyDescent="0.2">
      <c r="A158" s="15">
        <v>1286</v>
      </c>
      <c r="B158" s="228" t="s">
        <v>617</v>
      </c>
      <c r="C158" s="229" t="s">
        <v>623</v>
      </c>
      <c r="D158" s="228">
        <v>6530</v>
      </c>
      <c r="E158" s="228" t="s">
        <v>629</v>
      </c>
      <c r="F158" s="228" t="s">
        <v>629</v>
      </c>
      <c r="G158" s="228" t="s">
        <v>629</v>
      </c>
      <c r="H158" s="228" t="s">
        <v>629</v>
      </c>
      <c r="I158" s="228" t="s">
        <v>629</v>
      </c>
      <c r="J158" s="228" t="s">
        <v>630</v>
      </c>
      <c r="K158" s="228" t="s">
        <v>714</v>
      </c>
      <c r="L158" s="228" t="s">
        <v>645</v>
      </c>
      <c r="M158" s="228">
        <v>257</v>
      </c>
      <c r="N158" s="228" t="s">
        <v>602</v>
      </c>
      <c r="O158" s="228">
        <v>56</v>
      </c>
      <c r="P158" s="228" t="s">
        <v>602</v>
      </c>
      <c r="Q158" s="228"/>
      <c r="R158" s="228">
        <v>107951</v>
      </c>
      <c r="S158" s="228" t="s">
        <v>629</v>
      </c>
      <c r="T158" s="228" t="s">
        <v>629</v>
      </c>
      <c r="U158" s="228" t="s">
        <v>629</v>
      </c>
      <c r="V158" s="228" t="s">
        <v>629</v>
      </c>
      <c r="W158" s="228" t="s">
        <v>629</v>
      </c>
      <c r="X158" s="228" t="s">
        <v>643</v>
      </c>
      <c r="Y158" s="228" t="s">
        <v>714</v>
      </c>
      <c r="Z158" s="228" t="s">
        <v>198</v>
      </c>
      <c r="AA158" s="230">
        <v>203.02372128637057</v>
      </c>
      <c r="AB158" s="228" t="s">
        <v>600</v>
      </c>
      <c r="AC158" s="230">
        <v>17.656010520673814</v>
      </c>
      <c r="AD158" s="228" t="s">
        <v>598</v>
      </c>
      <c r="AE158" s="15" t="s">
        <v>629</v>
      </c>
      <c r="AF158" s="224">
        <f t="shared" si="8"/>
        <v>0.21002443079233241</v>
      </c>
      <c r="AG158" s="224">
        <f t="shared" si="9"/>
        <v>0.68471409784511039</v>
      </c>
      <c r="AH158" s="224" t="e">
        <f t="shared" si="10"/>
        <v>#VALUE!</v>
      </c>
      <c r="AJ158" s="231">
        <v>7.3620195099540577</v>
      </c>
      <c r="AK158" s="228" t="s">
        <v>596</v>
      </c>
      <c r="AL158" s="226">
        <f t="shared" si="11"/>
        <v>0.86853536589367752</v>
      </c>
    </row>
    <row r="159" spans="1:38" hidden="1" x14ac:dyDescent="0.2">
      <c r="A159" s="15">
        <v>1301</v>
      </c>
      <c r="B159" s="228" t="s">
        <v>617</v>
      </c>
      <c r="C159" s="229" t="s">
        <v>623</v>
      </c>
      <c r="D159" s="228">
        <v>6530</v>
      </c>
      <c r="E159" s="228" t="s">
        <v>629</v>
      </c>
      <c r="F159" s="228" t="s">
        <v>629</v>
      </c>
      <c r="G159" s="228" t="s">
        <v>629</v>
      </c>
      <c r="H159" s="228" t="s">
        <v>629</v>
      </c>
      <c r="I159" s="228" t="s">
        <v>629</v>
      </c>
      <c r="J159" s="228" t="s">
        <v>630</v>
      </c>
      <c r="K159" s="228" t="s">
        <v>714</v>
      </c>
      <c r="L159" s="228" t="s">
        <v>645</v>
      </c>
      <c r="M159" s="228">
        <v>257</v>
      </c>
      <c r="N159" s="228" t="s">
        <v>602</v>
      </c>
      <c r="O159" s="228">
        <v>56</v>
      </c>
      <c r="P159" s="228" t="s">
        <v>602</v>
      </c>
      <c r="Q159" s="228"/>
      <c r="R159" s="228">
        <v>107951</v>
      </c>
      <c r="S159" s="228" t="s">
        <v>629</v>
      </c>
      <c r="T159" s="228" t="s">
        <v>629</v>
      </c>
      <c r="U159" s="228" t="s">
        <v>629</v>
      </c>
      <c r="V159" s="228" t="s">
        <v>629</v>
      </c>
      <c r="W159" s="228" t="s">
        <v>629</v>
      </c>
      <c r="X159" s="232" t="s">
        <v>639</v>
      </c>
      <c r="Y159" s="228" t="s">
        <v>714</v>
      </c>
      <c r="Z159" s="228" t="s">
        <v>198</v>
      </c>
      <c r="AA159" s="230">
        <v>194</v>
      </c>
      <c r="AB159" s="228" t="s">
        <v>600</v>
      </c>
      <c r="AC159" s="230">
        <v>6</v>
      </c>
      <c r="AD159" s="228" t="s">
        <v>596</v>
      </c>
      <c r="AE159" s="15">
        <v>91506</v>
      </c>
      <c r="AF159" s="224">
        <f t="shared" si="8"/>
        <v>0.24513618677042801</v>
      </c>
      <c r="AG159" s="224">
        <f t="shared" si="9"/>
        <v>0.8928571428571429</v>
      </c>
      <c r="AH159" s="224">
        <f t="shared" si="10"/>
        <v>0.15233763466758066</v>
      </c>
      <c r="AJ159" s="231">
        <v>6.6034739050535975</v>
      </c>
      <c r="AK159" s="228" t="s">
        <v>596</v>
      </c>
      <c r="AL159" s="226">
        <f t="shared" si="11"/>
        <v>0.8820808231240429</v>
      </c>
    </row>
    <row r="160" spans="1:38" x14ac:dyDescent="0.2">
      <c r="A160" s="15">
        <v>1280</v>
      </c>
      <c r="B160" s="228" t="s">
        <v>617</v>
      </c>
      <c r="C160" s="229" t="s">
        <v>623</v>
      </c>
      <c r="D160" s="228">
        <v>6530</v>
      </c>
      <c r="E160" s="228" t="s">
        <v>629</v>
      </c>
      <c r="F160" s="228" t="s">
        <v>629</v>
      </c>
      <c r="G160" s="228" t="s">
        <v>629</v>
      </c>
      <c r="H160" s="228" t="s">
        <v>629</v>
      </c>
      <c r="I160" s="228" t="s">
        <v>629</v>
      </c>
      <c r="J160" s="228" t="s">
        <v>630</v>
      </c>
      <c r="K160" s="228" t="s">
        <v>714</v>
      </c>
      <c r="L160" s="228" t="s">
        <v>645</v>
      </c>
      <c r="M160" s="228">
        <v>257</v>
      </c>
      <c r="N160" s="228" t="s">
        <v>602</v>
      </c>
      <c r="O160" s="228">
        <v>56</v>
      </c>
      <c r="P160" s="228" t="s">
        <v>602</v>
      </c>
      <c r="Q160" s="228"/>
      <c r="R160" s="228">
        <v>107951</v>
      </c>
      <c r="S160" s="228" t="s">
        <v>468</v>
      </c>
      <c r="T160" s="228" t="s">
        <v>468</v>
      </c>
      <c r="U160" s="228" t="s">
        <v>468</v>
      </c>
      <c r="V160" s="228" t="s">
        <v>468</v>
      </c>
      <c r="W160" s="228" t="s">
        <v>468</v>
      </c>
      <c r="X160" s="228" t="s">
        <v>630</v>
      </c>
      <c r="Y160" s="228" t="s">
        <v>714</v>
      </c>
      <c r="Z160" s="228" t="s">
        <v>198</v>
      </c>
      <c r="AA160" s="230">
        <v>98</v>
      </c>
      <c r="AB160" s="228" t="s">
        <v>596</v>
      </c>
      <c r="AC160" s="230">
        <v>19</v>
      </c>
      <c r="AD160" s="228" t="s">
        <v>598</v>
      </c>
      <c r="AE160" s="15">
        <v>46232</v>
      </c>
      <c r="AF160" s="224">
        <f t="shared" si="8"/>
        <v>0.61867704280155644</v>
      </c>
      <c r="AG160" s="224">
        <f t="shared" si="9"/>
        <v>0.6607142857142857</v>
      </c>
      <c r="AH160" s="224">
        <f t="shared" si="10"/>
        <v>0.5717316189752758</v>
      </c>
      <c r="AJ160" s="231">
        <v>4.1083308422664624</v>
      </c>
      <c r="AK160" s="228" t="s">
        <v>594</v>
      </c>
      <c r="AL160" s="226">
        <f t="shared" si="11"/>
        <v>0.92663694924524176</v>
      </c>
    </row>
    <row r="161" spans="1:38" x14ac:dyDescent="0.2">
      <c r="A161" s="15">
        <v>1293</v>
      </c>
      <c r="B161" s="228" t="s">
        <v>617</v>
      </c>
      <c r="C161" s="229" t="s">
        <v>623</v>
      </c>
      <c r="D161" s="228">
        <v>6530</v>
      </c>
      <c r="E161" s="228" t="s">
        <v>629</v>
      </c>
      <c r="F161" s="228" t="s">
        <v>629</v>
      </c>
      <c r="G161" s="228" t="s">
        <v>629</v>
      </c>
      <c r="H161" s="228" t="s">
        <v>629</v>
      </c>
      <c r="I161" s="228" t="s">
        <v>629</v>
      </c>
      <c r="J161" s="228" t="s">
        <v>630</v>
      </c>
      <c r="K161" s="228" t="s">
        <v>714</v>
      </c>
      <c r="L161" s="228" t="s">
        <v>645</v>
      </c>
      <c r="M161" s="228">
        <v>257</v>
      </c>
      <c r="N161" s="228" t="s">
        <v>602</v>
      </c>
      <c r="O161" s="228">
        <v>56</v>
      </c>
      <c r="P161" s="228" t="s">
        <v>602</v>
      </c>
      <c r="Q161" s="228"/>
      <c r="R161" s="228">
        <v>107951</v>
      </c>
      <c r="S161" s="228" t="s">
        <v>468</v>
      </c>
      <c r="T161" s="228" t="s">
        <v>468</v>
      </c>
      <c r="U161" s="228" t="s">
        <v>468</v>
      </c>
      <c r="V161" s="228" t="s">
        <v>468</v>
      </c>
      <c r="W161" s="228" t="s">
        <v>468</v>
      </c>
      <c r="X161" s="228" t="s">
        <v>636</v>
      </c>
      <c r="Y161" s="228" t="s">
        <v>714</v>
      </c>
      <c r="Z161" s="228" t="s">
        <v>198</v>
      </c>
      <c r="AA161" s="230">
        <v>81</v>
      </c>
      <c r="AB161" s="228" t="s">
        <v>596</v>
      </c>
      <c r="AC161" s="230">
        <v>15</v>
      </c>
      <c r="AD161" s="228" t="s">
        <v>598</v>
      </c>
      <c r="AE161" s="15">
        <v>38770</v>
      </c>
      <c r="AF161" s="224">
        <f t="shared" si="8"/>
        <v>0.68482490272373542</v>
      </c>
      <c r="AG161" s="224">
        <f t="shared" si="9"/>
        <v>0.7321428571428571</v>
      </c>
      <c r="AH161" s="224">
        <f t="shared" si="10"/>
        <v>0.64085557336198828</v>
      </c>
      <c r="AJ161" s="231">
        <v>3.3696095558958654</v>
      </c>
      <c r="AK161" s="228" t="s">
        <v>594</v>
      </c>
      <c r="AL161" s="226">
        <f t="shared" si="11"/>
        <v>0.9398284007875739</v>
      </c>
    </row>
    <row r="162" spans="1:38" x14ac:dyDescent="0.2">
      <c r="A162" s="243" t="e">
        <v>#N/A</v>
      </c>
      <c r="B162" s="244" t="s">
        <v>617</v>
      </c>
      <c r="C162" s="245" t="s">
        <v>623</v>
      </c>
      <c r="D162" s="228">
        <v>6530</v>
      </c>
      <c r="E162" s="244" t="s">
        <v>629</v>
      </c>
      <c r="F162" s="244" t="s">
        <v>629</v>
      </c>
      <c r="G162" s="244" t="s">
        <v>629</v>
      </c>
      <c r="H162" s="244" t="s">
        <v>629</v>
      </c>
      <c r="I162" s="244" t="s">
        <v>629</v>
      </c>
      <c r="J162" s="244" t="s">
        <v>630</v>
      </c>
      <c r="K162" s="244" t="s">
        <v>714</v>
      </c>
      <c r="L162" s="244" t="s">
        <v>645</v>
      </c>
      <c r="M162" s="244">
        <v>257</v>
      </c>
      <c r="N162" s="244" t="s">
        <v>602</v>
      </c>
      <c r="O162" s="244">
        <v>56</v>
      </c>
      <c r="P162" s="244" t="s">
        <v>602</v>
      </c>
      <c r="Q162" s="244"/>
      <c r="R162" s="244">
        <v>107951</v>
      </c>
      <c r="S162" s="244" t="s">
        <v>468</v>
      </c>
      <c r="T162" s="244" t="s">
        <v>468</v>
      </c>
      <c r="U162" s="244" t="s">
        <v>468</v>
      </c>
      <c r="V162" s="244" t="s">
        <v>468</v>
      </c>
      <c r="W162" s="244" t="s">
        <v>468</v>
      </c>
      <c r="X162" s="244" t="s">
        <v>643</v>
      </c>
      <c r="Y162" s="244" t="s">
        <v>714</v>
      </c>
      <c r="Z162" s="244" t="s">
        <v>198</v>
      </c>
      <c r="AA162" s="246" t="e">
        <v>#N/A</v>
      </c>
      <c r="AB162" s="244" t="e">
        <v>#N/A</v>
      </c>
      <c r="AC162" s="246" t="e">
        <v>#N/A</v>
      </c>
      <c r="AD162" s="244" t="e">
        <v>#N/A</v>
      </c>
      <c r="AE162" s="243" t="e">
        <v>#N/A</v>
      </c>
      <c r="AF162" s="224" t="e">
        <f t="shared" si="8"/>
        <v>#N/A</v>
      </c>
      <c r="AG162" s="224" t="e">
        <f t="shared" si="9"/>
        <v>#N/A</v>
      </c>
      <c r="AH162" s="224" t="e">
        <f t="shared" si="10"/>
        <v>#N/A</v>
      </c>
      <c r="AI162" s="48"/>
      <c r="AJ162" s="247" t="e">
        <v>#N/A</v>
      </c>
      <c r="AK162" s="244" t="e">
        <v>#N/A</v>
      </c>
      <c r="AL162" s="226" t="e">
        <f t="shared" si="11"/>
        <v>#N/A</v>
      </c>
    </row>
    <row r="163" spans="1:38" x14ac:dyDescent="0.2">
      <c r="A163" s="15">
        <v>1302</v>
      </c>
      <c r="B163" s="228" t="s">
        <v>617</v>
      </c>
      <c r="C163" s="229" t="s">
        <v>623</v>
      </c>
      <c r="D163" s="228">
        <v>6530</v>
      </c>
      <c r="E163" s="228" t="s">
        <v>629</v>
      </c>
      <c r="F163" s="228" t="s">
        <v>629</v>
      </c>
      <c r="G163" s="228" t="s">
        <v>629</v>
      </c>
      <c r="H163" s="228" t="s">
        <v>629</v>
      </c>
      <c r="I163" s="228" t="s">
        <v>629</v>
      </c>
      <c r="J163" s="228" t="s">
        <v>630</v>
      </c>
      <c r="K163" s="228" t="s">
        <v>714</v>
      </c>
      <c r="L163" s="228" t="s">
        <v>645</v>
      </c>
      <c r="M163" s="228">
        <v>257</v>
      </c>
      <c r="N163" s="228" t="s">
        <v>602</v>
      </c>
      <c r="O163" s="228">
        <v>56</v>
      </c>
      <c r="P163" s="228" t="s">
        <v>602</v>
      </c>
      <c r="Q163" s="228"/>
      <c r="R163" s="228">
        <v>107951</v>
      </c>
      <c r="S163" s="228" t="s">
        <v>468</v>
      </c>
      <c r="T163" s="228" t="s">
        <v>468</v>
      </c>
      <c r="U163" s="228" t="s">
        <v>468</v>
      </c>
      <c r="V163" s="228" t="s">
        <v>468</v>
      </c>
      <c r="W163" s="228" t="s">
        <v>468</v>
      </c>
      <c r="X163" s="232" t="s">
        <v>639</v>
      </c>
      <c r="Y163" s="228" t="s">
        <v>714</v>
      </c>
      <c r="Z163" s="228" t="s">
        <v>198</v>
      </c>
      <c r="AA163" s="230">
        <v>88</v>
      </c>
      <c r="AB163" s="228" t="s">
        <v>596</v>
      </c>
      <c r="AC163" s="230">
        <v>2</v>
      </c>
      <c r="AD163" s="228" t="s">
        <v>594</v>
      </c>
      <c r="AE163" s="15">
        <v>45627</v>
      </c>
      <c r="AF163" s="224">
        <f t="shared" si="8"/>
        <v>0.65758754863813229</v>
      </c>
      <c r="AG163" s="224">
        <f t="shared" si="9"/>
        <v>0.9642857142857143</v>
      </c>
      <c r="AH163" s="224">
        <f t="shared" si="10"/>
        <v>0.57733601356170861</v>
      </c>
      <c r="AJ163" s="231">
        <v>2.5607028483920371</v>
      </c>
      <c r="AK163" s="228" t="s">
        <v>594</v>
      </c>
      <c r="AL163" s="226">
        <f t="shared" si="11"/>
        <v>0.95427316342157076</v>
      </c>
    </row>
    <row r="164" spans="1:38" x14ac:dyDescent="0.2">
      <c r="A164" s="15">
        <v>1317</v>
      </c>
      <c r="B164" s="228" t="s">
        <v>617</v>
      </c>
      <c r="C164" s="229" t="s">
        <v>713</v>
      </c>
      <c r="D164" s="228">
        <v>6530</v>
      </c>
      <c r="E164" s="228" t="s">
        <v>629</v>
      </c>
      <c r="F164" s="228" t="s">
        <v>629</v>
      </c>
      <c r="G164" s="228" t="s">
        <v>629</v>
      </c>
      <c r="H164" s="228" t="s">
        <v>629</v>
      </c>
      <c r="I164" s="228" t="s">
        <v>629</v>
      </c>
      <c r="J164" s="228" t="s">
        <v>630</v>
      </c>
      <c r="K164" s="228" t="s">
        <v>714</v>
      </c>
      <c r="L164" s="228" t="s">
        <v>645</v>
      </c>
      <c r="M164" s="228">
        <v>176</v>
      </c>
      <c r="N164" s="228" t="s">
        <v>598</v>
      </c>
      <c r="O164" s="228">
        <v>38</v>
      </c>
      <c r="P164" s="228" t="s">
        <v>600</v>
      </c>
      <c r="Q164" s="228"/>
      <c r="R164" s="228">
        <v>74562</v>
      </c>
      <c r="S164" s="228" t="s">
        <v>468</v>
      </c>
      <c r="T164" s="228" t="s">
        <v>468</v>
      </c>
      <c r="U164" s="228" t="s">
        <v>468</v>
      </c>
      <c r="V164" s="228" t="s">
        <v>468</v>
      </c>
      <c r="W164" s="228" t="s">
        <v>468</v>
      </c>
      <c r="X164" s="228" t="s">
        <v>630</v>
      </c>
      <c r="Y164" s="228" t="s">
        <v>714</v>
      </c>
      <c r="Z164" s="228" t="s">
        <v>645</v>
      </c>
      <c r="AA164" s="230">
        <v>80</v>
      </c>
      <c r="AB164" s="228" t="s">
        <v>596</v>
      </c>
      <c r="AC164" s="230">
        <v>15</v>
      </c>
      <c r="AD164" s="228" t="s">
        <v>598</v>
      </c>
      <c r="AE164" s="15">
        <v>38457</v>
      </c>
      <c r="AF164" s="224">
        <f t="shared" si="8"/>
        <v>0.54545454545454541</v>
      </c>
      <c r="AG164" s="224">
        <f t="shared" si="9"/>
        <v>0.60526315789473684</v>
      </c>
      <c r="AH164" s="224">
        <f t="shared" si="10"/>
        <v>0.48422789088275531</v>
      </c>
      <c r="AJ164" s="231">
        <v>3.3294582388973968</v>
      </c>
      <c r="AK164" s="228" t="s">
        <v>594</v>
      </c>
      <c r="AL164" s="226">
        <f t="shared" si="11"/>
        <v>0.91238267792375272</v>
      </c>
    </row>
    <row r="165" spans="1:38" hidden="1" x14ac:dyDescent="0.2">
      <c r="A165" s="15">
        <v>1314</v>
      </c>
      <c r="B165" s="228" t="s">
        <v>617</v>
      </c>
      <c r="C165" s="229" t="s">
        <v>713</v>
      </c>
      <c r="D165" s="228">
        <v>6530</v>
      </c>
      <c r="E165" s="228" t="s">
        <v>629</v>
      </c>
      <c r="F165" s="228" t="s">
        <v>629</v>
      </c>
      <c r="G165" s="228" t="s">
        <v>629</v>
      </c>
      <c r="H165" s="228" t="s">
        <v>629</v>
      </c>
      <c r="I165" s="228" t="s">
        <v>629</v>
      </c>
      <c r="J165" s="228" t="s">
        <v>630</v>
      </c>
      <c r="K165" s="228" t="s">
        <v>714</v>
      </c>
      <c r="L165" s="228" t="s">
        <v>645</v>
      </c>
      <c r="M165" s="228">
        <v>176</v>
      </c>
      <c r="N165" s="228" t="s">
        <v>598</v>
      </c>
      <c r="O165" s="228">
        <v>38</v>
      </c>
      <c r="P165" s="228" t="s">
        <v>600</v>
      </c>
      <c r="Q165" s="228"/>
      <c r="R165" s="228">
        <v>74562</v>
      </c>
      <c r="S165" s="228" t="s">
        <v>629</v>
      </c>
      <c r="T165" s="228" t="s">
        <v>629</v>
      </c>
      <c r="U165" s="228" t="s">
        <v>629</v>
      </c>
      <c r="V165" s="228" t="s">
        <v>629</v>
      </c>
      <c r="W165" s="228" t="s">
        <v>629</v>
      </c>
      <c r="X165" s="228" t="s">
        <v>630</v>
      </c>
      <c r="Y165" s="228" t="s">
        <v>714</v>
      </c>
      <c r="Z165" s="228" t="s">
        <v>198</v>
      </c>
      <c r="AA165" s="230">
        <v>154</v>
      </c>
      <c r="AB165" s="228" t="s">
        <v>598</v>
      </c>
      <c r="AC165" s="230">
        <v>33</v>
      </c>
      <c r="AD165" s="228" t="s">
        <v>600</v>
      </c>
      <c r="AE165" s="15">
        <v>65633</v>
      </c>
      <c r="AF165" s="224">
        <f t="shared" si="8"/>
        <v>0.125</v>
      </c>
      <c r="AG165" s="224">
        <f t="shared" si="9"/>
        <v>0.13157894736842105</v>
      </c>
      <c r="AH165" s="224">
        <f t="shared" si="10"/>
        <v>0.11975268903731123</v>
      </c>
      <c r="AJ165" s="231">
        <v>6.6690808422664611</v>
      </c>
      <c r="AK165" s="228" t="s">
        <v>596</v>
      </c>
      <c r="AL165" s="226">
        <f t="shared" si="11"/>
        <v>0.8244978725719353</v>
      </c>
    </row>
    <row r="166" spans="1:38" hidden="1" x14ac:dyDescent="0.2">
      <c r="A166" s="15">
        <v>1327</v>
      </c>
      <c r="B166" s="228" t="s">
        <v>617</v>
      </c>
      <c r="C166" s="229" t="s">
        <v>713</v>
      </c>
      <c r="D166" s="228">
        <v>6530</v>
      </c>
      <c r="E166" s="228" t="s">
        <v>629</v>
      </c>
      <c r="F166" s="228" t="s">
        <v>629</v>
      </c>
      <c r="G166" s="228" t="s">
        <v>629</v>
      </c>
      <c r="H166" s="228" t="s">
        <v>629</v>
      </c>
      <c r="I166" s="228" t="s">
        <v>629</v>
      </c>
      <c r="J166" s="228" t="s">
        <v>630</v>
      </c>
      <c r="K166" s="228" t="s">
        <v>714</v>
      </c>
      <c r="L166" s="228" t="s">
        <v>645</v>
      </c>
      <c r="M166" s="228">
        <v>176</v>
      </c>
      <c r="N166" s="228" t="s">
        <v>598</v>
      </c>
      <c r="O166" s="228">
        <v>38</v>
      </c>
      <c r="P166" s="228" t="s">
        <v>600</v>
      </c>
      <c r="Q166" s="228"/>
      <c r="R166" s="228">
        <v>74562</v>
      </c>
      <c r="S166" s="228" t="s">
        <v>629</v>
      </c>
      <c r="T166" s="228" t="s">
        <v>629</v>
      </c>
      <c r="U166" s="228" t="s">
        <v>629</v>
      </c>
      <c r="V166" s="228" t="s">
        <v>629</v>
      </c>
      <c r="W166" s="228" t="s">
        <v>629</v>
      </c>
      <c r="X166" s="228" t="s">
        <v>636</v>
      </c>
      <c r="Y166" s="228" t="s">
        <v>714</v>
      </c>
      <c r="Z166" s="228" t="s">
        <v>198</v>
      </c>
      <c r="AA166" s="230">
        <v>134</v>
      </c>
      <c r="AB166" s="228" t="s">
        <v>598</v>
      </c>
      <c r="AC166" s="230">
        <v>29</v>
      </c>
      <c r="AD166" s="228" t="s">
        <v>598</v>
      </c>
      <c r="AE166" s="15">
        <v>57744</v>
      </c>
      <c r="AF166" s="224">
        <f t="shared" si="8"/>
        <v>0.23863636363636365</v>
      </c>
      <c r="AG166" s="224">
        <f t="shared" si="9"/>
        <v>0.23684210526315788</v>
      </c>
      <c r="AH166" s="224">
        <f t="shared" si="10"/>
        <v>0.22555725436549448</v>
      </c>
      <c r="AJ166" s="231">
        <v>5.8067347473200606</v>
      </c>
      <c r="AK166" s="228" t="s">
        <v>594</v>
      </c>
      <c r="AL166" s="226">
        <f t="shared" si="11"/>
        <v>0.84719119085999828</v>
      </c>
    </row>
    <row r="167" spans="1:38" hidden="1" x14ac:dyDescent="0.2">
      <c r="A167" s="15">
        <v>1321</v>
      </c>
      <c r="B167" s="228" t="s">
        <v>617</v>
      </c>
      <c r="C167" s="229" t="s">
        <v>713</v>
      </c>
      <c r="D167" s="228">
        <v>6530</v>
      </c>
      <c r="E167" s="228" t="s">
        <v>629</v>
      </c>
      <c r="F167" s="228" t="s">
        <v>629</v>
      </c>
      <c r="G167" s="228" t="s">
        <v>629</v>
      </c>
      <c r="H167" s="228" t="s">
        <v>629</v>
      </c>
      <c r="I167" s="228" t="s">
        <v>629</v>
      </c>
      <c r="J167" s="228" t="s">
        <v>630</v>
      </c>
      <c r="K167" s="228" t="s">
        <v>714</v>
      </c>
      <c r="L167" s="228" t="s">
        <v>645</v>
      </c>
      <c r="M167" s="228">
        <v>176</v>
      </c>
      <c r="N167" s="228" t="s">
        <v>598</v>
      </c>
      <c r="O167" s="228">
        <v>38</v>
      </c>
      <c r="P167" s="228" t="s">
        <v>600</v>
      </c>
      <c r="Q167" s="228"/>
      <c r="R167" s="228">
        <v>74562</v>
      </c>
      <c r="S167" s="228" t="s">
        <v>629</v>
      </c>
      <c r="T167" s="228" t="s">
        <v>629</v>
      </c>
      <c r="U167" s="228" t="s">
        <v>629</v>
      </c>
      <c r="V167" s="228" t="s">
        <v>629</v>
      </c>
      <c r="W167" s="228" t="s">
        <v>629</v>
      </c>
      <c r="X167" s="228" t="s">
        <v>715</v>
      </c>
      <c r="Y167" s="228" t="s">
        <v>714</v>
      </c>
      <c r="Z167" s="228" t="s">
        <v>198</v>
      </c>
      <c r="AA167" s="230">
        <v>128.0907488514548</v>
      </c>
      <c r="AB167" s="228" t="s">
        <v>598</v>
      </c>
      <c r="AC167" s="230">
        <v>12.026225329249618</v>
      </c>
      <c r="AD167" s="228" t="s">
        <v>598</v>
      </c>
      <c r="AE167" s="15" t="s">
        <v>629</v>
      </c>
      <c r="AF167" s="224">
        <f t="shared" si="8"/>
        <v>0.27221165425309768</v>
      </c>
      <c r="AG167" s="224">
        <f t="shared" si="9"/>
        <v>0.68352038607237842</v>
      </c>
      <c r="AH167" s="224" t="e">
        <f t="shared" si="10"/>
        <v>#VALUE!</v>
      </c>
      <c r="AJ167" s="231">
        <v>4.666402511485451</v>
      </c>
      <c r="AK167" s="228" t="s">
        <v>594</v>
      </c>
      <c r="AL167" s="226">
        <f t="shared" si="11"/>
        <v>0.87719993390827755</v>
      </c>
    </row>
    <row r="168" spans="1:38" hidden="1" x14ac:dyDescent="0.2">
      <c r="A168" s="15">
        <v>1336</v>
      </c>
      <c r="B168" s="228" t="s">
        <v>617</v>
      </c>
      <c r="C168" s="229" t="s">
        <v>713</v>
      </c>
      <c r="D168" s="228">
        <v>6530</v>
      </c>
      <c r="E168" s="228" t="s">
        <v>629</v>
      </c>
      <c r="F168" s="228" t="s">
        <v>629</v>
      </c>
      <c r="G168" s="228" t="s">
        <v>629</v>
      </c>
      <c r="H168" s="228" t="s">
        <v>629</v>
      </c>
      <c r="I168" s="228" t="s">
        <v>629</v>
      </c>
      <c r="J168" s="228" t="s">
        <v>630</v>
      </c>
      <c r="K168" s="228" t="s">
        <v>714</v>
      </c>
      <c r="L168" s="228" t="s">
        <v>645</v>
      </c>
      <c r="M168" s="228">
        <v>176</v>
      </c>
      <c r="N168" s="228" t="s">
        <v>598</v>
      </c>
      <c r="O168" s="228">
        <v>38</v>
      </c>
      <c r="P168" s="228" t="s">
        <v>600</v>
      </c>
      <c r="Q168" s="228"/>
      <c r="R168" s="228">
        <v>74562</v>
      </c>
      <c r="S168" s="228" t="s">
        <v>629</v>
      </c>
      <c r="T168" s="228" t="s">
        <v>629</v>
      </c>
      <c r="U168" s="228" t="s">
        <v>629</v>
      </c>
      <c r="V168" s="228" t="s">
        <v>629</v>
      </c>
      <c r="W168" s="228" t="s">
        <v>629</v>
      </c>
      <c r="X168" s="232" t="s">
        <v>639</v>
      </c>
      <c r="Y168" s="228" t="s">
        <v>714</v>
      </c>
      <c r="Z168" s="228" t="s">
        <v>198</v>
      </c>
      <c r="AA168" s="230">
        <v>118</v>
      </c>
      <c r="AB168" s="228" t="s">
        <v>598</v>
      </c>
      <c r="AC168" s="230">
        <v>3</v>
      </c>
      <c r="AD168" s="228" t="s">
        <v>594</v>
      </c>
      <c r="AE168" s="15">
        <v>56402</v>
      </c>
      <c r="AF168" s="224">
        <f t="shared" si="8"/>
        <v>0.32954545454545453</v>
      </c>
      <c r="AG168" s="224">
        <f t="shared" si="9"/>
        <v>0.92105263157894735</v>
      </c>
      <c r="AH168" s="224">
        <f t="shared" si="10"/>
        <v>0.24355569861323462</v>
      </c>
      <c r="AJ168" s="231">
        <v>3.8574264318529865</v>
      </c>
      <c r="AK168" s="228" t="s">
        <v>594</v>
      </c>
      <c r="AL168" s="226">
        <f t="shared" si="11"/>
        <v>0.89848877810913197</v>
      </c>
    </row>
    <row r="169" spans="1:38" x14ac:dyDescent="0.2">
      <c r="A169" s="15">
        <v>1315</v>
      </c>
      <c r="B169" s="228" t="s">
        <v>617</v>
      </c>
      <c r="C169" s="229" t="s">
        <v>713</v>
      </c>
      <c r="D169" s="228">
        <v>6530</v>
      </c>
      <c r="E169" s="228" t="s">
        <v>629</v>
      </c>
      <c r="F169" s="228" t="s">
        <v>629</v>
      </c>
      <c r="G169" s="228" t="s">
        <v>629</v>
      </c>
      <c r="H169" s="228" t="s">
        <v>629</v>
      </c>
      <c r="I169" s="228" t="s">
        <v>629</v>
      </c>
      <c r="J169" s="228" t="s">
        <v>630</v>
      </c>
      <c r="K169" s="228" t="s">
        <v>714</v>
      </c>
      <c r="L169" s="228" t="s">
        <v>645</v>
      </c>
      <c r="M169" s="228">
        <v>176</v>
      </c>
      <c r="N169" s="228" t="s">
        <v>598</v>
      </c>
      <c r="O169" s="228">
        <v>38</v>
      </c>
      <c r="P169" s="228" t="s">
        <v>600</v>
      </c>
      <c r="Q169" s="228"/>
      <c r="R169" s="228">
        <v>74562</v>
      </c>
      <c r="S169" s="228" t="s">
        <v>468</v>
      </c>
      <c r="T169" s="228" t="s">
        <v>468</v>
      </c>
      <c r="U169" s="228" t="s">
        <v>468</v>
      </c>
      <c r="V169" s="228" t="s">
        <v>468</v>
      </c>
      <c r="W169" s="228" t="s">
        <v>468</v>
      </c>
      <c r="X169" s="228" t="s">
        <v>630</v>
      </c>
      <c r="Y169" s="228" t="s">
        <v>714</v>
      </c>
      <c r="Z169" s="228" t="s">
        <v>198</v>
      </c>
      <c r="AA169" s="230">
        <v>72</v>
      </c>
      <c r="AB169" s="228" t="s">
        <v>596</v>
      </c>
      <c r="AC169" s="230">
        <v>13</v>
      </c>
      <c r="AD169" s="228" t="s">
        <v>598</v>
      </c>
      <c r="AE169" s="15">
        <v>35210</v>
      </c>
      <c r="AF169" s="224">
        <f t="shared" si="8"/>
        <v>0.59090909090909094</v>
      </c>
      <c r="AG169" s="224">
        <f t="shared" si="9"/>
        <v>0.65789473684210531</v>
      </c>
      <c r="AH169" s="224">
        <f t="shared" si="10"/>
        <v>0.52777554250154235</v>
      </c>
      <c r="AJ169" s="231">
        <v>2.9745130015313941</v>
      </c>
      <c r="AK169" s="228" t="s">
        <v>594</v>
      </c>
      <c r="AL169" s="226">
        <f t="shared" si="11"/>
        <v>0.92172334206496342</v>
      </c>
    </row>
    <row r="170" spans="1:38" x14ac:dyDescent="0.2">
      <c r="A170" s="15">
        <v>1328</v>
      </c>
      <c r="B170" s="228" t="s">
        <v>617</v>
      </c>
      <c r="C170" s="229" t="s">
        <v>713</v>
      </c>
      <c r="D170" s="228">
        <v>6530</v>
      </c>
      <c r="E170" s="228" t="s">
        <v>629</v>
      </c>
      <c r="F170" s="228" t="s">
        <v>629</v>
      </c>
      <c r="G170" s="228" t="s">
        <v>629</v>
      </c>
      <c r="H170" s="228" t="s">
        <v>629</v>
      </c>
      <c r="I170" s="228" t="s">
        <v>629</v>
      </c>
      <c r="J170" s="228" t="s">
        <v>630</v>
      </c>
      <c r="K170" s="228" t="s">
        <v>714</v>
      </c>
      <c r="L170" s="228" t="s">
        <v>645</v>
      </c>
      <c r="M170" s="228">
        <v>176</v>
      </c>
      <c r="N170" s="228" t="s">
        <v>598</v>
      </c>
      <c r="O170" s="228">
        <v>38</v>
      </c>
      <c r="P170" s="228" t="s">
        <v>600</v>
      </c>
      <c r="Q170" s="228"/>
      <c r="R170" s="228">
        <v>74562</v>
      </c>
      <c r="S170" s="228" t="s">
        <v>468</v>
      </c>
      <c r="T170" s="228" t="s">
        <v>468</v>
      </c>
      <c r="U170" s="228" t="s">
        <v>468</v>
      </c>
      <c r="V170" s="228" t="s">
        <v>468</v>
      </c>
      <c r="W170" s="228" t="s">
        <v>468</v>
      </c>
      <c r="X170" s="228" t="s">
        <v>636</v>
      </c>
      <c r="Y170" s="228" t="s">
        <v>714</v>
      </c>
      <c r="Z170" s="228" t="s">
        <v>198</v>
      </c>
      <c r="AA170" s="230">
        <v>52</v>
      </c>
      <c r="AB170" s="228" t="s">
        <v>594</v>
      </c>
      <c r="AC170" s="230">
        <v>9</v>
      </c>
      <c r="AD170" s="228" t="s">
        <v>596</v>
      </c>
      <c r="AE170" s="15">
        <v>27040</v>
      </c>
      <c r="AF170" s="224">
        <f t="shared" si="8"/>
        <v>0.70454545454545459</v>
      </c>
      <c r="AG170" s="224">
        <f t="shared" si="9"/>
        <v>0.76315789473684215</v>
      </c>
      <c r="AH170" s="224">
        <f t="shared" si="10"/>
        <v>0.63734878356267266</v>
      </c>
      <c r="AJ170" s="231">
        <v>2.1350718376722817</v>
      </c>
      <c r="AK170" s="228" t="s">
        <v>594</v>
      </c>
      <c r="AL170" s="226">
        <f t="shared" si="11"/>
        <v>0.94381389900862411</v>
      </c>
    </row>
    <row r="171" spans="1:38" x14ac:dyDescent="0.2">
      <c r="A171" s="15">
        <v>1323</v>
      </c>
      <c r="B171" s="228" t="s">
        <v>617</v>
      </c>
      <c r="C171" s="229" t="s">
        <v>713</v>
      </c>
      <c r="D171" s="228">
        <v>6530</v>
      </c>
      <c r="E171" s="228" t="s">
        <v>629</v>
      </c>
      <c r="F171" s="228" t="s">
        <v>629</v>
      </c>
      <c r="G171" s="228" t="s">
        <v>629</v>
      </c>
      <c r="H171" s="228" t="s">
        <v>629</v>
      </c>
      <c r="I171" s="228" t="s">
        <v>629</v>
      </c>
      <c r="J171" s="228" t="s">
        <v>630</v>
      </c>
      <c r="K171" s="228" t="s">
        <v>714</v>
      </c>
      <c r="L171" s="228" t="s">
        <v>645</v>
      </c>
      <c r="M171" s="228">
        <v>176</v>
      </c>
      <c r="N171" s="228" t="s">
        <v>598</v>
      </c>
      <c r="O171" s="228">
        <v>38</v>
      </c>
      <c r="P171" s="228" t="s">
        <v>600</v>
      </c>
      <c r="Q171" s="228"/>
      <c r="R171" s="228">
        <v>74562</v>
      </c>
      <c r="S171" s="228" t="s">
        <v>468</v>
      </c>
      <c r="T171" s="228" t="s">
        <v>468</v>
      </c>
      <c r="U171" s="228" t="s">
        <v>468</v>
      </c>
      <c r="V171" s="228" t="s">
        <v>468</v>
      </c>
      <c r="W171" s="228" t="s">
        <v>468</v>
      </c>
      <c r="X171" s="228" t="s">
        <v>715</v>
      </c>
      <c r="Y171" s="228" t="s">
        <v>714</v>
      </c>
      <c r="Z171" s="228" t="s">
        <v>198</v>
      </c>
      <c r="AA171" s="230">
        <v>65.386378254211323</v>
      </c>
      <c r="AB171" s="228" t="s">
        <v>594</v>
      </c>
      <c r="AC171" s="230">
        <v>6.2961628483920373</v>
      </c>
      <c r="AD171" s="228" t="s">
        <v>596</v>
      </c>
      <c r="AE171" s="15" t="s">
        <v>629</v>
      </c>
      <c r="AF171" s="224">
        <f t="shared" si="8"/>
        <v>0.62848648719198108</v>
      </c>
      <c r="AG171" s="224">
        <f t="shared" si="9"/>
        <v>0.83431150398968323</v>
      </c>
      <c r="AH171" s="224" t="e">
        <f t="shared" si="10"/>
        <v>#VALUE!</v>
      </c>
      <c r="AJ171" s="231">
        <v>2.2867225267993874</v>
      </c>
      <c r="AK171" s="228" t="s">
        <v>594</v>
      </c>
      <c r="AL171" s="226">
        <f t="shared" si="11"/>
        <v>0.93982309140001608</v>
      </c>
    </row>
    <row r="172" spans="1:38" x14ac:dyDescent="0.2">
      <c r="A172" s="15">
        <v>1337</v>
      </c>
      <c r="B172" s="228" t="s">
        <v>617</v>
      </c>
      <c r="C172" s="229" t="s">
        <v>713</v>
      </c>
      <c r="D172" s="228">
        <v>6530</v>
      </c>
      <c r="E172" s="228" t="s">
        <v>629</v>
      </c>
      <c r="F172" s="228" t="s">
        <v>629</v>
      </c>
      <c r="G172" s="228" t="s">
        <v>629</v>
      </c>
      <c r="H172" s="228" t="s">
        <v>629</v>
      </c>
      <c r="I172" s="228" t="s">
        <v>629</v>
      </c>
      <c r="J172" s="228" t="s">
        <v>630</v>
      </c>
      <c r="K172" s="228" t="s">
        <v>714</v>
      </c>
      <c r="L172" s="228" t="s">
        <v>645</v>
      </c>
      <c r="M172" s="228">
        <v>176</v>
      </c>
      <c r="N172" s="228" t="s">
        <v>598</v>
      </c>
      <c r="O172" s="228">
        <v>38</v>
      </c>
      <c r="P172" s="228" t="s">
        <v>600</v>
      </c>
      <c r="Q172" s="228"/>
      <c r="R172" s="228">
        <v>74562</v>
      </c>
      <c r="S172" s="228" t="s">
        <v>468</v>
      </c>
      <c r="T172" s="228" t="s">
        <v>468</v>
      </c>
      <c r="U172" s="228" t="s">
        <v>468</v>
      </c>
      <c r="V172" s="228" t="s">
        <v>468</v>
      </c>
      <c r="W172" s="228" t="s">
        <v>468</v>
      </c>
      <c r="X172" s="232" t="s">
        <v>639</v>
      </c>
      <c r="Y172" s="228" t="s">
        <v>714</v>
      </c>
      <c r="Z172" s="228" t="s">
        <v>198</v>
      </c>
      <c r="AA172" s="230">
        <v>59</v>
      </c>
      <c r="AB172" s="228" t="s">
        <v>594</v>
      </c>
      <c r="AC172" s="230">
        <v>1</v>
      </c>
      <c r="AD172" s="228" t="s">
        <v>594</v>
      </c>
      <c r="AE172" s="15">
        <v>32007</v>
      </c>
      <c r="AF172" s="224">
        <f t="shared" si="8"/>
        <v>0.66477272727272729</v>
      </c>
      <c r="AG172" s="224">
        <f t="shared" si="9"/>
        <v>0.97368421052631582</v>
      </c>
      <c r="AH172" s="224">
        <f t="shared" si="10"/>
        <v>0.57073308119417399</v>
      </c>
      <c r="AJ172" s="231">
        <v>1.799034073506891</v>
      </c>
      <c r="AK172" s="228" t="s">
        <v>594</v>
      </c>
      <c r="AL172" s="226">
        <f t="shared" si="11"/>
        <v>0.95265699806560822</v>
      </c>
    </row>
    <row r="173" spans="1:38" hidden="1" x14ac:dyDescent="0.2">
      <c r="A173" s="15">
        <v>283</v>
      </c>
      <c r="B173" s="228" t="s">
        <v>664</v>
      </c>
      <c r="C173" s="229" t="s">
        <v>711</v>
      </c>
      <c r="D173" s="228">
        <v>4459</v>
      </c>
      <c r="E173" s="228" t="s">
        <v>629</v>
      </c>
      <c r="F173" s="228" t="s">
        <v>629</v>
      </c>
      <c r="G173" s="228" t="s">
        <v>629</v>
      </c>
      <c r="H173" s="228" t="s">
        <v>629</v>
      </c>
      <c r="I173" s="228" t="s">
        <v>629</v>
      </c>
      <c r="J173" s="228" t="s">
        <v>626</v>
      </c>
      <c r="K173" s="233" t="s">
        <v>712</v>
      </c>
      <c r="L173" s="228" t="s">
        <v>645</v>
      </c>
      <c r="M173" s="228">
        <v>164</v>
      </c>
      <c r="N173" s="228" t="s">
        <v>598</v>
      </c>
      <c r="O173" s="228">
        <v>35</v>
      </c>
      <c r="P173" s="228" t="s">
        <v>600</v>
      </c>
      <c r="Q173" s="234"/>
      <c r="R173" s="228">
        <v>61808</v>
      </c>
      <c r="S173" s="228" t="s">
        <v>629</v>
      </c>
      <c r="T173" s="228" t="s">
        <v>629</v>
      </c>
      <c r="U173" s="228" t="s">
        <v>629</v>
      </c>
      <c r="V173" s="228" t="s">
        <v>629</v>
      </c>
      <c r="W173" s="228" t="s">
        <v>629</v>
      </c>
      <c r="X173" s="228" t="s">
        <v>626</v>
      </c>
      <c r="Y173" s="228" t="s">
        <v>712</v>
      </c>
      <c r="Z173" s="228" t="s">
        <v>198</v>
      </c>
      <c r="AA173" s="230">
        <v>136</v>
      </c>
      <c r="AB173" s="228" t="s">
        <v>598</v>
      </c>
      <c r="AC173" s="230">
        <v>28</v>
      </c>
      <c r="AD173" s="228" t="s">
        <v>598</v>
      </c>
      <c r="AE173" s="15">
        <v>53785</v>
      </c>
      <c r="AF173" s="224">
        <f t="shared" si="8"/>
        <v>0.17073170731707318</v>
      </c>
      <c r="AG173" s="224">
        <f t="shared" si="9"/>
        <v>0.2</v>
      </c>
      <c r="AH173" s="224">
        <f t="shared" si="10"/>
        <v>0.12980520320994046</v>
      </c>
      <c r="AJ173" s="231">
        <v>5.8457937429917015</v>
      </c>
      <c r="AK173" s="228" t="s">
        <v>594</v>
      </c>
      <c r="AL173" s="226">
        <f t="shared" si="11"/>
        <v>0.83297732162880855</v>
      </c>
    </row>
    <row r="174" spans="1:38" hidden="1" x14ac:dyDescent="0.2">
      <c r="A174" s="15">
        <v>291</v>
      </c>
      <c r="B174" s="228" t="s">
        <v>664</v>
      </c>
      <c r="C174" s="229" t="s">
        <v>711</v>
      </c>
      <c r="D174" s="228">
        <v>4459</v>
      </c>
      <c r="E174" s="228" t="s">
        <v>629</v>
      </c>
      <c r="F174" s="228" t="s">
        <v>629</v>
      </c>
      <c r="G174" s="228" t="s">
        <v>629</v>
      </c>
      <c r="H174" s="228" t="s">
        <v>629</v>
      </c>
      <c r="I174" s="228" t="s">
        <v>629</v>
      </c>
      <c r="J174" s="228" t="s">
        <v>626</v>
      </c>
      <c r="K174" s="233" t="s">
        <v>712</v>
      </c>
      <c r="L174" s="228" t="s">
        <v>645</v>
      </c>
      <c r="M174" s="228">
        <v>164</v>
      </c>
      <c r="N174" s="228" t="s">
        <v>598</v>
      </c>
      <c r="O174" s="228">
        <v>35</v>
      </c>
      <c r="P174" s="228" t="s">
        <v>600</v>
      </c>
      <c r="Q174" s="234"/>
      <c r="R174" s="228">
        <v>61808</v>
      </c>
      <c r="S174" s="228" t="s">
        <v>629</v>
      </c>
      <c r="T174" s="228" t="s">
        <v>629</v>
      </c>
      <c r="U174" s="228" t="s">
        <v>629</v>
      </c>
      <c r="V174" s="228" t="s">
        <v>629</v>
      </c>
      <c r="W174" s="228" t="s">
        <v>629</v>
      </c>
      <c r="X174" s="228" t="s">
        <v>637</v>
      </c>
      <c r="Y174" s="228" t="s">
        <v>712</v>
      </c>
      <c r="Z174" s="228" t="s">
        <v>198</v>
      </c>
      <c r="AA174" s="230">
        <v>118</v>
      </c>
      <c r="AB174" s="228" t="s">
        <v>598</v>
      </c>
      <c r="AC174" s="230">
        <v>22</v>
      </c>
      <c r="AD174" s="228" t="s">
        <v>598</v>
      </c>
      <c r="AE174" s="15">
        <v>52073</v>
      </c>
      <c r="AF174" s="224">
        <f t="shared" si="8"/>
        <v>0.28048780487804881</v>
      </c>
      <c r="AG174" s="224">
        <f t="shared" si="9"/>
        <v>0.37142857142857144</v>
      </c>
      <c r="AH174" s="224">
        <f t="shared" si="10"/>
        <v>0.15750388299249288</v>
      </c>
      <c r="AJ174" s="231">
        <v>4.8230670553935857</v>
      </c>
      <c r="AK174" s="228" t="s">
        <v>594</v>
      </c>
      <c r="AL174" s="226">
        <f t="shared" si="11"/>
        <v>0.86219808413161181</v>
      </c>
    </row>
    <row r="175" spans="1:38" x14ac:dyDescent="0.2">
      <c r="A175" s="15">
        <v>284</v>
      </c>
      <c r="B175" s="228" t="s">
        <v>664</v>
      </c>
      <c r="C175" s="229" t="s">
        <v>711</v>
      </c>
      <c r="D175" s="228">
        <v>4459</v>
      </c>
      <c r="E175" s="228" t="s">
        <v>629</v>
      </c>
      <c r="F175" s="228" t="s">
        <v>629</v>
      </c>
      <c r="G175" s="228" t="s">
        <v>629</v>
      </c>
      <c r="H175" s="228" t="s">
        <v>629</v>
      </c>
      <c r="I175" s="228" t="s">
        <v>629</v>
      </c>
      <c r="J175" s="228" t="s">
        <v>626</v>
      </c>
      <c r="K175" s="233" t="s">
        <v>712</v>
      </c>
      <c r="L175" s="228" t="s">
        <v>645</v>
      </c>
      <c r="M175" s="228">
        <v>164</v>
      </c>
      <c r="N175" s="228" t="s">
        <v>598</v>
      </c>
      <c r="O175" s="228">
        <v>35</v>
      </c>
      <c r="P175" s="228" t="s">
        <v>600</v>
      </c>
      <c r="Q175" s="234"/>
      <c r="R175" s="228">
        <v>61808</v>
      </c>
      <c r="S175" s="228" t="s">
        <v>468</v>
      </c>
      <c r="T175" s="228" t="s">
        <v>468</v>
      </c>
      <c r="U175" s="228" t="s">
        <v>468</v>
      </c>
      <c r="V175" s="228" t="s">
        <v>468</v>
      </c>
      <c r="W175" s="228" t="s">
        <v>468</v>
      </c>
      <c r="X175" s="228" t="s">
        <v>626</v>
      </c>
      <c r="Y175" s="228" t="s">
        <v>712</v>
      </c>
      <c r="Z175" s="228" t="s">
        <v>198</v>
      </c>
      <c r="AA175" s="230">
        <v>66</v>
      </c>
      <c r="AB175" s="228" t="s">
        <v>594</v>
      </c>
      <c r="AC175" s="230">
        <v>11</v>
      </c>
      <c r="AD175" s="228" t="s">
        <v>598</v>
      </c>
      <c r="AE175" s="15">
        <v>30935</v>
      </c>
      <c r="AF175" s="224">
        <f t="shared" si="8"/>
        <v>0.59756097560975607</v>
      </c>
      <c r="AG175" s="224">
        <f t="shared" si="9"/>
        <v>0.68571428571428572</v>
      </c>
      <c r="AH175" s="224">
        <f t="shared" si="10"/>
        <v>0.49949844680300287</v>
      </c>
      <c r="AJ175" s="231">
        <v>2.6748060775958731</v>
      </c>
      <c r="AK175" s="228" t="s">
        <v>594</v>
      </c>
      <c r="AL175" s="226">
        <f t="shared" si="11"/>
        <v>0.92357696921154642</v>
      </c>
    </row>
    <row r="176" spans="1:38" x14ac:dyDescent="0.2">
      <c r="A176" s="15">
        <v>1731</v>
      </c>
      <c r="B176" s="228" t="s">
        <v>664</v>
      </c>
      <c r="C176" s="229" t="s">
        <v>711</v>
      </c>
      <c r="D176" s="228">
        <v>4459</v>
      </c>
      <c r="E176" s="228" t="s">
        <v>629</v>
      </c>
      <c r="F176" s="228" t="s">
        <v>629</v>
      </c>
      <c r="G176" s="228" t="s">
        <v>629</v>
      </c>
      <c r="H176" s="228" t="s">
        <v>629</v>
      </c>
      <c r="I176" s="228" t="s">
        <v>629</v>
      </c>
      <c r="J176" s="228" t="s">
        <v>626</v>
      </c>
      <c r="K176" s="235" t="s">
        <v>712</v>
      </c>
      <c r="L176" s="228" t="s">
        <v>645</v>
      </c>
      <c r="M176" s="228">
        <v>164</v>
      </c>
      <c r="N176" s="228" t="s">
        <v>598</v>
      </c>
      <c r="O176" s="228">
        <v>35</v>
      </c>
      <c r="P176" s="228" t="s">
        <v>600</v>
      </c>
      <c r="Q176" s="234"/>
      <c r="R176" s="228">
        <v>61808</v>
      </c>
      <c r="S176" s="228" t="s">
        <v>468</v>
      </c>
      <c r="T176" s="228" t="s">
        <v>468</v>
      </c>
      <c r="U176" s="228" t="s">
        <v>468</v>
      </c>
      <c r="V176" s="228" t="s">
        <v>468</v>
      </c>
      <c r="W176" s="228" t="s">
        <v>468</v>
      </c>
      <c r="X176" s="228" t="s">
        <v>626</v>
      </c>
      <c r="Y176" s="228" t="s">
        <v>712</v>
      </c>
      <c r="Z176" s="228" t="s">
        <v>645</v>
      </c>
      <c r="AA176" s="230">
        <v>83</v>
      </c>
      <c r="AB176" s="228" t="s">
        <v>596</v>
      </c>
      <c r="AC176" s="230">
        <v>15</v>
      </c>
      <c r="AD176" s="228" t="s">
        <v>598</v>
      </c>
      <c r="AE176" s="15">
        <v>39597</v>
      </c>
      <c r="AF176" s="224">
        <f t="shared" si="8"/>
        <v>0.49390243902439024</v>
      </c>
      <c r="AG176" s="224">
        <f t="shared" si="9"/>
        <v>0.5714285714285714</v>
      </c>
      <c r="AH176" s="224">
        <f t="shared" si="10"/>
        <v>0.35935477608076627</v>
      </c>
      <c r="AJ176" s="231">
        <v>3.4428231217761827</v>
      </c>
      <c r="AK176" s="228" t="s">
        <v>594</v>
      </c>
      <c r="AL176" s="226">
        <f t="shared" si="11"/>
        <v>0.90163362509210909</v>
      </c>
    </row>
    <row r="177" spans="1:38" x14ac:dyDescent="0.2">
      <c r="A177" s="15">
        <v>292</v>
      </c>
      <c r="B177" s="228" t="s">
        <v>664</v>
      </c>
      <c r="C177" s="229" t="s">
        <v>711</v>
      </c>
      <c r="D177" s="228">
        <v>4459</v>
      </c>
      <c r="E177" s="228" t="s">
        <v>629</v>
      </c>
      <c r="F177" s="228" t="s">
        <v>629</v>
      </c>
      <c r="G177" s="228" t="s">
        <v>629</v>
      </c>
      <c r="H177" s="228" t="s">
        <v>629</v>
      </c>
      <c r="I177" s="228" t="s">
        <v>629</v>
      </c>
      <c r="J177" s="228" t="s">
        <v>626</v>
      </c>
      <c r="K177" s="233" t="s">
        <v>712</v>
      </c>
      <c r="L177" s="228" t="s">
        <v>645</v>
      </c>
      <c r="M177" s="228">
        <v>164</v>
      </c>
      <c r="N177" s="228" t="s">
        <v>598</v>
      </c>
      <c r="O177" s="228">
        <v>35</v>
      </c>
      <c r="P177" s="228" t="s">
        <v>600</v>
      </c>
      <c r="Q177" s="234"/>
      <c r="R177" s="228">
        <v>61808</v>
      </c>
      <c r="S177" s="228" t="s">
        <v>468</v>
      </c>
      <c r="T177" s="228" t="s">
        <v>468</v>
      </c>
      <c r="U177" s="228" t="s">
        <v>468</v>
      </c>
      <c r="V177" s="228" t="s">
        <v>468</v>
      </c>
      <c r="W177" s="228" t="s">
        <v>468</v>
      </c>
      <c r="X177" s="228" t="s">
        <v>637</v>
      </c>
      <c r="Y177" s="228" t="s">
        <v>712</v>
      </c>
      <c r="Z177" s="228" t="s">
        <v>198</v>
      </c>
      <c r="AA177" s="230">
        <v>49</v>
      </c>
      <c r="AB177" s="228" t="s">
        <v>594</v>
      </c>
      <c r="AC177" s="230">
        <v>5</v>
      </c>
      <c r="AD177" s="228" t="s">
        <v>594</v>
      </c>
      <c r="AE177" s="15">
        <v>23293</v>
      </c>
      <c r="AF177" s="224">
        <f t="shared" si="8"/>
        <v>0.70121951219512191</v>
      </c>
      <c r="AG177" s="224">
        <f t="shared" si="9"/>
        <v>0.8571428571428571</v>
      </c>
      <c r="AH177" s="224">
        <f t="shared" si="10"/>
        <v>0.62313939943049446</v>
      </c>
      <c r="AJ177" s="231">
        <v>1.7050834716304106</v>
      </c>
      <c r="AK177" s="228" t="s">
        <v>594</v>
      </c>
      <c r="AL177" s="226">
        <f t="shared" si="11"/>
        <v>0.95128332938198834</v>
      </c>
    </row>
    <row r="178" spans="1:38" hidden="1" x14ac:dyDescent="0.2">
      <c r="A178" s="15">
        <v>336</v>
      </c>
      <c r="B178" s="228" t="s">
        <v>664</v>
      </c>
      <c r="C178" s="229" t="s">
        <v>623</v>
      </c>
      <c r="D178" s="228">
        <v>4459</v>
      </c>
      <c r="E178" s="228" t="s">
        <v>629</v>
      </c>
      <c r="F178" s="228" t="s">
        <v>629</v>
      </c>
      <c r="G178" s="228" t="s">
        <v>629</v>
      </c>
      <c r="H178" s="228" t="s">
        <v>629</v>
      </c>
      <c r="I178" s="228" t="s">
        <v>629</v>
      </c>
      <c r="J178" s="228" t="s">
        <v>626</v>
      </c>
      <c r="K178" s="233" t="s">
        <v>712</v>
      </c>
      <c r="L178" s="228" t="s">
        <v>645</v>
      </c>
      <c r="M178" s="228">
        <v>147</v>
      </c>
      <c r="N178" s="228" t="s">
        <v>598</v>
      </c>
      <c r="O178" s="228">
        <v>31</v>
      </c>
      <c r="P178" s="228" t="s">
        <v>600</v>
      </c>
      <c r="Q178" s="234"/>
      <c r="R178" s="228">
        <v>57179</v>
      </c>
      <c r="S178" s="228" t="s">
        <v>629</v>
      </c>
      <c r="T178" s="228" t="s">
        <v>629</v>
      </c>
      <c r="U178" s="228" t="s">
        <v>629</v>
      </c>
      <c r="V178" s="228" t="s">
        <v>629</v>
      </c>
      <c r="W178" s="228" t="s">
        <v>629</v>
      </c>
      <c r="X178" s="228" t="s">
        <v>626</v>
      </c>
      <c r="Y178" s="228" t="s">
        <v>712</v>
      </c>
      <c r="Z178" s="228" t="s">
        <v>198</v>
      </c>
      <c r="AA178" s="230">
        <v>122</v>
      </c>
      <c r="AB178" s="228" t="s">
        <v>598</v>
      </c>
      <c r="AC178" s="230">
        <v>25</v>
      </c>
      <c r="AD178" s="228" t="s">
        <v>598</v>
      </c>
      <c r="AE178" s="15">
        <v>49885</v>
      </c>
      <c r="AF178" s="224">
        <f t="shared" si="8"/>
        <v>0.17006802721088435</v>
      </c>
      <c r="AG178" s="224">
        <f t="shared" si="9"/>
        <v>0.19354838709677419</v>
      </c>
      <c r="AH178" s="224">
        <f t="shared" si="10"/>
        <v>0.12756431557040171</v>
      </c>
      <c r="AJ178" s="231">
        <v>5.2512063915676164</v>
      </c>
      <c r="AK178" s="228" t="s">
        <v>594</v>
      </c>
      <c r="AL178" s="226">
        <f t="shared" si="11"/>
        <v>0.83060624543330264</v>
      </c>
    </row>
    <row r="179" spans="1:38" hidden="1" x14ac:dyDescent="0.2">
      <c r="A179" s="15">
        <v>344</v>
      </c>
      <c r="B179" s="228" t="s">
        <v>664</v>
      </c>
      <c r="C179" s="229" t="s">
        <v>623</v>
      </c>
      <c r="D179" s="228">
        <v>4459</v>
      </c>
      <c r="E179" s="228" t="s">
        <v>629</v>
      </c>
      <c r="F179" s="228" t="s">
        <v>629</v>
      </c>
      <c r="G179" s="228" t="s">
        <v>629</v>
      </c>
      <c r="H179" s="228" t="s">
        <v>629</v>
      </c>
      <c r="I179" s="228" t="s">
        <v>629</v>
      </c>
      <c r="J179" s="228" t="s">
        <v>626</v>
      </c>
      <c r="K179" s="233" t="s">
        <v>712</v>
      </c>
      <c r="L179" s="228" t="s">
        <v>645</v>
      </c>
      <c r="M179" s="228">
        <v>147</v>
      </c>
      <c r="N179" s="228" t="s">
        <v>598</v>
      </c>
      <c r="O179" s="228">
        <v>31</v>
      </c>
      <c r="P179" s="228" t="s">
        <v>600</v>
      </c>
      <c r="Q179" s="234"/>
      <c r="R179" s="228">
        <v>57179</v>
      </c>
      <c r="S179" s="228" t="s">
        <v>629</v>
      </c>
      <c r="T179" s="228" t="s">
        <v>629</v>
      </c>
      <c r="U179" s="228" t="s">
        <v>629</v>
      </c>
      <c r="V179" s="228" t="s">
        <v>629</v>
      </c>
      <c r="W179" s="228" t="s">
        <v>629</v>
      </c>
      <c r="X179" s="228" t="s">
        <v>637</v>
      </c>
      <c r="Y179" s="228" t="s">
        <v>712</v>
      </c>
      <c r="Z179" s="228" t="s">
        <v>198</v>
      </c>
      <c r="AA179" s="230">
        <v>105</v>
      </c>
      <c r="AB179" s="228" t="s">
        <v>596</v>
      </c>
      <c r="AC179" s="230">
        <v>19</v>
      </c>
      <c r="AD179" s="228" t="s">
        <v>598</v>
      </c>
      <c r="AE179" s="15">
        <v>48193</v>
      </c>
      <c r="AF179" s="224">
        <f t="shared" si="8"/>
        <v>0.2857142857142857</v>
      </c>
      <c r="AG179" s="224">
        <f t="shared" si="9"/>
        <v>0.38709677419354838</v>
      </c>
      <c r="AH179" s="224">
        <f t="shared" si="10"/>
        <v>0.15715559908357962</v>
      </c>
      <c r="AJ179" s="231">
        <v>4.2576999999999998</v>
      </c>
      <c r="AK179" s="228" t="s">
        <v>594</v>
      </c>
      <c r="AL179" s="226">
        <f t="shared" si="11"/>
        <v>0.86265483870967741</v>
      </c>
    </row>
    <row r="180" spans="1:38" x14ac:dyDescent="0.2">
      <c r="A180" s="15">
        <v>337</v>
      </c>
      <c r="B180" s="228" t="s">
        <v>664</v>
      </c>
      <c r="C180" s="229" t="s">
        <v>623</v>
      </c>
      <c r="D180" s="228">
        <v>4459</v>
      </c>
      <c r="E180" s="228" t="s">
        <v>629</v>
      </c>
      <c r="F180" s="228" t="s">
        <v>629</v>
      </c>
      <c r="G180" s="228" t="s">
        <v>629</v>
      </c>
      <c r="H180" s="228" t="s">
        <v>629</v>
      </c>
      <c r="I180" s="228" t="s">
        <v>629</v>
      </c>
      <c r="J180" s="228" t="s">
        <v>626</v>
      </c>
      <c r="K180" s="233" t="s">
        <v>712</v>
      </c>
      <c r="L180" s="228" t="s">
        <v>645</v>
      </c>
      <c r="M180" s="228">
        <v>147</v>
      </c>
      <c r="N180" s="228" t="s">
        <v>598</v>
      </c>
      <c r="O180" s="228">
        <v>31</v>
      </c>
      <c r="P180" s="228" t="s">
        <v>600</v>
      </c>
      <c r="Q180" s="234"/>
      <c r="R180" s="228">
        <v>57179</v>
      </c>
      <c r="S180" s="228" t="s">
        <v>468</v>
      </c>
      <c r="T180" s="228" t="s">
        <v>468</v>
      </c>
      <c r="U180" s="228" t="s">
        <v>468</v>
      </c>
      <c r="V180" s="228" t="s">
        <v>468</v>
      </c>
      <c r="W180" s="228" t="s">
        <v>468</v>
      </c>
      <c r="X180" s="228" t="s">
        <v>626</v>
      </c>
      <c r="Y180" s="228" t="s">
        <v>712</v>
      </c>
      <c r="Z180" s="228" t="s">
        <v>198</v>
      </c>
      <c r="AA180" s="230">
        <v>61</v>
      </c>
      <c r="AB180" s="228" t="s">
        <v>594</v>
      </c>
      <c r="AC180" s="230">
        <v>10</v>
      </c>
      <c r="AD180" s="228" t="s">
        <v>596</v>
      </c>
      <c r="AE180" s="15">
        <v>28467</v>
      </c>
      <c r="AF180" s="224">
        <f t="shared" si="8"/>
        <v>0.58503401360544216</v>
      </c>
      <c r="AG180" s="224">
        <f t="shared" si="9"/>
        <v>0.67741935483870963</v>
      </c>
      <c r="AH180" s="224">
        <f t="shared" si="10"/>
        <v>0.50214239493520352</v>
      </c>
      <c r="AJ180" s="231">
        <v>2.4502623233908953</v>
      </c>
      <c r="AK180" s="228" t="s">
        <v>594</v>
      </c>
      <c r="AL180" s="226">
        <f t="shared" si="11"/>
        <v>0.92095927989061632</v>
      </c>
    </row>
    <row r="181" spans="1:38" x14ac:dyDescent="0.2">
      <c r="A181" s="15">
        <v>1732</v>
      </c>
      <c r="B181" s="228" t="s">
        <v>664</v>
      </c>
      <c r="C181" s="229" t="s">
        <v>623</v>
      </c>
      <c r="D181" s="228">
        <v>4459</v>
      </c>
      <c r="E181" s="228" t="s">
        <v>629</v>
      </c>
      <c r="F181" s="228" t="s">
        <v>629</v>
      </c>
      <c r="G181" s="228" t="s">
        <v>629</v>
      </c>
      <c r="H181" s="228" t="s">
        <v>629</v>
      </c>
      <c r="I181" s="228" t="s">
        <v>629</v>
      </c>
      <c r="J181" s="228" t="s">
        <v>626</v>
      </c>
      <c r="K181" s="235" t="s">
        <v>712</v>
      </c>
      <c r="L181" s="228" t="s">
        <v>645</v>
      </c>
      <c r="M181" s="228">
        <v>147</v>
      </c>
      <c r="N181" s="228" t="s">
        <v>598</v>
      </c>
      <c r="O181" s="228">
        <v>31</v>
      </c>
      <c r="P181" s="228" t="s">
        <v>600</v>
      </c>
      <c r="Q181" s="234"/>
      <c r="R181" s="228">
        <v>57179</v>
      </c>
      <c r="S181" s="228" t="s">
        <v>468</v>
      </c>
      <c r="T181" s="228" t="s">
        <v>468</v>
      </c>
      <c r="U181" s="228" t="s">
        <v>468</v>
      </c>
      <c r="V181" s="228" t="s">
        <v>468</v>
      </c>
      <c r="W181" s="228" t="s">
        <v>468</v>
      </c>
      <c r="X181" s="228" t="s">
        <v>626</v>
      </c>
      <c r="Y181" s="228" t="s">
        <v>712</v>
      </c>
      <c r="Z181" s="228" t="s">
        <v>645</v>
      </c>
      <c r="AA181" s="230">
        <v>76</v>
      </c>
      <c r="AB181" s="228" t="s">
        <v>596</v>
      </c>
      <c r="AC181" s="230">
        <v>14</v>
      </c>
      <c r="AD181" s="228" t="s">
        <v>598</v>
      </c>
      <c r="AE181" s="15">
        <v>36149</v>
      </c>
      <c r="AF181" s="224">
        <f t="shared" si="8"/>
        <v>0.48299319727891155</v>
      </c>
      <c r="AG181" s="224">
        <f t="shared" si="9"/>
        <v>0.54838709677419351</v>
      </c>
      <c r="AH181" s="224">
        <f t="shared" si="10"/>
        <v>0.36779237132513687</v>
      </c>
      <c r="AJ181" s="231">
        <v>3.1318225835389097</v>
      </c>
      <c r="AK181" s="228" t="s">
        <v>594</v>
      </c>
      <c r="AL181" s="226">
        <f t="shared" si="11"/>
        <v>0.89897346504713194</v>
      </c>
    </row>
    <row r="182" spans="1:38" x14ac:dyDescent="0.2">
      <c r="A182" s="15">
        <v>345</v>
      </c>
      <c r="B182" s="228" t="s">
        <v>664</v>
      </c>
      <c r="C182" s="229" t="s">
        <v>623</v>
      </c>
      <c r="D182" s="228">
        <v>4459</v>
      </c>
      <c r="E182" s="228" t="s">
        <v>629</v>
      </c>
      <c r="F182" s="228" t="s">
        <v>629</v>
      </c>
      <c r="G182" s="228" t="s">
        <v>629</v>
      </c>
      <c r="H182" s="228" t="s">
        <v>629</v>
      </c>
      <c r="I182" s="228" t="s">
        <v>629</v>
      </c>
      <c r="J182" s="228" t="s">
        <v>626</v>
      </c>
      <c r="K182" s="233" t="s">
        <v>712</v>
      </c>
      <c r="L182" s="228" t="s">
        <v>645</v>
      </c>
      <c r="M182" s="228">
        <v>147</v>
      </c>
      <c r="N182" s="228" t="s">
        <v>598</v>
      </c>
      <c r="O182" s="228">
        <v>31</v>
      </c>
      <c r="P182" s="228" t="s">
        <v>600</v>
      </c>
      <c r="Q182" s="234"/>
      <c r="R182" s="228">
        <v>57179</v>
      </c>
      <c r="S182" s="228" t="s">
        <v>468</v>
      </c>
      <c r="T182" s="228" t="s">
        <v>468</v>
      </c>
      <c r="U182" s="228" t="s">
        <v>468</v>
      </c>
      <c r="V182" s="228" t="s">
        <v>468</v>
      </c>
      <c r="W182" s="228" t="s">
        <v>468</v>
      </c>
      <c r="X182" s="228" t="s">
        <v>637</v>
      </c>
      <c r="Y182" s="228" t="s">
        <v>712</v>
      </c>
      <c r="Z182" s="228" t="s">
        <v>198</v>
      </c>
      <c r="AA182" s="230">
        <v>44</v>
      </c>
      <c r="AB182" s="228" t="s">
        <v>594</v>
      </c>
      <c r="AC182" s="230">
        <v>4</v>
      </c>
      <c r="AD182" s="228" t="s">
        <v>594</v>
      </c>
      <c r="AE182" s="15">
        <v>21038</v>
      </c>
      <c r="AF182" s="224">
        <f t="shared" ref="AF182:AF214" si="12">(M182-AA182)/M182</f>
        <v>0.70068027210884354</v>
      </c>
      <c r="AG182" s="224">
        <f t="shared" ref="AG182:AG214" si="13">(O182-AC182)/O182</f>
        <v>0.87096774193548387</v>
      </c>
      <c r="AH182" s="224">
        <f t="shared" ref="AH182:AH214" si="14">(R182-AE182)/R182</f>
        <v>0.63206771716889065</v>
      </c>
      <c r="AJ182" s="231">
        <v>1.5091488450325183</v>
      </c>
      <c r="AK182" s="228" t="s">
        <v>594</v>
      </c>
      <c r="AL182" s="226">
        <f t="shared" si="11"/>
        <v>0.95131777919249938</v>
      </c>
    </row>
    <row r="183" spans="1:38" hidden="1" x14ac:dyDescent="0.2">
      <c r="A183" s="15">
        <v>389</v>
      </c>
      <c r="B183" s="228" t="s">
        <v>664</v>
      </c>
      <c r="C183" s="229" t="s">
        <v>713</v>
      </c>
      <c r="D183" s="228">
        <v>4459</v>
      </c>
      <c r="E183" s="228" t="s">
        <v>629</v>
      </c>
      <c r="F183" s="228" t="s">
        <v>629</v>
      </c>
      <c r="G183" s="228" t="s">
        <v>629</v>
      </c>
      <c r="H183" s="228" t="s">
        <v>629</v>
      </c>
      <c r="I183" s="228" t="s">
        <v>629</v>
      </c>
      <c r="J183" s="228" t="s">
        <v>626</v>
      </c>
      <c r="K183" s="233" t="s">
        <v>712</v>
      </c>
      <c r="L183" s="228" t="s">
        <v>645</v>
      </c>
      <c r="M183" s="228">
        <v>102</v>
      </c>
      <c r="N183" s="228" t="s">
        <v>596</v>
      </c>
      <c r="O183" s="228">
        <v>21</v>
      </c>
      <c r="P183" s="228" t="s">
        <v>598</v>
      </c>
      <c r="Q183" s="234"/>
      <c r="R183" s="228">
        <v>44113</v>
      </c>
      <c r="S183" s="228" t="s">
        <v>629</v>
      </c>
      <c r="T183" s="228" t="s">
        <v>629</v>
      </c>
      <c r="U183" s="228" t="s">
        <v>629</v>
      </c>
      <c r="V183" s="228" t="s">
        <v>629</v>
      </c>
      <c r="W183" s="228" t="s">
        <v>629</v>
      </c>
      <c r="X183" s="228" t="s">
        <v>626</v>
      </c>
      <c r="Y183" s="228" t="s">
        <v>712</v>
      </c>
      <c r="Z183" s="228" t="s">
        <v>198</v>
      </c>
      <c r="AA183" s="230">
        <v>84</v>
      </c>
      <c r="AB183" s="228" t="s">
        <v>596</v>
      </c>
      <c r="AC183" s="230">
        <v>17</v>
      </c>
      <c r="AD183" s="228" t="s">
        <v>598</v>
      </c>
      <c r="AE183" s="15">
        <v>39048</v>
      </c>
      <c r="AF183" s="224">
        <f t="shared" si="12"/>
        <v>0.17647058823529413</v>
      </c>
      <c r="AG183" s="224">
        <f t="shared" si="13"/>
        <v>0.19047619047619047</v>
      </c>
      <c r="AH183" s="224">
        <f t="shared" si="14"/>
        <v>0.11481876090948247</v>
      </c>
      <c r="AJ183" s="231">
        <v>3.5936435972191072</v>
      </c>
      <c r="AK183" s="228" t="s">
        <v>594</v>
      </c>
      <c r="AL183" s="226">
        <f t="shared" si="11"/>
        <v>0.82887411441813774</v>
      </c>
    </row>
    <row r="184" spans="1:38" hidden="1" x14ac:dyDescent="0.2">
      <c r="A184" s="15">
        <v>397</v>
      </c>
      <c r="B184" s="228" t="s">
        <v>664</v>
      </c>
      <c r="C184" s="229" t="s">
        <v>713</v>
      </c>
      <c r="D184" s="228">
        <v>4459</v>
      </c>
      <c r="E184" s="228" t="s">
        <v>629</v>
      </c>
      <c r="F184" s="228" t="s">
        <v>629</v>
      </c>
      <c r="G184" s="228" t="s">
        <v>629</v>
      </c>
      <c r="H184" s="228" t="s">
        <v>629</v>
      </c>
      <c r="I184" s="228" t="s">
        <v>629</v>
      </c>
      <c r="J184" s="228" t="s">
        <v>626</v>
      </c>
      <c r="K184" s="233" t="s">
        <v>712</v>
      </c>
      <c r="L184" s="228" t="s">
        <v>645</v>
      </c>
      <c r="M184" s="228">
        <v>102</v>
      </c>
      <c r="N184" s="228" t="s">
        <v>596</v>
      </c>
      <c r="O184" s="228">
        <v>21</v>
      </c>
      <c r="P184" s="228" t="s">
        <v>598</v>
      </c>
      <c r="Q184" s="234"/>
      <c r="R184" s="228">
        <v>44113</v>
      </c>
      <c r="S184" s="228" t="s">
        <v>629</v>
      </c>
      <c r="T184" s="228" t="s">
        <v>629</v>
      </c>
      <c r="U184" s="228" t="s">
        <v>629</v>
      </c>
      <c r="V184" s="228" t="s">
        <v>629</v>
      </c>
      <c r="W184" s="228" t="s">
        <v>629</v>
      </c>
      <c r="X184" s="228" t="s">
        <v>637</v>
      </c>
      <c r="Y184" s="228" t="s">
        <v>712</v>
      </c>
      <c r="Z184" s="228" t="s">
        <v>198</v>
      </c>
      <c r="AA184" s="230">
        <v>69</v>
      </c>
      <c r="AB184" s="228" t="s">
        <v>594</v>
      </c>
      <c r="AC184" s="230">
        <v>11</v>
      </c>
      <c r="AD184" s="228" t="s">
        <v>598</v>
      </c>
      <c r="AE184" s="15">
        <v>33417</v>
      </c>
      <c r="AF184" s="224">
        <f t="shared" si="12"/>
        <v>0.3235294117647059</v>
      </c>
      <c r="AG184" s="224">
        <f t="shared" si="13"/>
        <v>0.47619047619047616</v>
      </c>
      <c r="AH184" s="224">
        <f t="shared" si="14"/>
        <v>0.24246820665110058</v>
      </c>
      <c r="AJ184" s="231">
        <v>2.7355337968154294</v>
      </c>
      <c r="AK184" s="228" t="s">
        <v>594</v>
      </c>
      <c r="AL184" s="226">
        <f t="shared" si="11"/>
        <v>0.869736485865932</v>
      </c>
    </row>
    <row r="185" spans="1:38" x14ac:dyDescent="0.2">
      <c r="A185" s="15">
        <v>390</v>
      </c>
      <c r="B185" s="228" t="s">
        <v>664</v>
      </c>
      <c r="C185" s="229" t="s">
        <v>713</v>
      </c>
      <c r="D185" s="228">
        <v>4459</v>
      </c>
      <c r="E185" s="228" t="s">
        <v>629</v>
      </c>
      <c r="F185" s="228" t="s">
        <v>629</v>
      </c>
      <c r="G185" s="228" t="s">
        <v>629</v>
      </c>
      <c r="H185" s="228" t="s">
        <v>629</v>
      </c>
      <c r="I185" s="228" t="s">
        <v>629</v>
      </c>
      <c r="J185" s="228" t="s">
        <v>626</v>
      </c>
      <c r="K185" s="233" t="s">
        <v>712</v>
      </c>
      <c r="L185" s="228" t="s">
        <v>645</v>
      </c>
      <c r="M185" s="228">
        <v>102</v>
      </c>
      <c r="N185" s="228" t="s">
        <v>596</v>
      </c>
      <c r="O185" s="228">
        <v>21</v>
      </c>
      <c r="P185" s="228" t="s">
        <v>598</v>
      </c>
      <c r="Q185" s="234"/>
      <c r="R185" s="228">
        <v>44113</v>
      </c>
      <c r="S185" s="228" t="s">
        <v>468</v>
      </c>
      <c r="T185" s="228" t="s">
        <v>468</v>
      </c>
      <c r="U185" s="228" t="s">
        <v>468</v>
      </c>
      <c r="V185" s="228" t="s">
        <v>468</v>
      </c>
      <c r="W185" s="228" t="s">
        <v>468</v>
      </c>
      <c r="X185" s="228" t="s">
        <v>626</v>
      </c>
      <c r="Y185" s="228" t="s">
        <v>712</v>
      </c>
      <c r="Z185" s="228" t="s">
        <v>198</v>
      </c>
      <c r="AA185" s="230">
        <v>47</v>
      </c>
      <c r="AB185" s="228" t="s">
        <v>594</v>
      </c>
      <c r="AC185" s="230">
        <v>7</v>
      </c>
      <c r="AD185" s="228" t="s">
        <v>596</v>
      </c>
      <c r="AE185" s="15">
        <v>22051</v>
      </c>
      <c r="AF185" s="224">
        <f t="shared" si="12"/>
        <v>0.53921568627450978</v>
      </c>
      <c r="AG185" s="224">
        <f t="shared" si="13"/>
        <v>0.66666666666666663</v>
      </c>
      <c r="AH185" s="224">
        <f t="shared" si="14"/>
        <v>0.50012467979960551</v>
      </c>
      <c r="AJ185" s="231">
        <v>1.8482819466248037</v>
      </c>
      <c r="AK185" s="228" t="s">
        <v>594</v>
      </c>
      <c r="AL185" s="226">
        <f t="shared" si="11"/>
        <v>0.91198657397024741</v>
      </c>
    </row>
    <row r="186" spans="1:38" x14ac:dyDescent="0.2">
      <c r="A186" s="15">
        <v>1733</v>
      </c>
      <c r="B186" s="228" t="s">
        <v>664</v>
      </c>
      <c r="C186" s="229" t="s">
        <v>713</v>
      </c>
      <c r="D186" s="228">
        <v>4459</v>
      </c>
      <c r="E186" s="228" t="s">
        <v>629</v>
      </c>
      <c r="F186" s="228" t="s">
        <v>629</v>
      </c>
      <c r="G186" s="228" t="s">
        <v>629</v>
      </c>
      <c r="H186" s="228" t="s">
        <v>629</v>
      </c>
      <c r="I186" s="228" t="s">
        <v>629</v>
      </c>
      <c r="J186" s="228" t="s">
        <v>626</v>
      </c>
      <c r="K186" s="235" t="s">
        <v>712</v>
      </c>
      <c r="L186" s="228" t="s">
        <v>645</v>
      </c>
      <c r="M186" s="228">
        <v>102</v>
      </c>
      <c r="N186" s="228" t="s">
        <v>596</v>
      </c>
      <c r="O186" s="228">
        <v>21</v>
      </c>
      <c r="P186" s="228" t="s">
        <v>598</v>
      </c>
      <c r="Q186" s="234"/>
      <c r="R186" s="228">
        <v>44113</v>
      </c>
      <c r="S186" s="228" t="s">
        <v>468</v>
      </c>
      <c r="T186" s="228" t="s">
        <v>468</v>
      </c>
      <c r="U186" s="228" t="s">
        <v>468</v>
      </c>
      <c r="V186" s="228" t="s">
        <v>468</v>
      </c>
      <c r="W186" s="228" t="s">
        <v>468</v>
      </c>
      <c r="X186" s="228" t="s">
        <v>626</v>
      </c>
      <c r="Y186" s="228" t="s">
        <v>712</v>
      </c>
      <c r="Z186" s="228" t="s">
        <v>645</v>
      </c>
      <c r="AA186" s="230">
        <v>57</v>
      </c>
      <c r="AB186" s="228" t="s">
        <v>594</v>
      </c>
      <c r="AC186" s="230">
        <v>10</v>
      </c>
      <c r="AD186" s="228" t="s">
        <v>596</v>
      </c>
      <c r="AE186" s="15">
        <v>27176</v>
      </c>
      <c r="AF186" s="224">
        <f t="shared" si="12"/>
        <v>0.44117647058823528</v>
      </c>
      <c r="AG186" s="224">
        <f t="shared" si="13"/>
        <v>0.52380952380952384</v>
      </c>
      <c r="AH186" s="224">
        <f t="shared" si="14"/>
        <v>0.38394577562169879</v>
      </c>
      <c r="AJ186" s="231">
        <v>2.30299564924871</v>
      </c>
      <c r="AK186" s="228" t="s">
        <v>594</v>
      </c>
      <c r="AL186" s="226">
        <f t="shared" si="11"/>
        <v>0.89033354051196612</v>
      </c>
    </row>
    <row r="187" spans="1:38" x14ac:dyDescent="0.2">
      <c r="A187" s="15">
        <v>398</v>
      </c>
      <c r="B187" s="228" t="s">
        <v>664</v>
      </c>
      <c r="C187" s="229" t="s">
        <v>713</v>
      </c>
      <c r="D187" s="228">
        <v>4459</v>
      </c>
      <c r="E187" s="228" t="s">
        <v>629</v>
      </c>
      <c r="F187" s="228" t="s">
        <v>629</v>
      </c>
      <c r="G187" s="228" t="s">
        <v>629</v>
      </c>
      <c r="H187" s="228" t="s">
        <v>629</v>
      </c>
      <c r="I187" s="228" t="s">
        <v>629</v>
      </c>
      <c r="J187" s="228" t="s">
        <v>626</v>
      </c>
      <c r="K187" s="233" t="s">
        <v>712</v>
      </c>
      <c r="L187" s="228" t="s">
        <v>645</v>
      </c>
      <c r="M187" s="228">
        <v>102</v>
      </c>
      <c r="N187" s="228" t="s">
        <v>596</v>
      </c>
      <c r="O187" s="228">
        <v>21</v>
      </c>
      <c r="P187" s="228" t="s">
        <v>598</v>
      </c>
      <c r="Q187" s="234"/>
      <c r="R187" s="228">
        <v>44113</v>
      </c>
      <c r="S187" s="228" t="s">
        <v>468</v>
      </c>
      <c r="T187" s="228" t="s">
        <v>468</v>
      </c>
      <c r="U187" s="228" t="s">
        <v>468</v>
      </c>
      <c r="V187" s="228" t="s">
        <v>468</v>
      </c>
      <c r="W187" s="228" t="s">
        <v>468</v>
      </c>
      <c r="X187" s="228" t="s">
        <v>637</v>
      </c>
      <c r="Y187" s="228" t="s">
        <v>712</v>
      </c>
      <c r="Z187" s="228" t="s">
        <v>198</v>
      </c>
      <c r="AA187" s="230">
        <v>32</v>
      </c>
      <c r="AB187" s="228" t="s">
        <v>594</v>
      </c>
      <c r="AC187" s="230">
        <v>2</v>
      </c>
      <c r="AD187" s="228" t="s">
        <v>594</v>
      </c>
      <c r="AE187" s="15">
        <v>15424</v>
      </c>
      <c r="AF187" s="224">
        <f t="shared" si="12"/>
        <v>0.68627450980392157</v>
      </c>
      <c r="AG187" s="224">
        <f t="shared" si="13"/>
        <v>0.90476190476190477</v>
      </c>
      <c r="AH187" s="224">
        <f t="shared" si="14"/>
        <v>0.65035250379706666</v>
      </c>
      <c r="AJ187" s="231">
        <v>1.0143272482619423</v>
      </c>
      <c r="AK187" s="228" t="s">
        <v>594</v>
      </c>
      <c r="AL187" s="226">
        <f t="shared" si="11"/>
        <v>0.95169870246371702</v>
      </c>
    </row>
    <row r="188" spans="1:38" x14ac:dyDescent="0.2">
      <c r="A188" s="15">
        <v>1604</v>
      </c>
      <c r="B188" s="228" t="s">
        <v>664</v>
      </c>
      <c r="C188" s="229" t="s">
        <v>711</v>
      </c>
      <c r="D188" s="228">
        <v>4459</v>
      </c>
      <c r="E188" s="228" t="s">
        <v>629</v>
      </c>
      <c r="F188" s="228" t="s">
        <v>629</v>
      </c>
      <c r="G188" s="228" t="s">
        <v>629</v>
      </c>
      <c r="H188" s="228" t="s">
        <v>629</v>
      </c>
      <c r="I188" s="228" t="s">
        <v>629</v>
      </c>
      <c r="J188" s="228" t="s">
        <v>630</v>
      </c>
      <c r="K188" s="228" t="s">
        <v>714</v>
      </c>
      <c r="L188" s="228" t="s">
        <v>645</v>
      </c>
      <c r="M188" s="228">
        <v>182</v>
      </c>
      <c r="N188" s="228" t="s">
        <v>600</v>
      </c>
      <c r="O188" s="228">
        <v>39</v>
      </c>
      <c r="P188" s="228" t="s">
        <v>600</v>
      </c>
      <c r="Q188" s="228"/>
      <c r="R188" s="228">
        <v>52689</v>
      </c>
      <c r="S188" s="228" t="s">
        <v>468</v>
      </c>
      <c r="T188" s="228" t="s">
        <v>468</v>
      </c>
      <c r="U188" s="228" t="s">
        <v>468</v>
      </c>
      <c r="V188" s="228" t="s">
        <v>468</v>
      </c>
      <c r="W188" s="228" t="s">
        <v>468</v>
      </c>
      <c r="X188" s="228" t="s">
        <v>630</v>
      </c>
      <c r="Y188" s="228" t="s">
        <v>714</v>
      </c>
      <c r="Z188" s="228" t="s">
        <v>645</v>
      </c>
      <c r="AA188" s="230">
        <v>89</v>
      </c>
      <c r="AB188" s="228" t="s">
        <v>596</v>
      </c>
      <c r="AC188" s="230">
        <v>17</v>
      </c>
      <c r="AD188" s="228" t="s">
        <v>598</v>
      </c>
      <c r="AE188" s="15">
        <v>28431</v>
      </c>
      <c r="AF188" s="224">
        <f t="shared" si="12"/>
        <v>0.51098901098901095</v>
      </c>
      <c r="AG188" s="224">
        <f t="shared" si="13"/>
        <v>0.5641025641025641</v>
      </c>
      <c r="AH188" s="224">
        <f t="shared" si="14"/>
        <v>0.46039970392301999</v>
      </c>
      <c r="AJ188" s="231">
        <v>3.7390574344023322</v>
      </c>
      <c r="AK188" s="228" t="s">
        <v>594</v>
      </c>
      <c r="AL188" s="226">
        <f t="shared" si="11"/>
        <v>0.90412673245122221</v>
      </c>
    </row>
    <row r="189" spans="1:38" hidden="1" x14ac:dyDescent="0.2">
      <c r="A189" s="15">
        <v>304</v>
      </c>
      <c r="B189" s="228" t="s">
        <v>664</v>
      </c>
      <c r="C189" s="229" t="s">
        <v>711</v>
      </c>
      <c r="D189" s="228">
        <v>4459</v>
      </c>
      <c r="E189" s="228" t="s">
        <v>629</v>
      </c>
      <c r="F189" s="228" t="s">
        <v>629</v>
      </c>
      <c r="G189" s="228" t="s">
        <v>629</v>
      </c>
      <c r="H189" s="228" t="s">
        <v>629</v>
      </c>
      <c r="I189" s="228" t="s">
        <v>629</v>
      </c>
      <c r="J189" s="228" t="s">
        <v>630</v>
      </c>
      <c r="K189" s="228" t="s">
        <v>714</v>
      </c>
      <c r="L189" s="228" t="s">
        <v>645</v>
      </c>
      <c r="M189" s="228">
        <v>182</v>
      </c>
      <c r="N189" s="228" t="s">
        <v>600</v>
      </c>
      <c r="O189" s="228">
        <v>39</v>
      </c>
      <c r="P189" s="228" t="s">
        <v>600</v>
      </c>
      <c r="Q189" s="228"/>
      <c r="R189" s="228">
        <v>52689</v>
      </c>
      <c r="S189" s="228" t="s">
        <v>629</v>
      </c>
      <c r="T189" s="228" t="s">
        <v>629</v>
      </c>
      <c r="U189" s="228" t="s">
        <v>629</v>
      </c>
      <c r="V189" s="228" t="s">
        <v>629</v>
      </c>
      <c r="W189" s="228" t="s">
        <v>629</v>
      </c>
      <c r="X189" s="228" t="s">
        <v>630</v>
      </c>
      <c r="Y189" s="228" t="s">
        <v>714</v>
      </c>
      <c r="Z189" s="228" t="s">
        <v>198</v>
      </c>
      <c r="AA189" s="230">
        <v>158</v>
      </c>
      <c r="AB189" s="228" t="s">
        <v>598</v>
      </c>
      <c r="AC189" s="230">
        <v>34</v>
      </c>
      <c r="AD189" s="228" t="s">
        <v>600</v>
      </c>
      <c r="AE189" s="15">
        <v>46139</v>
      </c>
      <c r="AF189" s="224">
        <f t="shared" si="12"/>
        <v>0.13186813186813187</v>
      </c>
      <c r="AG189" s="224">
        <f t="shared" si="13"/>
        <v>0.12820512820512819</v>
      </c>
      <c r="AH189" s="224">
        <f t="shared" si="14"/>
        <v>0.12431437301903624</v>
      </c>
      <c r="AJ189" s="231">
        <v>6.8432633101592275</v>
      </c>
      <c r="AK189" s="228" t="s">
        <v>596</v>
      </c>
      <c r="AL189" s="226">
        <f t="shared" si="11"/>
        <v>0.82453170999591718</v>
      </c>
    </row>
    <row r="190" spans="1:38" hidden="1" x14ac:dyDescent="0.2">
      <c r="A190" s="15">
        <v>316</v>
      </c>
      <c r="B190" s="228" t="s">
        <v>664</v>
      </c>
      <c r="C190" s="229" t="s">
        <v>711</v>
      </c>
      <c r="D190" s="228">
        <v>4459</v>
      </c>
      <c r="E190" s="228" t="s">
        <v>629</v>
      </c>
      <c r="F190" s="228" t="s">
        <v>629</v>
      </c>
      <c r="G190" s="228" t="s">
        <v>629</v>
      </c>
      <c r="H190" s="228" t="s">
        <v>629</v>
      </c>
      <c r="I190" s="228" t="s">
        <v>629</v>
      </c>
      <c r="J190" s="228" t="s">
        <v>630</v>
      </c>
      <c r="K190" s="228" t="s">
        <v>714</v>
      </c>
      <c r="L190" s="228" t="s">
        <v>645</v>
      </c>
      <c r="M190" s="228">
        <v>182</v>
      </c>
      <c r="N190" s="228" t="s">
        <v>600</v>
      </c>
      <c r="O190" s="228">
        <v>39</v>
      </c>
      <c r="P190" s="228" t="s">
        <v>600</v>
      </c>
      <c r="Q190" s="228"/>
      <c r="R190" s="228">
        <v>52689</v>
      </c>
      <c r="S190" s="228" t="s">
        <v>629</v>
      </c>
      <c r="T190" s="228" t="s">
        <v>629</v>
      </c>
      <c r="U190" s="228" t="s">
        <v>629</v>
      </c>
      <c r="V190" s="228" t="s">
        <v>629</v>
      </c>
      <c r="W190" s="228" t="s">
        <v>629</v>
      </c>
      <c r="X190" s="228" t="s">
        <v>636</v>
      </c>
      <c r="Y190" s="228" t="s">
        <v>714</v>
      </c>
      <c r="Z190" s="228" t="s">
        <v>198</v>
      </c>
      <c r="AA190" s="230">
        <v>163</v>
      </c>
      <c r="AB190" s="228" t="s">
        <v>598</v>
      </c>
      <c r="AC190" s="230">
        <v>35</v>
      </c>
      <c r="AD190" s="228" t="s">
        <v>600</v>
      </c>
      <c r="AE190" s="15">
        <v>47518</v>
      </c>
      <c r="AF190" s="224">
        <f t="shared" si="12"/>
        <v>0.1043956043956044</v>
      </c>
      <c r="AG190" s="224">
        <f t="shared" si="13"/>
        <v>0.10256410256410256</v>
      </c>
      <c r="AH190" s="224">
        <f t="shared" si="14"/>
        <v>9.8141927157471193E-2</v>
      </c>
      <c r="AJ190" s="231">
        <v>7.0641148912312177</v>
      </c>
      <c r="AK190" s="228" t="s">
        <v>596</v>
      </c>
      <c r="AL190" s="226">
        <f t="shared" ref="AL190:AL214" si="15">(O190-AJ190)/O190</f>
        <v>0.81886884894278933</v>
      </c>
    </row>
    <row r="191" spans="1:38" hidden="1" x14ac:dyDescent="0.2">
      <c r="A191" s="15">
        <v>310</v>
      </c>
      <c r="B191" s="228" t="s">
        <v>664</v>
      </c>
      <c r="C191" s="229" t="s">
        <v>711</v>
      </c>
      <c r="D191" s="228">
        <v>4459</v>
      </c>
      <c r="E191" s="228" t="s">
        <v>629</v>
      </c>
      <c r="F191" s="228" t="s">
        <v>629</v>
      </c>
      <c r="G191" s="228" t="s">
        <v>629</v>
      </c>
      <c r="H191" s="228" t="s">
        <v>629</v>
      </c>
      <c r="I191" s="228" t="s">
        <v>629</v>
      </c>
      <c r="J191" s="228" t="s">
        <v>630</v>
      </c>
      <c r="K191" s="228" t="s">
        <v>714</v>
      </c>
      <c r="L191" s="228" t="s">
        <v>645</v>
      </c>
      <c r="M191" s="228">
        <v>182</v>
      </c>
      <c r="N191" s="228" t="s">
        <v>600</v>
      </c>
      <c r="O191" s="228">
        <v>39</v>
      </c>
      <c r="P191" s="228" t="s">
        <v>600</v>
      </c>
      <c r="Q191" s="228"/>
      <c r="R191" s="228">
        <v>52689</v>
      </c>
      <c r="S191" s="228" t="s">
        <v>629</v>
      </c>
      <c r="T191" s="228" t="s">
        <v>629</v>
      </c>
      <c r="U191" s="228" t="s">
        <v>629</v>
      </c>
      <c r="V191" s="228" t="s">
        <v>629</v>
      </c>
      <c r="W191" s="228" t="s">
        <v>629</v>
      </c>
      <c r="X191" s="228" t="s">
        <v>643</v>
      </c>
      <c r="Y191" s="228" t="s">
        <v>714</v>
      </c>
      <c r="Z191" s="228" t="s">
        <v>198</v>
      </c>
      <c r="AA191" s="230">
        <v>143.59357030724377</v>
      </c>
      <c r="AB191" s="228" t="s">
        <v>598</v>
      </c>
      <c r="AC191" s="230">
        <v>12.89237538685804</v>
      </c>
      <c r="AD191" s="228" t="s">
        <v>598</v>
      </c>
      <c r="AE191" s="15" t="s">
        <v>629</v>
      </c>
      <c r="AF191" s="224">
        <f t="shared" si="12"/>
        <v>0.21102433897118811</v>
      </c>
      <c r="AG191" s="224">
        <f t="shared" si="13"/>
        <v>0.66942627213184502</v>
      </c>
      <c r="AH191" s="224" t="e">
        <f t="shared" si="14"/>
        <v>#VALUE!</v>
      </c>
      <c r="AJ191" s="231">
        <v>5.1929325409284601</v>
      </c>
      <c r="AK191" s="228" t="s">
        <v>594</v>
      </c>
      <c r="AL191" s="226">
        <f t="shared" si="15"/>
        <v>0.86684788356593689</v>
      </c>
    </row>
    <row r="192" spans="1:38" hidden="1" x14ac:dyDescent="0.2">
      <c r="A192" s="15">
        <v>333</v>
      </c>
      <c r="B192" s="228" t="s">
        <v>664</v>
      </c>
      <c r="C192" s="229" t="s">
        <v>711</v>
      </c>
      <c r="D192" s="228">
        <v>4459</v>
      </c>
      <c r="E192" s="228" t="s">
        <v>629</v>
      </c>
      <c r="F192" s="228" t="s">
        <v>629</v>
      </c>
      <c r="G192" s="228" t="s">
        <v>629</v>
      </c>
      <c r="H192" s="228" t="s">
        <v>629</v>
      </c>
      <c r="I192" s="228" t="s">
        <v>629</v>
      </c>
      <c r="J192" s="228" t="s">
        <v>630</v>
      </c>
      <c r="K192" s="228" t="s">
        <v>714</v>
      </c>
      <c r="L192" s="228" t="s">
        <v>645</v>
      </c>
      <c r="M192" s="228">
        <v>182</v>
      </c>
      <c r="N192" s="228" t="s">
        <v>600</v>
      </c>
      <c r="O192" s="228">
        <v>39</v>
      </c>
      <c r="P192" s="228" t="s">
        <v>600</v>
      </c>
      <c r="Q192" s="228"/>
      <c r="R192" s="228">
        <v>52689</v>
      </c>
      <c r="S192" s="228" t="s">
        <v>629</v>
      </c>
      <c r="T192" s="228" t="s">
        <v>629</v>
      </c>
      <c r="U192" s="228" t="s">
        <v>629</v>
      </c>
      <c r="V192" s="228" t="s">
        <v>629</v>
      </c>
      <c r="W192" s="228" t="s">
        <v>629</v>
      </c>
      <c r="X192" s="232" t="s">
        <v>639</v>
      </c>
      <c r="Y192" s="228" t="s">
        <v>714</v>
      </c>
      <c r="Z192" s="228" t="s">
        <v>198</v>
      </c>
      <c r="AA192" s="230">
        <v>137</v>
      </c>
      <c r="AB192" s="228" t="s">
        <v>598</v>
      </c>
      <c r="AC192" s="230">
        <v>4</v>
      </c>
      <c r="AD192" s="228" t="s">
        <v>594</v>
      </c>
      <c r="AE192" s="15">
        <v>44668</v>
      </c>
      <c r="AF192" s="224">
        <f t="shared" si="12"/>
        <v>0.24725274725274726</v>
      </c>
      <c r="AG192" s="224">
        <f t="shared" si="13"/>
        <v>0.89743589743589747</v>
      </c>
      <c r="AH192" s="224">
        <f t="shared" si="14"/>
        <v>0.15223291389094498</v>
      </c>
      <c r="AJ192" s="231">
        <v>4.4858555281453238</v>
      </c>
      <c r="AK192" s="228" t="s">
        <v>594</v>
      </c>
      <c r="AL192" s="226">
        <f t="shared" si="15"/>
        <v>0.88497806338088914</v>
      </c>
    </row>
    <row r="193" spans="1:38" x14ac:dyDescent="0.2">
      <c r="A193" s="15">
        <v>305</v>
      </c>
      <c r="B193" s="228" t="s">
        <v>664</v>
      </c>
      <c r="C193" s="229" t="s">
        <v>711</v>
      </c>
      <c r="D193" s="228">
        <v>4459</v>
      </c>
      <c r="E193" s="228" t="s">
        <v>629</v>
      </c>
      <c r="F193" s="228" t="s">
        <v>629</v>
      </c>
      <c r="G193" s="228" t="s">
        <v>629</v>
      </c>
      <c r="H193" s="228" t="s">
        <v>629</v>
      </c>
      <c r="I193" s="228" t="s">
        <v>629</v>
      </c>
      <c r="J193" s="228" t="s">
        <v>630</v>
      </c>
      <c r="K193" s="228" t="s">
        <v>714</v>
      </c>
      <c r="L193" s="228" t="s">
        <v>645</v>
      </c>
      <c r="M193" s="228">
        <v>182</v>
      </c>
      <c r="N193" s="228" t="s">
        <v>600</v>
      </c>
      <c r="O193" s="228">
        <v>39</v>
      </c>
      <c r="P193" s="228" t="s">
        <v>600</v>
      </c>
      <c r="Q193" s="228"/>
      <c r="R193" s="228">
        <v>52689</v>
      </c>
      <c r="S193" s="228" t="s">
        <v>468</v>
      </c>
      <c r="T193" s="228" t="s">
        <v>468</v>
      </c>
      <c r="U193" s="228" t="s">
        <v>468</v>
      </c>
      <c r="V193" s="228" t="s">
        <v>468</v>
      </c>
      <c r="W193" s="228" t="s">
        <v>468</v>
      </c>
      <c r="X193" s="228" t="s">
        <v>630</v>
      </c>
      <c r="Y193" s="228" t="s">
        <v>714</v>
      </c>
      <c r="Z193" s="228" t="s">
        <v>198</v>
      </c>
      <c r="AA193" s="230">
        <v>77</v>
      </c>
      <c r="AB193" s="228" t="s">
        <v>596</v>
      </c>
      <c r="AC193" s="230">
        <v>15</v>
      </c>
      <c r="AD193" s="228" t="s">
        <v>598</v>
      </c>
      <c r="AE193" s="15">
        <v>25095</v>
      </c>
      <c r="AF193" s="224">
        <f t="shared" si="12"/>
        <v>0.57692307692307687</v>
      </c>
      <c r="AG193" s="224">
        <f t="shared" si="13"/>
        <v>0.61538461538461542</v>
      </c>
      <c r="AH193" s="224">
        <f t="shared" si="14"/>
        <v>0.52371462734157037</v>
      </c>
      <c r="AJ193" s="231">
        <v>3.2049957165283693</v>
      </c>
      <c r="AK193" s="228" t="s">
        <v>594</v>
      </c>
      <c r="AL193" s="226">
        <f t="shared" si="15"/>
        <v>0.91782062265311859</v>
      </c>
    </row>
    <row r="194" spans="1:38" x14ac:dyDescent="0.2">
      <c r="A194" s="15">
        <v>317</v>
      </c>
      <c r="B194" s="228" t="s">
        <v>664</v>
      </c>
      <c r="C194" s="229" t="s">
        <v>711</v>
      </c>
      <c r="D194" s="228">
        <v>4459</v>
      </c>
      <c r="E194" s="228" t="s">
        <v>629</v>
      </c>
      <c r="F194" s="228" t="s">
        <v>629</v>
      </c>
      <c r="G194" s="228" t="s">
        <v>629</v>
      </c>
      <c r="H194" s="228" t="s">
        <v>629</v>
      </c>
      <c r="I194" s="228" t="s">
        <v>629</v>
      </c>
      <c r="J194" s="228" t="s">
        <v>630</v>
      </c>
      <c r="K194" s="228" t="s">
        <v>714</v>
      </c>
      <c r="L194" s="228" t="s">
        <v>645</v>
      </c>
      <c r="M194" s="228">
        <v>182</v>
      </c>
      <c r="N194" s="228" t="s">
        <v>600</v>
      </c>
      <c r="O194" s="228">
        <v>39</v>
      </c>
      <c r="P194" s="228" t="s">
        <v>600</v>
      </c>
      <c r="Q194" s="228"/>
      <c r="R194" s="228">
        <v>52689</v>
      </c>
      <c r="S194" s="228" t="s">
        <v>468</v>
      </c>
      <c r="T194" s="228" t="s">
        <v>468</v>
      </c>
      <c r="U194" s="228" t="s">
        <v>468</v>
      </c>
      <c r="V194" s="228" t="s">
        <v>468</v>
      </c>
      <c r="W194" s="228" t="s">
        <v>468</v>
      </c>
      <c r="X194" s="228" t="s">
        <v>636</v>
      </c>
      <c r="Y194" s="228" t="s">
        <v>714</v>
      </c>
      <c r="Z194" s="228" t="s">
        <v>198</v>
      </c>
      <c r="AA194" s="230">
        <v>62</v>
      </c>
      <c r="AB194" s="228" t="s">
        <v>594</v>
      </c>
      <c r="AC194" s="230">
        <v>11</v>
      </c>
      <c r="AD194" s="228" t="s">
        <v>598</v>
      </c>
      <c r="AE194" s="15">
        <v>21451</v>
      </c>
      <c r="AF194" s="224">
        <f t="shared" si="12"/>
        <v>0.65934065934065933</v>
      </c>
      <c r="AG194" s="224">
        <f t="shared" si="13"/>
        <v>0.71794871794871795</v>
      </c>
      <c r="AH194" s="224">
        <f t="shared" si="14"/>
        <v>0.59287517318605398</v>
      </c>
      <c r="AJ194" s="231">
        <v>2.5611713612917697</v>
      </c>
      <c r="AK194" s="228" t="s">
        <v>594</v>
      </c>
      <c r="AL194" s="226">
        <f t="shared" si="15"/>
        <v>0.93432893945405715</v>
      </c>
    </row>
    <row r="195" spans="1:38" x14ac:dyDescent="0.2">
      <c r="A195" s="15">
        <v>311</v>
      </c>
      <c r="B195" s="228" t="s">
        <v>664</v>
      </c>
      <c r="C195" s="229" t="s">
        <v>711</v>
      </c>
      <c r="D195" s="228">
        <v>4459</v>
      </c>
      <c r="E195" s="228" t="s">
        <v>629</v>
      </c>
      <c r="F195" s="228" t="s">
        <v>629</v>
      </c>
      <c r="G195" s="228" t="s">
        <v>629</v>
      </c>
      <c r="H195" s="228" t="s">
        <v>629</v>
      </c>
      <c r="I195" s="228" t="s">
        <v>629</v>
      </c>
      <c r="J195" s="228" t="s">
        <v>630</v>
      </c>
      <c r="K195" s="228" t="s">
        <v>714</v>
      </c>
      <c r="L195" s="228" t="s">
        <v>645</v>
      </c>
      <c r="M195" s="228">
        <v>182</v>
      </c>
      <c r="N195" s="228" t="s">
        <v>600</v>
      </c>
      <c r="O195" s="228">
        <v>39</v>
      </c>
      <c r="P195" s="228" t="s">
        <v>600</v>
      </c>
      <c r="Q195" s="228"/>
      <c r="R195" s="228">
        <v>52689</v>
      </c>
      <c r="S195" s="228" t="s">
        <v>468</v>
      </c>
      <c r="T195" s="228" t="s">
        <v>468</v>
      </c>
      <c r="U195" s="228" t="s">
        <v>468</v>
      </c>
      <c r="V195" s="228" t="s">
        <v>468</v>
      </c>
      <c r="W195" s="228" t="s">
        <v>468</v>
      </c>
      <c r="X195" s="228" t="s">
        <v>643</v>
      </c>
      <c r="Y195" s="228" t="s">
        <v>714</v>
      </c>
      <c r="Z195" s="228" t="s">
        <v>198</v>
      </c>
      <c r="AA195" s="230">
        <v>71.93493832697915</v>
      </c>
      <c r="AB195" s="228" t="s">
        <v>596</v>
      </c>
      <c r="AC195" s="230">
        <v>6.9683276855797258</v>
      </c>
      <c r="AD195" s="228" t="s">
        <v>596</v>
      </c>
      <c r="AE195" s="15" t="s">
        <v>629</v>
      </c>
      <c r="AF195" s="224">
        <f t="shared" si="12"/>
        <v>0.60475308611549916</v>
      </c>
      <c r="AG195" s="224">
        <f t="shared" si="13"/>
        <v>0.82132493113898142</v>
      </c>
      <c r="AH195" s="224" t="e">
        <f t="shared" si="14"/>
        <v>#VALUE!</v>
      </c>
      <c r="AJ195" s="231">
        <v>2.5305038125140165</v>
      </c>
      <c r="AK195" s="228" t="s">
        <v>594</v>
      </c>
      <c r="AL195" s="226">
        <f t="shared" si="15"/>
        <v>0.935115286858615</v>
      </c>
    </row>
    <row r="196" spans="1:38" x14ac:dyDescent="0.2">
      <c r="A196" s="15">
        <v>334</v>
      </c>
      <c r="B196" s="228" t="s">
        <v>664</v>
      </c>
      <c r="C196" s="229" t="s">
        <v>711</v>
      </c>
      <c r="D196" s="228">
        <v>4459</v>
      </c>
      <c r="E196" s="228" t="s">
        <v>629</v>
      </c>
      <c r="F196" s="228" t="s">
        <v>629</v>
      </c>
      <c r="G196" s="228" t="s">
        <v>629</v>
      </c>
      <c r="H196" s="228" t="s">
        <v>629</v>
      </c>
      <c r="I196" s="228" t="s">
        <v>629</v>
      </c>
      <c r="J196" s="228" t="s">
        <v>630</v>
      </c>
      <c r="K196" s="228" t="s">
        <v>714</v>
      </c>
      <c r="L196" s="228" t="s">
        <v>645</v>
      </c>
      <c r="M196" s="228">
        <v>182</v>
      </c>
      <c r="N196" s="228" t="s">
        <v>600</v>
      </c>
      <c r="O196" s="228">
        <v>39</v>
      </c>
      <c r="P196" s="228" t="s">
        <v>600</v>
      </c>
      <c r="Q196" s="228"/>
      <c r="R196" s="228">
        <v>52689</v>
      </c>
      <c r="S196" s="228" t="s">
        <v>468</v>
      </c>
      <c r="T196" s="228" t="s">
        <v>468</v>
      </c>
      <c r="U196" s="228" t="s">
        <v>468</v>
      </c>
      <c r="V196" s="228" t="s">
        <v>468</v>
      </c>
      <c r="W196" s="228" t="s">
        <v>468</v>
      </c>
      <c r="X196" s="232" t="s">
        <v>639</v>
      </c>
      <c r="Y196" s="228" t="s">
        <v>714</v>
      </c>
      <c r="Z196" s="228" t="s">
        <v>198</v>
      </c>
      <c r="AA196" s="230">
        <v>69</v>
      </c>
      <c r="AB196" s="228" t="s">
        <v>594</v>
      </c>
      <c r="AC196" s="230">
        <v>2</v>
      </c>
      <c r="AD196" s="228" t="s">
        <v>594</v>
      </c>
      <c r="AE196" s="15">
        <v>24962</v>
      </c>
      <c r="AF196" s="224">
        <f t="shared" si="12"/>
        <v>0.62087912087912089</v>
      </c>
      <c r="AG196" s="224">
        <f t="shared" si="13"/>
        <v>0.94871794871794868</v>
      </c>
      <c r="AH196" s="224">
        <f t="shared" si="14"/>
        <v>0.52623887338913244</v>
      </c>
      <c r="AJ196" s="231">
        <v>2.1111025117739404</v>
      </c>
      <c r="AK196" s="228" t="s">
        <v>594</v>
      </c>
      <c r="AL196" s="226">
        <f t="shared" si="15"/>
        <v>0.9458691663647707</v>
      </c>
    </row>
    <row r="197" spans="1:38" x14ac:dyDescent="0.2">
      <c r="A197" s="15">
        <v>1721</v>
      </c>
      <c r="B197" s="228" t="s">
        <v>664</v>
      </c>
      <c r="C197" s="229" t="s">
        <v>623</v>
      </c>
      <c r="D197" s="228">
        <v>4459</v>
      </c>
      <c r="E197" s="228" t="s">
        <v>629</v>
      </c>
      <c r="F197" s="228" t="s">
        <v>629</v>
      </c>
      <c r="G197" s="228" t="s">
        <v>629</v>
      </c>
      <c r="H197" s="228" t="s">
        <v>629</v>
      </c>
      <c r="I197" s="228" t="s">
        <v>629</v>
      </c>
      <c r="J197" s="228" t="s">
        <v>630</v>
      </c>
      <c r="K197" s="228" t="s">
        <v>714</v>
      </c>
      <c r="L197" s="228" t="s">
        <v>645</v>
      </c>
      <c r="M197" s="228">
        <v>163</v>
      </c>
      <c r="N197" s="228" t="s">
        <v>598</v>
      </c>
      <c r="O197" s="228">
        <v>35</v>
      </c>
      <c r="P197" s="228" t="s">
        <v>600</v>
      </c>
      <c r="Q197" s="228"/>
      <c r="R197" s="228">
        <v>47506</v>
      </c>
      <c r="S197" s="228" t="s">
        <v>468</v>
      </c>
      <c r="T197" s="228" t="s">
        <v>468</v>
      </c>
      <c r="U197" s="228" t="s">
        <v>468</v>
      </c>
      <c r="V197" s="228" t="s">
        <v>468</v>
      </c>
      <c r="W197" s="228" t="s">
        <v>468</v>
      </c>
      <c r="X197" s="228" t="s">
        <v>630</v>
      </c>
      <c r="Y197" s="228" t="s">
        <v>714</v>
      </c>
      <c r="Z197" s="228" t="s">
        <v>645</v>
      </c>
      <c r="AA197" s="230">
        <v>81</v>
      </c>
      <c r="AB197" s="228" t="s">
        <v>596</v>
      </c>
      <c r="AC197" s="230">
        <v>16</v>
      </c>
      <c r="AD197" s="228" t="s">
        <v>598</v>
      </c>
      <c r="AE197" s="15">
        <v>2629.7</v>
      </c>
      <c r="AF197" s="224">
        <f t="shared" si="12"/>
        <v>0.50306748466257667</v>
      </c>
      <c r="AG197" s="224">
        <f t="shared" si="13"/>
        <v>0.54285714285714282</v>
      </c>
      <c r="AH197" s="224">
        <f t="shared" si="14"/>
        <v>0.94464488696164706</v>
      </c>
      <c r="AJ197" s="231">
        <v>3.4031222471406148</v>
      </c>
      <c r="AK197" s="228" t="s">
        <v>594</v>
      </c>
      <c r="AL197" s="226">
        <f t="shared" si="15"/>
        <v>0.90276793579598247</v>
      </c>
    </row>
    <row r="198" spans="1:38" hidden="1" x14ac:dyDescent="0.2">
      <c r="A198" s="15">
        <v>357</v>
      </c>
      <c r="B198" s="228" t="s">
        <v>664</v>
      </c>
      <c r="C198" s="229" t="s">
        <v>623</v>
      </c>
      <c r="D198" s="228">
        <v>4459</v>
      </c>
      <c r="E198" s="228" t="s">
        <v>629</v>
      </c>
      <c r="F198" s="228" t="s">
        <v>629</v>
      </c>
      <c r="G198" s="228" t="s">
        <v>629</v>
      </c>
      <c r="H198" s="228" t="s">
        <v>629</v>
      </c>
      <c r="I198" s="228" t="s">
        <v>629</v>
      </c>
      <c r="J198" s="228" t="s">
        <v>630</v>
      </c>
      <c r="K198" s="228" t="s">
        <v>714</v>
      </c>
      <c r="L198" s="228" t="s">
        <v>645</v>
      </c>
      <c r="M198" s="228">
        <v>163</v>
      </c>
      <c r="N198" s="228" t="s">
        <v>598</v>
      </c>
      <c r="O198" s="228">
        <v>35</v>
      </c>
      <c r="P198" s="228" t="s">
        <v>600</v>
      </c>
      <c r="Q198" s="228"/>
      <c r="R198" s="228">
        <v>47506</v>
      </c>
      <c r="S198" s="228" t="s">
        <v>629</v>
      </c>
      <c r="T198" s="228" t="s">
        <v>629</v>
      </c>
      <c r="U198" s="228" t="s">
        <v>629</v>
      </c>
      <c r="V198" s="228" t="s">
        <v>629</v>
      </c>
      <c r="W198" s="228" t="s">
        <v>629</v>
      </c>
      <c r="X198" s="228" t="s">
        <v>630</v>
      </c>
      <c r="Y198" s="228" t="s">
        <v>714</v>
      </c>
      <c r="Z198" s="228" t="s">
        <v>198</v>
      </c>
      <c r="AA198" s="230">
        <v>141</v>
      </c>
      <c r="AB198" s="228" t="s">
        <v>598</v>
      </c>
      <c r="AC198" s="230">
        <v>30</v>
      </c>
      <c r="AD198" s="228" t="s">
        <v>600</v>
      </c>
      <c r="AE198" s="15">
        <v>41554</v>
      </c>
      <c r="AF198" s="224">
        <f t="shared" si="12"/>
        <v>0.13496932515337423</v>
      </c>
      <c r="AG198" s="224">
        <f t="shared" si="13"/>
        <v>0.14285714285714285</v>
      </c>
      <c r="AH198" s="224">
        <f t="shared" si="14"/>
        <v>0.12528943712373175</v>
      </c>
      <c r="AJ198" s="231">
        <v>6.1244530387979363</v>
      </c>
      <c r="AK198" s="228" t="s">
        <v>596</v>
      </c>
      <c r="AL198" s="226">
        <f t="shared" si="15"/>
        <v>0.82501562746291601</v>
      </c>
    </row>
    <row r="199" spans="1:38" hidden="1" x14ac:dyDescent="0.2">
      <c r="A199" s="15">
        <v>369</v>
      </c>
      <c r="B199" s="228" t="s">
        <v>664</v>
      </c>
      <c r="C199" s="229" t="s">
        <v>623</v>
      </c>
      <c r="D199" s="228">
        <v>4459</v>
      </c>
      <c r="E199" s="228" t="s">
        <v>629</v>
      </c>
      <c r="F199" s="228" t="s">
        <v>629</v>
      </c>
      <c r="G199" s="228" t="s">
        <v>629</v>
      </c>
      <c r="H199" s="228" t="s">
        <v>629</v>
      </c>
      <c r="I199" s="228" t="s">
        <v>629</v>
      </c>
      <c r="J199" s="228" t="s">
        <v>630</v>
      </c>
      <c r="K199" s="228" t="s">
        <v>714</v>
      </c>
      <c r="L199" s="228" t="s">
        <v>645</v>
      </c>
      <c r="M199" s="228">
        <v>163</v>
      </c>
      <c r="N199" s="228" t="s">
        <v>598</v>
      </c>
      <c r="O199" s="228">
        <v>35</v>
      </c>
      <c r="P199" s="228" t="s">
        <v>600</v>
      </c>
      <c r="Q199" s="228"/>
      <c r="R199" s="228">
        <v>47506</v>
      </c>
      <c r="S199" s="228" t="s">
        <v>629</v>
      </c>
      <c r="T199" s="228" t="s">
        <v>629</v>
      </c>
      <c r="U199" s="228" t="s">
        <v>629</v>
      </c>
      <c r="V199" s="228" t="s">
        <v>629</v>
      </c>
      <c r="W199" s="228" t="s">
        <v>629</v>
      </c>
      <c r="X199" s="228" t="s">
        <v>636</v>
      </c>
      <c r="Y199" s="228" t="s">
        <v>714</v>
      </c>
      <c r="Z199" s="228" t="s">
        <v>198</v>
      </c>
      <c r="AA199" s="230">
        <v>142</v>
      </c>
      <c r="AB199" s="228" t="s">
        <v>598</v>
      </c>
      <c r="AC199" s="230">
        <v>30</v>
      </c>
      <c r="AD199" s="228" t="s">
        <v>600</v>
      </c>
      <c r="AE199" s="15">
        <v>41631</v>
      </c>
      <c r="AF199" s="224">
        <f t="shared" si="12"/>
        <v>0.12883435582822086</v>
      </c>
      <c r="AG199" s="224">
        <f t="shared" si="13"/>
        <v>0.14285714285714285</v>
      </c>
      <c r="AH199" s="224">
        <f t="shared" si="14"/>
        <v>0.123668589230834</v>
      </c>
      <c r="AJ199" s="231">
        <v>6.1367777752859389</v>
      </c>
      <c r="AK199" s="228" t="s">
        <v>596</v>
      </c>
      <c r="AL199" s="226">
        <f t="shared" si="15"/>
        <v>0.82466349213468748</v>
      </c>
    </row>
    <row r="200" spans="1:38" hidden="1" x14ac:dyDescent="0.2">
      <c r="A200" s="15">
        <v>363</v>
      </c>
      <c r="B200" s="228" t="s">
        <v>664</v>
      </c>
      <c r="C200" s="229" t="s">
        <v>623</v>
      </c>
      <c r="D200" s="228">
        <v>4459</v>
      </c>
      <c r="E200" s="228" t="s">
        <v>629</v>
      </c>
      <c r="F200" s="228" t="s">
        <v>629</v>
      </c>
      <c r="G200" s="228" t="s">
        <v>629</v>
      </c>
      <c r="H200" s="228" t="s">
        <v>629</v>
      </c>
      <c r="I200" s="228" t="s">
        <v>629</v>
      </c>
      <c r="J200" s="228" t="s">
        <v>630</v>
      </c>
      <c r="K200" s="228" t="s">
        <v>714</v>
      </c>
      <c r="L200" s="228" t="s">
        <v>645</v>
      </c>
      <c r="M200" s="228">
        <v>163</v>
      </c>
      <c r="N200" s="228" t="s">
        <v>598</v>
      </c>
      <c r="O200" s="228">
        <v>35</v>
      </c>
      <c r="P200" s="228" t="s">
        <v>600</v>
      </c>
      <c r="Q200" s="228"/>
      <c r="R200" s="228">
        <v>47506</v>
      </c>
      <c r="S200" s="228" t="s">
        <v>629</v>
      </c>
      <c r="T200" s="228" t="s">
        <v>629</v>
      </c>
      <c r="U200" s="228" t="s">
        <v>629</v>
      </c>
      <c r="V200" s="228" t="s">
        <v>629</v>
      </c>
      <c r="W200" s="228" t="s">
        <v>629</v>
      </c>
      <c r="X200" s="228" t="s">
        <v>643</v>
      </c>
      <c r="Y200" s="228" t="s">
        <v>714</v>
      </c>
      <c r="Z200" s="228" t="s">
        <v>198</v>
      </c>
      <c r="AA200" s="230">
        <v>128.85348845032519</v>
      </c>
      <c r="AB200" s="228" t="s">
        <v>598</v>
      </c>
      <c r="AC200" s="230">
        <v>11.660296770576361</v>
      </c>
      <c r="AD200" s="228" t="s">
        <v>598</v>
      </c>
      <c r="AE200" s="15" t="s">
        <v>629</v>
      </c>
      <c r="AF200" s="224">
        <f t="shared" si="12"/>
        <v>0.20948780091825039</v>
      </c>
      <c r="AG200" s="224">
        <f t="shared" si="13"/>
        <v>0.66684866369781837</v>
      </c>
      <c r="AH200" s="224" t="e">
        <f t="shared" si="14"/>
        <v>#VALUE!</v>
      </c>
      <c r="AJ200" s="231">
        <v>4.6555685467593628</v>
      </c>
      <c r="AK200" s="228" t="s">
        <v>594</v>
      </c>
      <c r="AL200" s="226">
        <f t="shared" si="15"/>
        <v>0.86698375580687537</v>
      </c>
    </row>
    <row r="201" spans="1:38" hidden="1" x14ac:dyDescent="0.2">
      <c r="A201" s="15">
        <v>386</v>
      </c>
      <c r="B201" s="228" t="s">
        <v>664</v>
      </c>
      <c r="C201" s="229" t="s">
        <v>623</v>
      </c>
      <c r="D201" s="228">
        <v>4459</v>
      </c>
      <c r="E201" s="228" t="s">
        <v>629</v>
      </c>
      <c r="F201" s="228" t="s">
        <v>629</v>
      </c>
      <c r="G201" s="228" t="s">
        <v>629</v>
      </c>
      <c r="H201" s="228" t="s">
        <v>629</v>
      </c>
      <c r="I201" s="228" t="s">
        <v>629</v>
      </c>
      <c r="J201" s="228" t="s">
        <v>630</v>
      </c>
      <c r="K201" s="228" t="s">
        <v>714</v>
      </c>
      <c r="L201" s="228" t="s">
        <v>645</v>
      </c>
      <c r="M201" s="228">
        <v>163</v>
      </c>
      <c r="N201" s="228" t="s">
        <v>598</v>
      </c>
      <c r="O201" s="228">
        <v>35</v>
      </c>
      <c r="P201" s="228" t="s">
        <v>600</v>
      </c>
      <c r="Q201" s="228"/>
      <c r="R201" s="228">
        <v>47506</v>
      </c>
      <c r="S201" s="228" t="s">
        <v>629</v>
      </c>
      <c r="T201" s="228" t="s">
        <v>629</v>
      </c>
      <c r="U201" s="228" t="s">
        <v>629</v>
      </c>
      <c r="V201" s="228" t="s">
        <v>629</v>
      </c>
      <c r="W201" s="228" t="s">
        <v>629</v>
      </c>
      <c r="X201" s="232" t="s">
        <v>639</v>
      </c>
      <c r="Y201" s="228" t="s">
        <v>714</v>
      </c>
      <c r="Z201" s="228" t="s">
        <v>198</v>
      </c>
      <c r="AA201" s="230">
        <v>123</v>
      </c>
      <c r="AB201" s="228" t="s">
        <v>598</v>
      </c>
      <c r="AC201" s="230">
        <v>4</v>
      </c>
      <c r="AD201" s="228" t="s">
        <v>594</v>
      </c>
      <c r="AE201" s="15">
        <v>40285</v>
      </c>
      <c r="AF201" s="224">
        <f t="shared" si="12"/>
        <v>0.24539877300613497</v>
      </c>
      <c r="AG201" s="224">
        <f t="shared" si="13"/>
        <v>0.88571428571428568</v>
      </c>
      <c r="AH201" s="224">
        <f t="shared" si="14"/>
        <v>0.1520018523975919</v>
      </c>
      <c r="AJ201" s="231">
        <v>4.0143782238169994</v>
      </c>
      <c r="AK201" s="228" t="s">
        <v>594</v>
      </c>
      <c r="AL201" s="226">
        <f t="shared" si="15"/>
        <v>0.88530347931951436</v>
      </c>
    </row>
    <row r="202" spans="1:38" x14ac:dyDescent="0.2">
      <c r="A202" s="15">
        <v>358</v>
      </c>
      <c r="B202" s="228" t="s">
        <v>664</v>
      </c>
      <c r="C202" s="229" t="s">
        <v>623</v>
      </c>
      <c r="D202" s="228">
        <v>4459</v>
      </c>
      <c r="E202" s="228" t="s">
        <v>629</v>
      </c>
      <c r="F202" s="228" t="s">
        <v>629</v>
      </c>
      <c r="G202" s="228" t="s">
        <v>629</v>
      </c>
      <c r="H202" s="228" t="s">
        <v>629</v>
      </c>
      <c r="I202" s="228" t="s">
        <v>629</v>
      </c>
      <c r="J202" s="228" t="s">
        <v>630</v>
      </c>
      <c r="K202" s="228" t="s">
        <v>714</v>
      </c>
      <c r="L202" s="228" t="s">
        <v>645</v>
      </c>
      <c r="M202" s="228">
        <v>163</v>
      </c>
      <c r="N202" s="228" t="s">
        <v>598</v>
      </c>
      <c r="O202" s="228">
        <v>35</v>
      </c>
      <c r="P202" s="228" t="s">
        <v>600</v>
      </c>
      <c r="Q202" s="228"/>
      <c r="R202" s="228">
        <v>47506</v>
      </c>
      <c r="S202" s="228" t="s">
        <v>468</v>
      </c>
      <c r="T202" s="228" t="s">
        <v>468</v>
      </c>
      <c r="U202" s="228" t="s">
        <v>468</v>
      </c>
      <c r="V202" s="228" t="s">
        <v>468</v>
      </c>
      <c r="W202" s="228" t="s">
        <v>468</v>
      </c>
      <c r="X202" s="228" t="s">
        <v>630</v>
      </c>
      <c r="Y202" s="228" t="s">
        <v>714</v>
      </c>
      <c r="Z202" s="228" t="s">
        <v>198</v>
      </c>
      <c r="AA202" s="230">
        <v>70</v>
      </c>
      <c r="AB202" s="228" t="s">
        <v>596</v>
      </c>
      <c r="AC202" s="230">
        <v>13</v>
      </c>
      <c r="AD202" s="228" t="s">
        <v>598</v>
      </c>
      <c r="AE202" s="15">
        <v>23356</v>
      </c>
      <c r="AF202" s="224">
        <f t="shared" si="12"/>
        <v>0.57055214723926384</v>
      </c>
      <c r="AG202" s="224">
        <f t="shared" si="13"/>
        <v>0.62857142857142856</v>
      </c>
      <c r="AH202" s="224">
        <f t="shared" si="14"/>
        <v>0.50835683913610907</v>
      </c>
      <c r="AJ202" s="231">
        <v>2.9322610675039247</v>
      </c>
      <c r="AK202" s="228" t="s">
        <v>594</v>
      </c>
      <c r="AL202" s="226">
        <f t="shared" si="15"/>
        <v>0.91622111235703074</v>
      </c>
    </row>
    <row r="203" spans="1:38" x14ac:dyDescent="0.2">
      <c r="A203" s="15">
        <v>370</v>
      </c>
      <c r="B203" s="228" t="s">
        <v>664</v>
      </c>
      <c r="C203" s="229" t="s">
        <v>623</v>
      </c>
      <c r="D203" s="228">
        <v>4459</v>
      </c>
      <c r="E203" s="228" t="s">
        <v>629</v>
      </c>
      <c r="F203" s="228" t="s">
        <v>629</v>
      </c>
      <c r="G203" s="228" t="s">
        <v>629</v>
      </c>
      <c r="H203" s="228" t="s">
        <v>629</v>
      </c>
      <c r="I203" s="228" t="s">
        <v>629</v>
      </c>
      <c r="J203" s="228" t="s">
        <v>630</v>
      </c>
      <c r="K203" s="228" t="s">
        <v>714</v>
      </c>
      <c r="L203" s="228" t="s">
        <v>645</v>
      </c>
      <c r="M203" s="228">
        <v>163</v>
      </c>
      <c r="N203" s="228" t="s">
        <v>598</v>
      </c>
      <c r="O203" s="228">
        <v>35</v>
      </c>
      <c r="P203" s="228" t="s">
        <v>600</v>
      </c>
      <c r="Q203" s="228"/>
      <c r="R203" s="228">
        <v>47506</v>
      </c>
      <c r="S203" s="228" t="s">
        <v>468</v>
      </c>
      <c r="T203" s="228" t="s">
        <v>468</v>
      </c>
      <c r="U203" s="228" t="s">
        <v>468</v>
      </c>
      <c r="V203" s="228" t="s">
        <v>468</v>
      </c>
      <c r="W203" s="228" t="s">
        <v>468</v>
      </c>
      <c r="X203" s="228" t="s">
        <v>636</v>
      </c>
      <c r="Y203" s="228" t="s">
        <v>714</v>
      </c>
      <c r="Z203" s="228" t="s">
        <v>198</v>
      </c>
      <c r="AA203" s="230">
        <v>54</v>
      </c>
      <c r="AB203" s="228" t="s">
        <v>594</v>
      </c>
      <c r="AC203" s="230">
        <v>9</v>
      </c>
      <c r="AD203" s="228" t="s">
        <v>596</v>
      </c>
      <c r="AE203" s="15">
        <v>19030</v>
      </c>
      <c r="AF203" s="224">
        <f t="shared" si="12"/>
        <v>0.66871165644171782</v>
      </c>
      <c r="AG203" s="224">
        <f t="shared" si="13"/>
        <v>0.74285714285714288</v>
      </c>
      <c r="AH203" s="224">
        <f t="shared" si="14"/>
        <v>0.59941902075527298</v>
      </c>
      <c r="AJ203" s="231">
        <v>2.1850624130971066</v>
      </c>
      <c r="AK203" s="228" t="s">
        <v>594</v>
      </c>
      <c r="AL203" s="226">
        <f t="shared" si="15"/>
        <v>0.93756964534008269</v>
      </c>
    </row>
    <row r="204" spans="1:38" x14ac:dyDescent="0.2">
      <c r="A204" s="15">
        <v>365</v>
      </c>
      <c r="B204" s="228" t="s">
        <v>664</v>
      </c>
      <c r="C204" s="229" t="s">
        <v>623</v>
      </c>
      <c r="D204" s="228">
        <v>4459</v>
      </c>
      <c r="E204" s="228" t="s">
        <v>629</v>
      </c>
      <c r="F204" s="228" t="s">
        <v>629</v>
      </c>
      <c r="G204" s="228" t="s">
        <v>629</v>
      </c>
      <c r="H204" s="228" t="s">
        <v>629</v>
      </c>
      <c r="I204" s="228" t="s">
        <v>629</v>
      </c>
      <c r="J204" s="228" t="s">
        <v>630</v>
      </c>
      <c r="K204" s="228" t="s">
        <v>714</v>
      </c>
      <c r="L204" s="228" t="s">
        <v>645</v>
      </c>
      <c r="M204" s="228">
        <v>163</v>
      </c>
      <c r="N204" s="228" t="s">
        <v>598</v>
      </c>
      <c r="O204" s="228">
        <v>35</v>
      </c>
      <c r="P204" s="228" t="s">
        <v>600</v>
      </c>
      <c r="Q204" s="228"/>
      <c r="R204" s="228">
        <v>47506</v>
      </c>
      <c r="S204" s="228" t="s">
        <v>468</v>
      </c>
      <c r="T204" s="228" t="s">
        <v>468</v>
      </c>
      <c r="U204" s="228" t="s">
        <v>468</v>
      </c>
      <c r="V204" s="228" t="s">
        <v>468</v>
      </c>
      <c r="W204" s="228" t="s">
        <v>468</v>
      </c>
      <c r="X204" s="228" t="s">
        <v>643</v>
      </c>
      <c r="Y204" s="228" t="s">
        <v>714</v>
      </c>
      <c r="Z204" s="228" t="s">
        <v>198</v>
      </c>
      <c r="AA204" s="230">
        <v>66.535022426553027</v>
      </c>
      <c r="AB204" s="228" t="s">
        <v>594</v>
      </c>
      <c r="AC204" s="230">
        <v>6.4447381924198259</v>
      </c>
      <c r="AD204" s="228" t="s">
        <v>596</v>
      </c>
      <c r="AE204" s="15" t="s">
        <v>629</v>
      </c>
      <c r="AF204" s="224">
        <f t="shared" si="12"/>
        <v>0.59180967836470533</v>
      </c>
      <c r="AG204" s="224">
        <f t="shared" si="13"/>
        <v>0.81586462307371921</v>
      </c>
      <c r="AH204" s="224" t="e">
        <f t="shared" si="14"/>
        <v>#VALUE!</v>
      </c>
      <c r="AJ204" s="231">
        <v>2.3267231329894593</v>
      </c>
      <c r="AK204" s="228" t="s">
        <v>594</v>
      </c>
      <c r="AL204" s="226">
        <f t="shared" si="15"/>
        <v>0.93352219620030119</v>
      </c>
    </row>
    <row r="205" spans="1:38" x14ac:dyDescent="0.2">
      <c r="A205" s="15">
        <v>387</v>
      </c>
      <c r="B205" s="228" t="s">
        <v>664</v>
      </c>
      <c r="C205" s="229" t="s">
        <v>623</v>
      </c>
      <c r="D205" s="228">
        <v>4459</v>
      </c>
      <c r="E205" s="228" t="s">
        <v>629</v>
      </c>
      <c r="F205" s="228" t="s">
        <v>629</v>
      </c>
      <c r="G205" s="228" t="s">
        <v>629</v>
      </c>
      <c r="H205" s="228" t="s">
        <v>629</v>
      </c>
      <c r="I205" s="228" t="s">
        <v>629</v>
      </c>
      <c r="J205" s="228" t="s">
        <v>630</v>
      </c>
      <c r="K205" s="228" t="s">
        <v>714</v>
      </c>
      <c r="L205" s="228" t="s">
        <v>645</v>
      </c>
      <c r="M205" s="228">
        <v>163</v>
      </c>
      <c r="N205" s="228" t="s">
        <v>598</v>
      </c>
      <c r="O205" s="228">
        <v>35</v>
      </c>
      <c r="P205" s="228" t="s">
        <v>600</v>
      </c>
      <c r="Q205" s="228"/>
      <c r="R205" s="228">
        <v>47506</v>
      </c>
      <c r="S205" s="228" t="s">
        <v>468</v>
      </c>
      <c r="T205" s="228" t="s">
        <v>468</v>
      </c>
      <c r="U205" s="228" t="s">
        <v>468</v>
      </c>
      <c r="V205" s="228" t="s">
        <v>468</v>
      </c>
      <c r="W205" s="228" t="s">
        <v>468</v>
      </c>
      <c r="X205" s="232" t="s">
        <v>639</v>
      </c>
      <c r="Y205" s="228" t="s">
        <v>714</v>
      </c>
      <c r="Z205" s="228" t="s">
        <v>198</v>
      </c>
      <c r="AA205" s="230">
        <v>64</v>
      </c>
      <c r="AB205" s="228" t="s">
        <v>594</v>
      </c>
      <c r="AC205" s="248">
        <v>1</v>
      </c>
      <c r="AD205" s="228" t="s">
        <v>594</v>
      </c>
      <c r="AE205" s="15">
        <v>23242</v>
      </c>
      <c r="AF205" s="224">
        <f t="shared" si="12"/>
        <v>0.6073619631901841</v>
      </c>
      <c r="AG205" s="224">
        <f t="shared" si="13"/>
        <v>0.97142857142857142</v>
      </c>
      <c r="AH205" s="224">
        <f t="shared" si="14"/>
        <v>0.51075653601650317</v>
      </c>
      <c r="AJ205" s="231">
        <v>1.9336179412424312</v>
      </c>
      <c r="AK205" s="228" t="s">
        <v>594</v>
      </c>
      <c r="AL205" s="226">
        <f t="shared" si="15"/>
        <v>0.94475377310735908</v>
      </c>
    </row>
    <row r="206" spans="1:38" x14ac:dyDescent="0.2">
      <c r="A206" s="15">
        <v>1722</v>
      </c>
      <c r="B206" s="228" t="s">
        <v>664</v>
      </c>
      <c r="C206" s="229" t="s">
        <v>713</v>
      </c>
      <c r="D206" s="228">
        <v>4459</v>
      </c>
      <c r="E206" s="228" t="s">
        <v>629</v>
      </c>
      <c r="F206" s="228" t="s">
        <v>629</v>
      </c>
      <c r="G206" s="228" t="s">
        <v>629</v>
      </c>
      <c r="H206" s="228" t="s">
        <v>629</v>
      </c>
      <c r="I206" s="228" t="s">
        <v>629</v>
      </c>
      <c r="J206" s="228" t="s">
        <v>630</v>
      </c>
      <c r="K206" s="228" t="s">
        <v>714</v>
      </c>
      <c r="L206" s="228" t="s">
        <v>645</v>
      </c>
      <c r="M206" s="228">
        <v>112</v>
      </c>
      <c r="N206" s="228" t="s">
        <v>598</v>
      </c>
      <c r="O206" s="228">
        <v>24</v>
      </c>
      <c r="P206" s="228" t="s">
        <v>598</v>
      </c>
      <c r="Q206" s="228"/>
      <c r="R206" s="228">
        <v>33304</v>
      </c>
      <c r="S206" s="228" t="s">
        <v>468</v>
      </c>
      <c r="T206" s="228" t="s">
        <v>468</v>
      </c>
      <c r="U206" s="228" t="s">
        <v>468</v>
      </c>
      <c r="V206" s="228" t="s">
        <v>468</v>
      </c>
      <c r="W206" s="228" t="s">
        <v>468</v>
      </c>
      <c r="X206" s="228" t="s">
        <v>630</v>
      </c>
      <c r="Y206" s="228" t="s">
        <v>714</v>
      </c>
      <c r="Z206" s="228" t="s">
        <v>645</v>
      </c>
      <c r="AA206" s="230">
        <v>61</v>
      </c>
      <c r="AB206" s="228" t="s">
        <v>594</v>
      </c>
      <c r="AC206" s="230">
        <v>11</v>
      </c>
      <c r="AD206" s="228" t="s">
        <v>598</v>
      </c>
      <c r="AE206" s="15">
        <v>20717</v>
      </c>
      <c r="AF206" s="224">
        <f t="shared" si="12"/>
        <v>0.45535714285714285</v>
      </c>
      <c r="AG206" s="224">
        <f t="shared" si="13"/>
        <v>0.54166666666666663</v>
      </c>
      <c r="AH206" s="224">
        <f t="shared" si="14"/>
        <v>0.37794258947874132</v>
      </c>
      <c r="AJ206" s="231">
        <v>2.5447748822605964</v>
      </c>
      <c r="AK206" s="228" t="s">
        <v>594</v>
      </c>
      <c r="AL206" s="226">
        <f t="shared" si="15"/>
        <v>0.89396771323914181</v>
      </c>
    </row>
    <row r="207" spans="1:38" hidden="1" x14ac:dyDescent="0.2">
      <c r="A207" s="15">
        <v>410</v>
      </c>
      <c r="B207" s="228" t="s">
        <v>664</v>
      </c>
      <c r="C207" s="229" t="s">
        <v>713</v>
      </c>
      <c r="D207" s="228">
        <v>4459</v>
      </c>
      <c r="E207" s="228" t="s">
        <v>629</v>
      </c>
      <c r="F207" s="228" t="s">
        <v>629</v>
      </c>
      <c r="G207" s="228" t="s">
        <v>629</v>
      </c>
      <c r="H207" s="228" t="s">
        <v>629</v>
      </c>
      <c r="I207" s="228" t="s">
        <v>629</v>
      </c>
      <c r="J207" s="228" t="s">
        <v>630</v>
      </c>
      <c r="K207" s="228" t="s">
        <v>714</v>
      </c>
      <c r="L207" s="228" t="s">
        <v>645</v>
      </c>
      <c r="M207" s="228">
        <v>112</v>
      </c>
      <c r="N207" s="228" t="s">
        <v>598</v>
      </c>
      <c r="O207" s="228">
        <v>24</v>
      </c>
      <c r="P207" s="228" t="s">
        <v>598</v>
      </c>
      <c r="Q207" s="228"/>
      <c r="R207" s="228">
        <v>33304</v>
      </c>
      <c r="S207" s="228" t="s">
        <v>629</v>
      </c>
      <c r="T207" s="228" t="s">
        <v>629</v>
      </c>
      <c r="U207" s="228" t="s">
        <v>629</v>
      </c>
      <c r="V207" s="228" t="s">
        <v>629</v>
      </c>
      <c r="W207" s="228" t="s">
        <v>629</v>
      </c>
      <c r="X207" s="228" t="s">
        <v>630</v>
      </c>
      <c r="Y207" s="228" t="s">
        <v>714</v>
      </c>
      <c r="Z207" s="228" t="s">
        <v>198</v>
      </c>
      <c r="AA207" s="230">
        <v>98</v>
      </c>
      <c r="AB207" s="228" t="s">
        <v>596</v>
      </c>
      <c r="AC207" s="230">
        <v>20</v>
      </c>
      <c r="AD207" s="228" t="s">
        <v>598</v>
      </c>
      <c r="AE207" s="15">
        <v>29271</v>
      </c>
      <c r="AF207" s="224">
        <f t="shared" si="12"/>
        <v>0.125</v>
      </c>
      <c r="AG207" s="224">
        <f t="shared" si="13"/>
        <v>0.16666666666666666</v>
      </c>
      <c r="AH207" s="224">
        <f t="shared" si="14"/>
        <v>0.12109656497717992</v>
      </c>
      <c r="AJ207" s="231">
        <v>4.2194510876878226</v>
      </c>
      <c r="AK207" s="228" t="s">
        <v>594</v>
      </c>
      <c r="AL207" s="226">
        <f t="shared" si="15"/>
        <v>0.82418953801300743</v>
      </c>
    </row>
    <row r="208" spans="1:38" hidden="1" x14ac:dyDescent="0.2">
      <c r="A208" s="15">
        <v>422</v>
      </c>
      <c r="B208" s="228" t="s">
        <v>664</v>
      </c>
      <c r="C208" s="229" t="s">
        <v>713</v>
      </c>
      <c r="D208" s="228">
        <v>4459</v>
      </c>
      <c r="E208" s="228" t="s">
        <v>629</v>
      </c>
      <c r="F208" s="228" t="s">
        <v>629</v>
      </c>
      <c r="G208" s="228" t="s">
        <v>629</v>
      </c>
      <c r="H208" s="228" t="s">
        <v>629</v>
      </c>
      <c r="I208" s="228" t="s">
        <v>629</v>
      </c>
      <c r="J208" s="228" t="s">
        <v>630</v>
      </c>
      <c r="K208" s="228" t="s">
        <v>714</v>
      </c>
      <c r="L208" s="228" t="s">
        <v>645</v>
      </c>
      <c r="M208" s="228">
        <v>112</v>
      </c>
      <c r="N208" s="228" t="s">
        <v>598</v>
      </c>
      <c r="O208" s="228">
        <v>24</v>
      </c>
      <c r="P208" s="228" t="s">
        <v>598</v>
      </c>
      <c r="Q208" s="228"/>
      <c r="R208" s="228">
        <v>33304</v>
      </c>
      <c r="S208" s="228" t="s">
        <v>629</v>
      </c>
      <c r="T208" s="228" t="s">
        <v>629</v>
      </c>
      <c r="U208" s="228" t="s">
        <v>629</v>
      </c>
      <c r="V208" s="228" t="s">
        <v>629</v>
      </c>
      <c r="W208" s="228" t="s">
        <v>629</v>
      </c>
      <c r="X208" s="228" t="s">
        <v>636</v>
      </c>
      <c r="Y208" s="228" t="s">
        <v>714</v>
      </c>
      <c r="Z208" s="228" t="s">
        <v>198</v>
      </c>
      <c r="AA208" s="230">
        <v>90</v>
      </c>
      <c r="AB208" s="228" t="s">
        <v>596</v>
      </c>
      <c r="AC208" s="230">
        <v>19</v>
      </c>
      <c r="AD208" s="228" t="s">
        <v>598</v>
      </c>
      <c r="AE208" s="15">
        <v>27078</v>
      </c>
      <c r="AF208" s="224">
        <f t="shared" si="12"/>
        <v>0.19642857142857142</v>
      </c>
      <c r="AG208" s="224">
        <f t="shared" si="13"/>
        <v>0.20833333333333334</v>
      </c>
      <c r="AH208" s="224">
        <f t="shared" si="14"/>
        <v>0.18694451116982946</v>
      </c>
      <c r="AJ208" s="231">
        <v>3.8684013455931825</v>
      </c>
      <c r="AK208" s="228" t="s">
        <v>594</v>
      </c>
      <c r="AL208" s="226">
        <f t="shared" si="15"/>
        <v>0.83881661060028412</v>
      </c>
    </row>
    <row r="209" spans="1:38" hidden="1" x14ac:dyDescent="0.2">
      <c r="A209" s="15">
        <v>416</v>
      </c>
      <c r="B209" s="228" t="s">
        <v>664</v>
      </c>
      <c r="C209" s="229" t="s">
        <v>713</v>
      </c>
      <c r="D209" s="228">
        <v>4459</v>
      </c>
      <c r="E209" s="228" t="s">
        <v>629</v>
      </c>
      <c r="F209" s="228" t="s">
        <v>629</v>
      </c>
      <c r="G209" s="228" t="s">
        <v>629</v>
      </c>
      <c r="H209" s="228" t="s">
        <v>629</v>
      </c>
      <c r="I209" s="228" t="s">
        <v>629</v>
      </c>
      <c r="J209" s="228" t="s">
        <v>630</v>
      </c>
      <c r="K209" s="228" t="s">
        <v>714</v>
      </c>
      <c r="L209" s="228" t="s">
        <v>645</v>
      </c>
      <c r="M209" s="228">
        <v>112</v>
      </c>
      <c r="N209" s="228" t="s">
        <v>598</v>
      </c>
      <c r="O209" s="228">
        <v>24</v>
      </c>
      <c r="P209" s="228" t="s">
        <v>598</v>
      </c>
      <c r="Q209" s="228"/>
      <c r="R209" s="228">
        <v>33304</v>
      </c>
      <c r="S209" s="228" t="s">
        <v>629</v>
      </c>
      <c r="T209" s="228" t="s">
        <v>629</v>
      </c>
      <c r="U209" s="228" t="s">
        <v>629</v>
      </c>
      <c r="V209" s="228" t="s">
        <v>629</v>
      </c>
      <c r="W209" s="228" t="s">
        <v>629</v>
      </c>
      <c r="X209" s="228" t="s">
        <v>715</v>
      </c>
      <c r="Y209" s="228" t="s">
        <v>714</v>
      </c>
      <c r="Z209" s="228" t="s">
        <v>198</v>
      </c>
      <c r="AA209" s="230">
        <v>82.908282126037221</v>
      </c>
      <c r="AB209" s="228" t="s">
        <v>596</v>
      </c>
      <c r="AC209" s="230">
        <v>8.1604261942139491</v>
      </c>
      <c r="AD209" s="228" t="s">
        <v>596</v>
      </c>
      <c r="AE209" s="15" t="s">
        <v>629</v>
      </c>
      <c r="AF209" s="224">
        <f t="shared" si="12"/>
        <v>0.25974748101752482</v>
      </c>
      <c r="AG209" s="224">
        <f t="shared" si="13"/>
        <v>0.65998224190775212</v>
      </c>
      <c r="AH209" s="224" t="e">
        <f t="shared" si="14"/>
        <v>#VALUE!</v>
      </c>
      <c r="AJ209" s="231">
        <v>3.0086417133886521</v>
      </c>
      <c r="AK209" s="228" t="s">
        <v>594</v>
      </c>
      <c r="AL209" s="226">
        <f t="shared" si="15"/>
        <v>0.87463992860880613</v>
      </c>
    </row>
    <row r="210" spans="1:38" hidden="1" x14ac:dyDescent="0.2">
      <c r="A210" s="15">
        <v>439</v>
      </c>
      <c r="B210" s="228" t="s">
        <v>664</v>
      </c>
      <c r="C210" s="229" t="s">
        <v>713</v>
      </c>
      <c r="D210" s="228">
        <v>4459</v>
      </c>
      <c r="E210" s="228" t="s">
        <v>629</v>
      </c>
      <c r="F210" s="228" t="s">
        <v>629</v>
      </c>
      <c r="G210" s="228" t="s">
        <v>629</v>
      </c>
      <c r="H210" s="228" t="s">
        <v>629</v>
      </c>
      <c r="I210" s="228" t="s">
        <v>629</v>
      </c>
      <c r="J210" s="228" t="s">
        <v>630</v>
      </c>
      <c r="K210" s="228" t="s">
        <v>714</v>
      </c>
      <c r="L210" s="228" t="s">
        <v>645</v>
      </c>
      <c r="M210" s="228">
        <v>112</v>
      </c>
      <c r="N210" s="228" t="s">
        <v>598</v>
      </c>
      <c r="O210" s="228">
        <v>24</v>
      </c>
      <c r="P210" s="228" t="s">
        <v>598</v>
      </c>
      <c r="Q210" s="228"/>
      <c r="R210" s="228">
        <v>33304</v>
      </c>
      <c r="S210" s="228" t="s">
        <v>629</v>
      </c>
      <c r="T210" s="228" t="s">
        <v>629</v>
      </c>
      <c r="U210" s="228" t="s">
        <v>629</v>
      </c>
      <c r="V210" s="228" t="s">
        <v>629</v>
      </c>
      <c r="W210" s="228" t="s">
        <v>629</v>
      </c>
      <c r="X210" s="232" t="s">
        <v>639</v>
      </c>
      <c r="Y210" s="228" t="s">
        <v>714</v>
      </c>
      <c r="Z210" s="228" t="s">
        <v>198</v>
      </c>
      <c r="AA210" s="230">
        <v>76</v>
      </c>
      <c r="AB210" s="228" t="s">
        <v>596</v>
      </c>
      <c r="AC210" s="230">
        <v>2</v>
      </c>
      <c r="AD210" s="228" t="s">
        <v>594</v>
      </c>
      <c r="AE210" s="15">
        <v>25374</v>
      </c>
      <c r="AF210" s="224">
        <f t="shared" si="12"/>
        <v>0.32142857142857145</v>
      </c>
      <c r="AG210" s="224">
        <f t="shared" si="13"/>
        <v>0.91666666666666663</v>
      </c>
      <c r="AH210" s="224">
        <f t="shared" si="14"/>
        <v>0.23810953639202498</v>
      </c>
      <c r="AJ210" s="231">
        <v>2.4384576810944161</v>
      </c>
      <c r="AK210" s="228" t="s">
        <v>594</v>
      </c>
      <c r="AL210" s="226">
        <f t="shared" si="15"/>
        <v>0.898397596621066</v>
      </c>
    </row>
    <row r="211" spans="1:38" x14ac:dyDescent="0.2">
      <c r="A211" s="15">
        <v>411</v>
      </c>
      <c r="B211" s="228" t="s">
        <v>664</v>
      </c>
      <c r="C211" s="229" t="s">
        <v>713</v>
      </c>
      <c r="D211" s="228">
        <v>4459</v>
      </c>
      <c r="E211" s="228" t="s">
        <v>629</v>
      </c>
      <c r="F211" s="228" t="s">
        <v>629</v>
      </c>
      <c r="G211" s="228" t="s">
        <v>629</v>
      </c>
      <c r="H211" s="228" t="s">
        <v>629</v>
      </c>
      <c r="I211" s="228" t="s">
        <v>629</v>
      </c>
      <c r="J211" s="228" t="s">
        <v>630</v>
      </c>
      <c r="K211" s="228" t="s">
        <v>714</v>
      </c>
      <c r="L211" s="228" t="s">
        <v>645</v>
      </c>
      <c r="M211" s="228">
        <v>112</v>
      </c>
      <c r="N211" s="228" t="s">
        <v>598</v>
      </c>
      <c r="O211" s="228">
        <v>24</v>
      </c>
      <c r="P211" s="228" t="s">
        <v>598</v>
      </c>
      <c r="Q211" s="228"/>
      <c r="R211" s="228">
        <v>33304</v>
      </c>
      <c r="S211" s="228" t="s">
        <v>468</v>
      </c>
      <c r="T211" s="228" t="s">
        <v>468</v>
      </c>
      <c r="U211" s="228" t="s">
        <v>468</v>
      </c>
      <c r="V211" s="228" t="s">
        <v>468</v>
      </c>
      <c r="W211" s="228" t="s">
        <v>468</v>
      </c>
      <c r="X211" s="228" t="s">
        <v>630</v>
      </c>
      <c r="Y211" s="228" t="s">
        <v>714</v>
      </c>
      <c r="Z211" s="228" t="s">
        <v>198</v>
      </c>
      <c r="AA211" s="230">
        <v>54</v>
      </c>
      <c r="AB211" s="228" t="s">
        <v>594</v>
      </c>
      <c r="AC211" s="230">
        <v>10</v>
      </c>
      <c r="AD211" s="228" t="s">
        <v>596</v>
      </c>
      <c r="AE211" s="15">
        <v>18783</v>
      </c>
      <c r="AF211" s="224">
        <f t="shared" si="12"/>
        <v>0.5178571428571429</v>
      </c>
      <c r="AG211" s="224">
        <f t="shared" si="13"/>
        <v>0.58333333333333337</v>
      </c>
      <c r="AH211" s="224">
        <f t="shared" si="14"/>
        <v>0.43601369204900314</v>
      </c>
      <c r="AJ211" s="231">
        <v>2.2350756671899523</v>
      </c>
      <c r="AK211" s="228" t="s">
        <v>594</v>
      </c>
      <c r="AL211" s="226">
        <f t="shared" si="15"/>
        <v>0.90687184720041858</v>
      </c>
    </row>
    <row r="212" spans="1:38" x14ac:dyDescent="0.2">
      <c r="A212" s="15">
        <v>423</v>
      </c>
      <c r="B212" s="228" t="s">
        <v>664</v>
      </c>
      <c r="C212" s="229" t="s">
        <v>713</v>
      </c>
      <c r="D212" s="228">
        <v>4459</v>
      </c>
      <c r="E212" s="228" t="s">
        <v>629</v>
      </c>
      <c r="F212" s="228" t="s">
        <v>629</v>
      </c>
      <c r="G212" s="228" t="s">
        <v>629</v>
      </c>
      <c r="H212" s="228" t="s">
        <v>629</v>
      </c>
      <c r="I212" s="228" t="s">
        <v>629</v>
      </c>
      <c r="J212" s="228" t="s">
        <v>630</v>
      </c>
      <c r="K212" s="228" t="s">
        <v>714</v>
      </c>
      <c r="L212" s="228" t="s">
        <v>645</v>
      </c>
      <c r="M212" s="228">
        <v>112</v>
      </c>
      <c r="N212" s="228" t="s">
        <v>598</v>
      </c>
      <c r="O212" s="228">
        <v>24</v>
      </c>
      <c r="P212" s="228" t="s">
        <v>598</v>
      </c>
      <c r="Q212" s="228"/>
      <c r="R212" s="228">
        <v>33304</v>
      </c>
      <c r="S212" s="228" t="s">
        <v>468</v>
      </c>
      <c r="T212" s="228" t="s">
        <v>468</v>
      </c>
      <c r="U212" s="228" t="s">
        <v>468</v>
      </c>
      <c r="V212" s="228" t="s">
        <v>468</v>
      </c>
      <c r="W212" s="228" t="s">
        <v>468</v>
      </c>
      <c r="X212" s="228" t="s">
        <v>636</v>
      </c>
      <c r="Y212" s="228" t="s">
        <v>714</v>
      </c>
      <c r="Z212" s="228" t="s">
        <v>198</v>
      </c>
      <c r="AA212" s="230">
        <v>36</v>
      </c>
      <c r="AB212" s="228" t="s">
        <v>594</v>
      </c>
      <c r="AC212" s="230">
        <v>5</v>
      </c>
      <c r="AD212" s="228" t="s">
        <v>594</v>
      </c>
      <c r="AE212" s="15">
        <v>13910</v>
      </c>
      <c r="AF212" s="224">
        <f t="shared" si="12"/>
        <v>0.6785714285714286</v>
      </c>
      <c r="AG212" s="224">
        <f t="shared" si="13"/>
        <v>0.79166666666666663</v>
      </c>
      <c r="AH212" s="224">
        <f t="shared" si="14"/>
        <v>0.58233245255825128</v>
      </c>
      <c r="AJ212" s="231">
        <v>1.4170345817447858</v>
      </c>
      <c r="AK212" s="228" t="s">
        <v>594</v>
      </c>
      <c r="AL212" s="226">
        <f t="shared" si="15"/>
        <v>0.94095689242730052</v>
      </c>
    </row>
    <row r="213" spans="1:38" x14ac:dyDescent="0.2">
      <c r="A213" s="15">
        <v>418</v>
      </c>
      <c r="B213" s="228" t="s">
        <v>664</v>
      </c>
      <c r="C213" s="229" t="s">
        <v>713</v>
      </c>
      <c r="D213" s="228">
        <v>4459</v>
      </c>
      <c r="E213" s="228" t="s">
        <v>629</v>
      </c>
      <c r="F213" s="228" t="s">
        <v>629</v>
      </c>
      <c r="G213" s="228" t="s">
        <v>629</v>
      </c>
      <c r="H213" s="228" t="s">
        <v>629</v>
      </c>
      <c r="I213" s="228" t="s">
        <v>629</v>
      </c>
      <c r="J213" s="228" t="s">
        <v>630</v>
      </c>
      <c r="K213" s="228" t="s">
        <v>714</v>
      </c>
      <c r="L213" s="228" t="s">
        <v>645</v>
      </c>
      <c r="M213" s="228">
        <v>112</v>
      </c>
      <c r="N213" s="228" t="s">
        <v>598</v>
      </c>
      <c r="O213" s="228">
        <v>24</v>
      </c>
      <c r="P213" s="228" t="s">
        <v>598</v>
      </c>
      <c r="Q213" s="228"/>
      <c r="R213" s="228">
        <v>33304</v>
      </c>
      <c r="S213" s="228" t="s">
        <v>468</v>
      </c>
      <c r="T213" s="228" t="s">
        <v>468</v>
      </c>
      <c r="U213" s="228" t="s">
        <v>468</v>
      </c>
      <c r="V213" s="228" t="s">
        <v>468</v>
      </c>
      <c r="W213" s="228" t="s">
        <v>468</v>
      </c>
      <c r="X213" s="228" t="s">
        <v>715</v>
      </c>
      <c r="Y213" s="228" t="s">
        <v>714</v>
      </c>
      <c r="Z213" s="228" t="s">
        <v>198</v>
      </c>
      <c r="AA213" s="230">
        <v>43.012628392016147</v>
      </c>
      <c r="AB213" s="228" t="s">
        <v>594</v>
      </c>
      <c r="AC213" s="230">
        <v>4.8705312626149366</v>
      </c>
      <c r="AD213" s="228" t="s">
        <v>594</v>
      </c>
      <c r="AE213" s="15" t="s">
        <v>629</v>
      </c>
      <c r="AF213" s="224">
        <f t="shared" si="12"/>
        <v>0.61595867507128432</v>
      </c>
      <c r="AG213" s="224">
        <f t="shared" si="13"/>
        <v>0.79706119739104431</v>
      </c>
      <c r="AH213" s="224" t="e">
        <f t="shared" si="14"/>
        <v>#VALUE!</v>
      </c>
      <c r="AJ213" s="231">
        <v>1.5446098901098904</v>
      </c>
      <c r="AK213" s="228" t="s">
        <v>594</v>
      </c>
      <c r="AL213" s="226">
        <f t="shared" si="15"/>
        <v>0.93564125457875458</v>
      </c>
    </row>
    <row r="214" spans="1:38" x14ac:dyDescent="0.2">
      <c r="A214" s="15">
        <v>440</v>
      </c>
      <c r="B214" s="228" t="s">
        <v>664</v>
      </c>
      <c r="C214" s="229" t="s">
        <v>713</v>
      </c>
      <c r="D214" s="228">
        <v>4459</v>
      </c>
      <c r="E214" s="228" t="s">
        <v>629</v>
      </c>
      <c r="F214" s="228" t="s">
        <v>629</v>
      </c>
      <c r="G214" s="228" t="s">
        <v>629</v>
      </c>
      <c r="H214" s="228" t="s">
        <v>629</v>
      </c>
      <c r="I214" s="228" t="s">
        <v>629</v>
      </c>
      <c r="J214" s="228" t="s">
        <v>630</v>
      </c>
      <c r="K214" s="228" t="s">
        <v>714</v>
      </c>
      <c r="L214" s="228" t="s">
        <v>645</v>
      </c>
      <c r="M214" s="228">
        <v>112</v>
      </c>
      <c r="N214" s="228" t="s">
        <v>598</v>
      </c>
      <c r="O214" s="228">
        <v>24</v>
      </c>
      <c r="P214" s="228" t="s">
        <v>598</v>
      </c>
      <c r="Q214" s="228"/>
      <c r="R214" s="228">
        <v>33304</v>
      </c>
      <c r="S214" s="228" t="s">
        <v>468</v>
      </c>
      <c r="T214" s="228" t="s">
        <v>468</v>
      </c>
      <c r="U214" s="228" t="s">
        <v>468</v>
      </c>
      <c r="V214" s="228" t="s">
        <v>468</v>
      </c>
      <c r="W214" s="228" t="s">
        <v>468</v>
      </c>
      <c r="X214" s="232" t="s">
        <v>639</v>
      </c>
      <c r="Y214" s="228" t="s">
        <v>714</v>
      </c>
      <c r="Z214" s="228" t="s">
        <v>198</v>
      </c>
      <c r="AA214" s="230">
        <v>45</v>
      </c>
      <c r="AB214" s="228" t="s">
        <v>594</v>
      </c>
      <c r="AC214" s="230">
        <v>1</v>
      </c>
      <c r="AD214" s="228" t="s">
        <v>594</v>
      </c>
      <c r="AE214" s="15">
        <v>17283</v>
      </c>
      <c r="AF214" s="224">
        <f t="shared" si="12"/>
        <v>0.5982142857142857</v>
      </c>
      <c r="AG214" s="224">
        <f t="shared" si="13"/>
        <v>0.95833333333333337</v>
      </c>
      <c r="AH214" s="224">
        <f t="shared" si="14"/>
        <v>0.48105332692769637</v>
      </c>
      <c r="AJ214" s="231">
        <v>1.3469163489571652</v>
      </c>
      <c r="AK214" s="228" t="s">
        <v>594</v>
      </c>
      <c r="AL214" s="226">
        <f t="shared" si="15"/>
        <v>0.9438784854601181</v>
      </c>
    </row>
    <row r="215" spans="1:38" x14ac:dyDescent="0.2">
      <c r="O215" s="637"/>
    </row>
  </sheetData>
  <autoFilter ref="A4:AL214" xr:uid="{850DAA80-DA07-4522-B0DF-CE4D49B40969}">
    <filterColumn colId="21">
      <filters>
        <filter val="x"/>
      </filters>
    </filterColumn>
  </autoFilter>
  <mergeCells count="3">
    <mergeCell ref="E3:R3"/>
    <mergeCell ref="S3:AE3"/>
    <mergeCell ref="AJ3:AL3"/>
  </mergeCells>
  <dataValidations count="1">
    <dataValidation type="list" allowBlank="1" showInputMessage="1" showErrorMessage="1" sqref="X5 X10 X15 X20:Y21 X25:Y25 K146:K172 X29:Y30 X34:Y34 X38:Y39 X43:Y43 Y40:Y42 X62:Y63 X24 Y22:Y24 X28 Y26:Y28 Y31:Y33 X37 Y35:Y37 X33 Y44:Y46 K20:K46 X88:X89 X42 X67:Y67 X71:Y72 X76:Y76 X80:Y81 X85:Y85 Y82:Y84 X66 Y64:Y66 X70 Y68:Y70 Y73:Y75 X79 Y77:Y79 X104:Y105 X75 Y86:Y88 K62:K88 X130:X131 X84 X109:Y109 X113:Y114 X118:Y118 X122:Y123 X127:Y127 Y124:Y126 X108 Y106:Y108 X112 Y110:Y112 Y170:Y172 Y115:Y117 X121 Y119:Y121 X116:X117 Y128:Y130 X125:X126 X94 X163 J5:J214 Y161:Y163 X159 X168 X136 X141 X46:X47 X52 X57 X99 K104:K130 X146:Y147 X172:X173 X151:Y151 X155:Y156 X160:Y160 X164:Y165 X169:Y169 Y166:Y168 X150 Y148:Y150 X154 Y152:Y154 Y157:Y159 X188:Y189 X214 X193:Y193 X197:Y198 X202:Y202 X206:Y207 X211:Y211 Y208:Y210 X192 Y190:Y192 X196 Y194:Y196 Y199:Y201 X205 Y203:Y205 X201 Y212:Y214 K188:K214 X210 X178 X183" xr:uid="{9F887D9E-3ABB-4543-BD8E-6484E7BE6B01}">
      <formula1>Systèmes</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870B1-BDEA-42D1-96A8-BB071F12284A}">
  <sheetPr>
    <tabColor theme="6" tint="0.59999389629810485"/>
  </sheetPr>
  <dimension ref="A1"/>
  <sheetViews>
    <sheetView workbookViewId="0">
      <selection activeCell="A39" sqref="A39:XFD39"/>
    </sheetView>
  </sheetViews>
  <sheetFormatPr baseColWidth="10" defaultColWidth="11" defaultRowHeight="14.25" x14ac:dyDescent="0.2"/>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C3B23-D2AF-4F18-9438-D97304343804}">
  <sheetPr>
    <tabColor theme="5" tint="0.79998168889431442"/>
  </sheetPr>
  <dimension ref="A2:O117"/>
  <sheetViews>
    <sheetView showGridLines="0" topLeftCell="A20" zoomScale="99" zoomScaleNormal="115" workbookViewId="0">
      <selection activeCell="H64" sqref="H64"/>
    </sheetView>
  </sheetViews>
  <sheetFormatPr baseColWidth="10" defaultColWidth="11" defaultRowHeight="14.25" x14ac:dyDescent="0.2"/>
  <cols>
    <col min="3" max="3" width="35.125" customWidth="1"/>
    <col min="4" max="4" width="31.375" customWidth="1"/>
    <col min="5" max="5" width="32.875" customWidth="1"/>
    <col min="6" max="6" width="30.375" customWidth="1"/>
    <col min="7" max="7" width="24" customWidth="1"/>
    <col min="8" max="8" width="21.625" customWidth="1"/>
    <col min="9" max="10" width="16.125" customWidth="1"/>
    <col min="11" max="11" width="15.625" customWidth="1"/>
    <col min="12" max="12" width="13.875" customWidth="1"/>
    <col min="13" max="13" width="15.625" customWidth="1"/>
    <col min="14" max="15" width="21.875" bestFit="1" customWidth="1"/>
    <col min="16" max="16" width="16.375" customWidth="1"/>
    <col min="17" max="17" width="12.625" bestFit="1" customWidth="1"/>
  </cols>
  <sheetData>
    <row r="2" spans="3:9" ht="15.75" x14ac:dyDescent="0.25">
      <c r="C2" s="352"/>
    </row>
    <row r="3" spans="3:9" ht="39.6" hidden="1" customHeight="1" x14ac:dyDescent="0.25">
      <c r="C3" s="89" t="s">
        <v>716</v>
      </c>
      <c r="I3" s="89" t="s">
        <v>717</v>
      </c>
    </row>
    <row r="4" spans="3:9" ht="11.1" hidden="1" customHeight="1" x14ac:dyDescent="0.25">
      <c r="C4" s="89"/>
    </row>
    <row r="5" spans="3:9" ht="23.1" hidden="1" customHeight="1" x14ac:dyDescent="0.2">
      <c r="C5" s="87" t="s">
        <v>718</v>
      </c>
    </row>
    <row r="6" spans="3:9" ht="25.5" hidden="1" customHeight="1" x14ac:dyDescent="0.2">
      <c r="C6" s="87" t="s">
        <v>719</v>
      </c>
    </row>
    <row r="7" spans="3:9" ht="11.1" customHeight="1" x14ac:dyDescent="0.25">
      <c r="C7" s="89"/>
    </row>
    <row r="8" spans="3:9" ht="11.1" customHeight="1" x14ac:dyDescent="0.25">
      <c r="C8" s="89"/>
    </row>
    <row r="9" spans="3:9" ht="11.1" customHeight="1" x14ac:dyDescent="0.25">
      <c r="C9" s="89"/>
    </row>
    <row r="10" spans="3:9" ht="11.1" customHeight="1" x14ac:dyDescent="0.25">
      <c r="C10" s="89"/>
    </row>
    <row r="11" spans="3:9" ht="34.5" hidden="1" customHeight="1" x14ac:dyDescent="0.25">
      <c r="C11" s="89"/>
      <c r="D11" s="615" t="s">
        <v>720</v>
      </c>
      <c r="E11" s="616" t="s">
        <v>721</v>
      </c>
      <c r="F11" t="s">
        <v>2</v>
      </c>
    </row>
    <row r="12" spans="3:9" ht="34.5" hidden="1" customHeight="1" x14ac:dyDescent="0.2">
      <c r="C12" s="614" t="s">
        <v>722</v>
      </c>
      <c r="D12" s="617">
        <v>3000</v>
      </c>
      <c r="E12" s="617">
        <v>120</v>
      </c>
      <c r="F12" s="87" t="s">
        <v>723</v>
      </c>
      <c r="G12" s="87"/>
    </row>
    <row r="13" spans="3:9" ht="34.5" hidden="1" customHeight="1" x14ac:dyDescent="0.2">
      <c r="C13" s="614" t="s">
        <v>724</v>
      </c>
      <c r="D13" s="617">
        <v>5200</v>
      </c>
      <c r="E13" s="617"/>
      <c r="F13" s="87" t="s">
        <v>725</v>
      </c>
      <c r="G13" s="87"/>
    </row>
    <row r="14" spans="3:9" ht="34.5" hidden="1" customHeight="1" x14ac:dyDescent="0.2">
      <c r="C14" s="614" t="s">
        <v>726</v>
      </c>
      <c r="D14" s="617"/>
      <c r="E14" s="617"/>
      <c r="F14" s="87"/>
      <c r="G14" s="87"/>
    </row>
    <row r="15" spans="3:9" ht="34.5" hidden="1" customHeight="1" x14ac:dyDescent="0.2">
      <c r="C15" s="614" t="s">
        <v>727</v>
      </c>
      <c r="D15" s="617">
        <v>13750</v>
      </c>
      <c r="E15" s="617" t="s">
        <v>728</v>
      </c>
      <c r="F15" s="87" t="s">
        <v>729</v>
      </c>
      <c r="G15" s="87"/>
    </row>
    <row r="16" spans="3:9" ht="34.5" hidden="1" customHeight="1" x14ac:dyDescent="0.2">
      <c r="C16" s="614" t="s">
        <v>730</v>
      </c>
      <c r="D16" s="617">
        <v>13500</v>
      </c>
      <c r="E16" s="617">
        <v>288</v>
      </c>
      <c r="F16" s="87" t="s">
        <v>723</v>
      </c>
      <c r="G16" s="87"/>
    </row>
    <row r="17" spans="3:15" ht="34.5" hidden="1" customHeight="1" x14ac:dyDescent="0.2">
      <c r="C17" s="614" t="s">
        <v>731</v>
      </c>
      <c r="D17" s="617">
        <v>14500</v>
      </c>
      <c r="E17" s="617">
        <v>240</v>
      </c>
      <c r="F17" s="87" t="s">
        <v>723</v>
      </c>
      <c r="G17" s="514"/>
      <c r="J17" s="1210"/>
      <c r="K17" s="87"/>
      <c r="L17" s="513"/>
      <c r="M17" s="514"/>
      <c r="N17" s="514"/>
      <c r="O17" s="514"/>
    </row>
    <row r="18" spans="3:15" ht="34.5" hidden="1" customHeight="1" x14ac:dyDescent="0.2">
      <c r="C18" s="868"/>
      <c r="D18" s="617"/>
      <c r="E18" s="617"/>
      <c r="F18" s="514"/>
      <c r="G18" s="514"/>
      <c r="J18" s="1210"/>
      <c r="L18" s="513"/>
      <c r="M18" s="514"/>
      <c r="N18" s="514"/>
      <c r="O18" s="514"/>
    </row>
    <row r="19" spans="3:15" ht="34.5" customHeight="1" x14ac:dyDescent="0.2">
      <c r="C19" s="869" t="s">
        <v>732</v>
      </c>
      <c r="D19" s="513"/>
      <c r="E19" s="514"/>
      <c r="F19" s="514"/>
      <c r="G19" s="514"/>
      <c r="J19" s="1210"/>
      <c r="L19" s="513"/>
      <c r="M19" s="514"/>
      <c r="N19" s="514"/>
      <c r="O19" s="514"/>
    </row>
    <row r="20" spans="3:15" ht="34.5" customHeight="1" x14ac:dyDescent="0.2">
      <c r="C20" s="646" t="s">
        <v>733</v>
      </c>
      <c r="D20" s="513"/>
      <c r="E20" s="514"/>
      <c r="F20" s="514"/>
      <c r="G20" s="514"/>
      <c r="J20" s="1210"/>
      <c r="L20" s="513"/>
      <c r="M20" s="514"/>
      <c r="N20" s="514"/>
      <c r="O20" s="514"/>
    </row>
    <row r="21" spans="3:15" ht="36.75" customHeight="1" x14ac:dyDescent="0.2">
      <c r="D21" s="635" t="s">
        <v>162</v>
      </c>
      <c r="E21" s="645" t="s">
        <v>163</v>
      </c>
      <c r="F21" s="645" t="s">
        <v>170</v>
      </c>
      <c r="G21" s="635" t="s">
        <v>165</v>
      </c>
      <c r="J21" s="1210"/>
      <c r="L21" s="513"/>
      <c r="M21" s="514"/>
      <c r="N21" s="514"/>
      <c r="O21" s="514"/>
    </row>
    <row r="22" spans="3:15" ht="36.75" customHeight="1" x14ac:dyDescent="0.2">
      <c r="C22" s="634" t="s">
        <v>186</v>
      </c>
      <c r="D22" s="647">
        <v>5500</v>
      </c>
      <c r="E22" s="648">
        <v>5000</v>
      </c>
      <c r="F22" s="648">
        <v>1500</v>
      </c>
      <c r="G22" s="648">
        <v>30000</v>
      </c>
      <c r="J22" s="1210"/>
      <c r="L22" s="513"/>
      <c r="M22" s="514"/>
      <c r="N22" s="514"/>
      <c r="O22" s="514"/>
    </row>
    <row r="23" spans="3:15" ht="29.1" customHeight="1" x14ac:dyDescent="0.2">
      <c r="C23" s="634" t="s">
        <v>187</v>
      </c>
      <c r="D23" s="647">
        <v>13500</v>
      </c>
      <c r="E23" s="649"/>
      <c r="F23" s="648">
        <v>4500</v>
      </c>
      <c r="G23" s="648">
        <v>75000</v>
      </c>
    </row>
    <row r="24" spans="3:15" ht="29.1" customHeight="1" x14ac:dyDescent="0.2">
      <c r="C24" s="634" t="s">
        <v>189</v>
      </c>
      <c r="D24" s="650"/>
      <c r="E24" s="649"/>
      <c r="F24" s="648">
        <v>6000</v>
      </c>
      <c r="G24" s="648">
        <v>90000</v>
      </c>
    </row>
    <row r="25" spans="3:15" ht="29.1" customHeight="1" x14ac:dyDescent="0.2">
      <c r="C25" s="634" t="s">
        <v>191</v>
      </c>
      <c r="D25" s="647">
        <v>11000</v>
      </c>
      <c r="E25" s="649"/>
      <c r="F25" s="648">
        <v>3000</v>
      </c>
      <c r="G25" s="648">
        <v>60000</v>
      </c>
    </row>
    <row r="26" spans="3:15" ht="31.5" customHeight="1" x14ac:dyDescent="0.2">
      <c r="C26" s="634" t="s">
        <v>734</v>
      </c>
      <c r="D26" s="651">
        <v>14500</v>
      </c>
      <c r="E26" s="143"/>
      <c r="F26" s="651">
        <v>6000</v>
      </c>
      <c r="G26" s="651">
        <v>90000</v>
      </c>
    </row>
    <row r="27" spans="3:15" ht="31.5" customHeight="1" x14ac:dyDescent="0.2">
      <c r="C27" s="634" t="s">
        <v>735</v>
      </c>
      <c r="D27" s="651">
        <f>D28*'A.1. Conso_bâtiment_EF H2'!J13</f>
        <v>4440</v>
      </c>
      <c r="E27" s="882">
        <f>D28*'A.1. Conso_bâtiment_EF H2'!K13</f>
        <v>2840</v>
      </c>
      <c r="F27" s="883"/>
      <c r="G27" s="882">
        <f>D28*'A.1. Conso_bâtiment_EF H2'!M13</f>
        <v>39800</v>
      </c>
    </row>
    <row r="28" spans="3:15" ht="31.5" customHeight="1" x14ac:dyDescent="0.2">
      <c r="C28" s="880" t="s">
        <v>736</v>
      </c>
      <c r="D28" s="881">
        <v>40</v>
      </c>
      <c r="E28" s="884"/>
      <c r="F28" s="885"/>
      <c r="G28" s="886"/>
    </row>
    <row r="29" spans="3:15" ht="11.1" customHeight="1" x14ac:dyDescent="0.25">
      <c r="C29" s="89"/>
    </row>
    <row r="30" spans="3:15" ht="11.1" customHeight="1" x14ac:dyDescent="0.25">
      <c r="C30" s="89"/>
    </row>
    <row r="31" spans="3:15" ht="27.6" customHeight="1" x14ac:dyDescent="0.2">
      <c r="C31" s="869" t="s">
        <v>737</v>
      </c>
      <c r="F31" s="864"/>
    </row>
    <row r="32" spans="3:15" ht="11.1" customHeight="1" x14ac:dyDescent="0.25">
      <c r="C32" s="89"/>
    </row>
    <row r="33" spans="1:14" ht="18.600000000000001" customHeight="1" x14ac:dyDescent="0.25">
      <c r="C33" s="89" t="s">
        <v>3676</v>
      </c>
    </row>
    <row r="34" spans="1:14" ht="18" x14ac:dyDescent="0.25">
      <c r="C34" s="89"/>
      <c r="D34" s="1211"/>
      <c r="E34" s="1211"/>
    </row>
    <row r="35" spans="1:14" ht="30.75" x14ac:dyDescent="0.25">
      <c r="C35" s="89"/>
      <c r="D35" s="871" t="s">
        <v>738</v>
      </c>
      <c r="E35" s="871" t="s">
        <v>739</v>
      </c>
    </row>
    <row r="36" spans="1:14" ht="18" x14ac:dyDescent="0.25">
      <c r="C36" s="870">
        <v>45839</v>
      </c>
      <c r="D36" s="15"/>
      <c r="E36" s="15"/>
      <c r="G36" s="89"/>
    </row>
    <row r="37" spans="1:14" ht="18" x14ac:dyDescent="0.25">
      <c r="A37" s="250"/>
      <c r="C37" s="137" t="s">
        <v>740</v>
      </c>
      <c r="D37" s="15">
        <v>117.93</v>
      </c>
      <c r="E37" s="15">
        <v>0.13969999999999999</v>
      </c>
      <c r="G37" s="89"/>
    </row>
    <row r="38" spans="1:14" ht="18" x14ac:dyDescent="0.25">
      <c r="A38" s="312"/>
      <c r="C38" s="137" t="s">
        <v>156</v>
      </c>
      <c r="D38" s="15">
        <v>290.83</v>
      </c>
      <c r="E38" s="919">
        <v>0.10852000000000001</v>
      </c>
      <c r="G38" s="89"/>
    </row>
    <row r="39" spans="1:14" ht="18" x14ac:dyDescent="0.25">
      <c r="C39" s="917" t="s">
        <v>741</v>
      </c>
      <c r="D39" s="916">
        <f>AVERAGE(D37:D38)</f>
        <v>204.38</v>
      </c>
      <c r="E39" s="918">
        <f>AVERAGE(E37:E38)</f>
        <v>0.12411</v>
      </c>
      <c r="G39" s="89"/>
    </row>
    <row r="40" spans="1:14" x14ac:dyDescent="0.2">
      <c r="C40" s="870">
        <v>45870</v>
      </c>
      <c r="D40" s="15"/>
      <c r="E40" s="15"/>
    </row>
    <row r="41" spans="1:14" x14ac:dyDescent="0.2">
      <c r="C41" s="137" t="s">
        <v>740</v>
      </c>
      <c r="D41" s="15">
        <v>134.13999999999999</v>
      </c>
      <c r="E41" s="15">
        <v>0.13919999999999999</v>
      </c>
    </row>
    <row r="42" spans="1:14" x14ac:dyDescent="0.2">
      <c r="C42" s="137" t="s">
        <v>156</v>
      </c>
      <c r="D42" s="15">
        <v>330.8</v>
      </c>
      <c r="E42" s="919">
        <v>0.10800999999999999</v>
      </c>
    </row>
    <row r="43" spans="1:14" ht="15" x14ac:dyDescent="0.25">
      <c r="C43" s="917" t="s">
        <v>741</v>
      </c>
      <c r="D43" s="916">
        <f>AVERAGE(D41:D42)</f>
        <v>232.47</v>
      </c>
      <c r="E43" s="918">
        <f>AVERAGE(E41:E42)</f>
        <v>0.12360499999999999</v>
      </c>
    </row>
    <row r="44" spans="1:14" x14ac:dyDescent="0.2">
      <c r="A44" s="87"/>
      <c r="B44" s="87"/>
      <c r="C44" s="88"/>
      <c r="D44" s="88"/>
      <c r="E44" s="88"/>
      <c r="F44" s="87"/>
      <c r="G44" s="87"/>
      <c r="H44" s="87"/>
      <c r="I44" s="87"/>
      <c r="J44" s="87"/>
      <c r="K44" s="87"/>
      <c r="L44" s="87"/>
      <c r="M44" s="87"/>
      <c r="N44" s="87"/>
    </row>
    <row r="45" spans="1:14" x14ac:dyDescent="0.2">
      <c r="C45" t="s">
        <v>742</v>
      </c>
    </row>
    <row r="48" spans="1:14" ht="18" x14ac:dyDescent="0.25">
      <c r="C48" s="89" t="s">
        <v>3677</v>
      </c>
    </row>
    <row r="50" spans="3:6" ht="30.75" x14ac:dyDescent="0.25">
      <c r="C50" s="89"/>
      <c r="D50" s="871" t="s">
        <v>738</v>
      </c>
      <c r="E50" s="871" t="s">
        <v>739</v>
      </c>
    </row>
    <row r="51" spans="3:6" x14ac:dyDescent="0.2">
      <c r="C51" s="870">
        <v>45839</v>
      </c>
      <c r="D51" s="15"/>
      <c r="E51" s="15"/>
    </row>
    <row r="52" spans="3:6" x14ac:dyDescent="0.2">
      <c r="C52" s="137" t="s">
        <v>743</v>
      </c>
      <c r="D52" s="15">
        <v>117.93</v>
      </c>
      <c r="E52" s="15">
        <v>0.13969999999999999</v>
      </c>
    </row>
    <row r="53" spans="3:6" x14ac:dyDescent="0.2">
      <c r="C53" s="137" t="s">
        <v>744</v>
      </c>
      <c r="D53" s="15">
        <v>290.83</v>
      </c>
      <c r="E53" s="919">
        <v>0.10852000000000001</v>
      </c>
    </row>
    <row r="54" spans="3:6" ht="15" x14ac:dyDescent="0.25">
      <c r="C54" s="917" t="s">
        <v>741</v>
      </c>
      <c r="D54" s="916">
        <f>AVERAGE(D52:D53)</f>
        <v>204.38</v>
      </c>
      <c r="E54" s="918">
        <f>AVERAGE(E52:E53)</f>
        <v>0.12411</v>
      </c>
    </row>
    <row r="55" spans="3:6" x14ac:dyDescent="0.2">
      <c r="C55" s="870">
        <v>45870</v>
      </c>
      <c r="D55" s="15"/>
      <c r="E55" s="15"/>
    </row>
    <row r="56" spans="3:6" x14ac:dyDescent="0.2">
      <c r="C56" s="137" t="s">
        <v>740</v>
      </c>
      <c r="D56" s="1010"/>
      <c r="E56" s="1010"/>
    </row>
    <row r="57" spans="3:6" x14ac:dyDescent="0.2">
      <c r="C57" s="137" t="s">
        <v>156</v>
      </c>
      <c r="D57" s="1010"/>
      <c r="E57" s="1011"/>
    </row>
    <row r="58" spans="3:6" ht="15" x14ac:dyDescent="0.25">
      <c r="C58" s="917" t="s">
        <v>741</v>
      </c>
      <c r="D58" s="916" t="e">
        <f>AVERAGE(D56:D57)</f>
        <v>#DIV/0!</v>
      </c>
      <c r="E58" s="918" t="e">
        <f>AVERAGE(E56:E57)</f>
        <v>#DIV/0!</v>
      </c>
      <c r="F58" s="920"/>
    </row>
    <row r="59" spans="3:6" x14ac:dyDescent="0.2">
      <c r="C59" s="88"/>
      <c r="D59" s="88"/>
      <c r="E59" s="88"/>
    </row>
    <row r="60" spans="3:6" x14ac:dyDescent="0.2">
      <c r="C60" s="81"/>
    </row>
    <row r="61" spans="3:6" x14ac:dyDescent="0.2">
      <c r="C61" s="81"/>
      <c r="E61" s="637"/>
    </row>
    <row r="64" spans="3:6" ht="18" x14ac:dyDescent="0.25">
      <c r="C64" s="89" t="s">
        <v>3678</v>
      </c>
    </row>
    <row r="66" spans="3:5" ht="30.75" x14ac:dyDescent="0.25">
      <c r="C66" s="89"/>
      <c r="D66" s="871" t="s">
        <v>738</v>
      </c>
      <c r="E66" s="871" t="s">
        <v>739</v>
      </c>
    </row>
    <row r="67" spans="3:5" x14ac:dyDescent="0.2">
      <c r="C67" s="872">
        <v>2025</v>
      </c>
      <c r="D67" s="15"/>
      <c r="E67" s="15"/>
    </row>
    <row r="68" spans="3:5" x14ac:dyDescent="0.2">
      <c r="C68" s="137" t="s">
        <v>745</v>
      </c>
      <c r="D68" s="15">
        <f>13.72*12</f>
        <v>164.64000000000001</v>
      </c>
      <c r="E68" s="15">
        <v>0.2016</v>
      </c>
    </row>
    <row r="69" spans="3:5" x14ac:dyDescent="0.2">
      <c r="C69" s="870"/>
      <c r="D69" s="15"/>
      <c r="E69" s="15"/>
    </row>
    <row r="70" spans="3:5" x14ac:dyDescent="0.2">
      <c r="C70" t="s">
        <v>746</v>
      </c>
    </row>
    <row r="73" spans="3:5" ht="18" x14ac:dyDescent="0.25">
      <c r="C73" s="89" t="s">
        <v>3679</v>
      </c>
    </row>
    <row r="75" spans="3:5" ht="30.75" x14ac:dyDescent="0.25">
      <c r="C75" s="89"/>
      <c r="D75" s="871" t="s">
        <v>738</v>
      </c>
      <c r="E75" s="871" t="s">
        <v>739</v>
      </c>
    </row>
    <row r="76" spans="3:5" x14ac:dyDescent="0.2">
      <c r="C76" s="870">
        <v>45870</v>
      </c>
      <c r="D76" s="15"/>
      <c r="E76" s="15"/>
    </row>
    <row r="77" spans="3:5" x14ac:dyDescent="0.2">
      <c r="C77" s="137" t="s">
        <v>747</v>
      </c>
      <c r="D77" s="15">
        <v>126</v>
      </c>
      <c r="E77" s="15">
        <v>0.13159999999999999</v>
      </c>
    </row>
    <row r="78" spans="3:5" x14ac:dyDescent="0.2">
      <c r="C78" s="137" t="s">
        <v>745</v>
      </c>
      <c r="D78" s="15">
        <v>158.88</v>
      </c>
      <c r="E78" s="15">
        <v>0.13159999999999999</v>
      </c>
    </row>
    <row r="79" spans="3:5" x14ac:dyDescent="0.2">
      <c r="C79" s="137" t="s">
        <v>748</v>
      </c>
      <c r="D79" s="15">
        <v>190.56</v>
      </c>
      <c r="E79" s="15">
        <v>0.13159999999999999</v>
      </c>
    </row>
    <row r="80" spans="3:5" x14ac:dyDescent="0.2">
      <c r="C80" s="137" t="s">
        <v>749</v>
      </c>
      <c r="D80" s="15">
        <v>222.24</v>
      </c>
      <c r="E80" s="15">
        <v>0.13159999999999999</v>
      </c>
    </row>
    <row r="81" spans="3:5" x14ac:dyDescent="0.2">
      <c r="C81" s="137" t="s">
        <v>750</v>
      </c>
      <c r="D81" s="921">
        <v>253.44</v>
      </c>
      <c r="E81" s="15">
        <v>0.13159999999999999</v>
      </c>
    </row>
    <row r="82" spans="3:5" x14ac:dyDescent="0.2">
      <c r="C82" s="137" t="s">
        <v>751</v>
      </c>
      <c r="D82" s="15">
        <v>283.56</v>
      </c>
      <c r="E82" s="15">
        <v>0.13159999999999999</v>
      </c>
    </row>
    <row r="83" spans="3:5" x14ac:dyDescent="0.2">
      <c r="C83" s="137" t="s">
        <v>752</v>
      </c>
      <c r="D83" s="15">
        <v>349.32</v>
      </c>
      <c r="E83" s="15">
        <v>0.13159999999999999</v>
      </c>
    </row>
    <row r="84" spans="3:5" x14ac:dyDescent="0.2">
      <c r="C84" s="137" t="s">
        <v>753</v>
      </c>
      <c r="D84" s="15">
        <v>414.48</v>
      </c>
      <c r="E84" s="15">
        <v>0.13159999999999999</v>
      </c>
    </row>
    <row r="85" spans="3:5" x14ac:dyDescent="0.2">
      <c r="C85" s="137" t="s">
        <v>754</v>
      </c>
      <c r="D85" s="15">
        <v>479.16</v>
      </c>
      <c r="E85" s="15">
        <v>0.13159999999999999</v>
      </c>
    </row>
    <row r="86" spans="3:5" x14ac:dyDescent="0.2">
      <c r="C86" s="870"/>
      <c r="D86" s="15"/>
      <c r="E86" s="15"/>
    </row>
    <row r="87" spans="3:5" x14ac:dyDescent="0.2">
      <c r="C87" t="s">
        <v>755</v>
      </c>
    </row>
    <row r="95" spans="3:5" ht="18" x14ac:dyDescent="0.25">
      <c r="C95" s="89" t="s">
        <v>756</v>
      </c>
    </row>
    <row r="97" spans="2:13" ht="18" x14ac:dyDescent="0.25">
      <c r="C97" s="1" t="s">
        <v>757</v>
      </c>
      <c r="D97" s="127">
        <v>45689</v>
      </c>
      <c r="E97" s="127">
        <v>45778</v>
      </c>
      <c r="F97" s="865"/>
      <c r="H97" s="865"/>
      <c r="I97" s="865"/>
      <c r="J97" s="865"/>
      <c r="K97" s="865"/>
      <c r="M97" s="281" t="s">
        <v>758</v>
      </c>
    </row>
    <row r="98" spans="2:13" ht="18" x14ac:dyDescent="0.25">
      <c r="B98" s="1207" t="s">
        <v>759</v>
      </c>
      <c r="C98" s="130" t="s">
        <v>760</v>
      </c>
      <c r="D98" s="762">
        <v>0.1188</v>
      </c>
      <c r="E98" s="762">
        <v>0.1162</v>
      </c>
      <c r="F98" s="865"/>
      <c r="H98" s="866"/>
      <c r="I98" s="865"/>
      <c r="J98" s="865"/>
      <c r="K98" s="865"/>
    </row>
    <row r="99" spans="2:13" ht="31.5" hidden="1" customHeight="1" x14ac:dyDescent="0.2">
      <c r="B99" s="1208"/>
      <c r="C99" s="129" t="s">
        <v>761</v>
      </c>
      <c r="D99" s="766">
        <v>0.1012</v>
      </c>
      <c r="E99" s="766"/>
      <c r="F99" s="866"/>
      <c r="H99" s="866"/>
      <c r="I99" s="866"/>
      <c r="J99" s="866"/>
      <c r="K99" s="866"/>
    </row>
    <row r="100" spans="2:13" ht="31.5" customHeight="1" x14ac:dyDescent="0.25">
      <c r="B100" s="1208"/>
      <c r="C100" s="1014" t="s">
        <v>762</v>
      </c>
      <c r="D100" s="1015">
        <v>0.1139</v>
      </c>
      <c r="E100" s="1015">
        <f>0.1059</f>
        <v>0.10589999999999999</v>
      </c>
      <c r="F100" s="866"/>
      <c r="H100" s="866"/>
      <c r="I100" s="866"/>
      <c r="J100" s="866"/>
      <c r="K100" s="866"/>
    </row>
    <row r="101" spans="2:13" ht="31.5" hidden="1" customHeight="1" x14ac:dyDescent="0.25">
      <c r="B101" s="1208"/>
      <c r="C101" s="130" t="s">
        <v>763</v>
      </c>
      <c r="D101" s="763">
        <f>AVERAGE(0.2146,0.1696)</f>
        <v>0.19209999999999999</v>
      </c>
      <c r="E101" s="763">
        <f>AVERAGE(0.2146,0.1696)</f>
        <v>0.19209999999999999</v>
      </c>
      <c r="F101" s="867"/>
      <c r="H101" s="866"/>
      <c r="I101" s="866"/>
      <c r="J101" s="866"/>
      <c r="K101" s="866"/>
    </row>
    <row r="102" spans="2:13" ht="28.5" hidden="1" x14ac:dyDescent="0.2">
      <c r="B102" s="1208"/>
      <c r="C102" s="129" t="s">
        <v>764</v>
      </c>
      <c r="D102" s="765" t="s">
        <v>765</v>
      </c>
      <c r="E102" s="765"/>
      <c r="F102" s="866"/>
      <c r="H102" s="866"/>
      <c r="I102" s="866"/>
      <c r="J102" s="866"/>
      <c r="K102" s="866"/>
    </row>
    <row r="103" spans="2:13" ht="18" hidden="1" x14ac:dyDescent="0.25">
      <c r="B103" s="1208"/>
      <c r="C103" s="129" t="s">
        <v>766</v>
      </c>
      <c r="D103" s="764">
        <f>AVERAGE(0.1841,0.147)</f>
        <v>0.16555</v>
      </c>
      <c r="E103" s="764"/>
      <c r="F103" s="866"/>
      <c r="H103" s="866"/>
      <c r="I103" s="866"/>
      <c r="J103" s="866"/>
      <c r="K103" s="866"/>
    </row>
    <row r="104" spans="2:13" ht="18" x14ac:dyDescent="0.25">
      <c r="B104" s="1208"/>
      <c r="C104" s="1012" t="s">
        <v>166</v>
      </c>
      <c r="D104" s="1013">
        <v>0.11650000000000001</v>
      </c>
      <c r="E104" s="1013">
        <v>0.11559999999999999</v>
      </c>
      <c r="F104" s="867"/>
      <c r="H104" s="866"/>
      <c r="I104" s="866"/>
      <c r="J104" s="866"/>
      <c r="K104" s="866"/>
    </row>
    <row r="105" spans="2:13" ht="15" x14ac:dyDescent="0.2">
      <c r="B105" s="1208"/>
      <c r="C105" s="130" t="s">
        <v>767</v>
      </c>
      <c r="D105" s="1016">
        <v>7.6899999999999996E-2</v>
      </c>
      <c r="E105" s="1016"/>
      <c r="F105" s="866"/>
      <c r="H105" s="866"/>
      <c r="I105" s="866"/>
      <c r="J105" s="866"/>
      <c r="K105" s="866"/>
    </row>
    <row r="106" spans="2:13" ht="15" x14ac:dyDescent="0.2">
      <c r="B106" s="1209"/>
      <c r="C106" s="130" t="s">
        <v>768</v>
      </c>
      <c r="D106" s="128">
        <v>0.16969999999999999</v>
      </c>
      <c r="E106" s="128"/>
      <c r="F106" s="866"/>
      <c r="H106" s="866"/>
      <c r="I106" s="866"/>
      <c r="J106" s="866"/>
      <c r="K106" s="866"/>
    </row>
    <row r="108" spans="2:13" x14ac:dyDescent="0.2">
      <c r="C108" s="131" t="s">
        <v>769</v>
      </c>
    </row>
    <row r="109" spans="2:13" ht="132.94999999999999" customHeight="1" x14ac:dyDescent="0.2">
      <c r="C109" s="1206" t="s">
        <v>770</v>
      </c>
      <c r="D109" s="1206"/>
      <c r="E109" s="1206"/>
      <c r="F109" s="1206"/>
      <c r="G109" s="1206"/>
      <c r="H109" s="1206"/>
      <c r="I109" s="1206"/>
      <c r="J109" s="1206"/>
      <c r="K109" s="1206"/>
    </row>
    <row r="112" spans="2:13" ht="18" x14ac:dyDescent="0.25">
      <c r="C112" s="89" t="s">
        <v>771</v>
      </c>
    </row>
    <row r="113" spans="3:6" x14ac:dyDescent="0.2">
      <c r="E113" s="457">
        <v>45717</v>
      </c>
    </row>
    <row r="115" spans="3:6" x14ac:dyDescent="0.2">
      <c r="C115" s="15" t="s">
        <v>772</v>
      </c>
      <c r="D115" s="15"/>
      <c r="E115" s="15">
        <v>1.66</v>
      </c>
      <c r="F115" t="s">
        <v>773</v>
      </c>
    </row>
    <row r="116" spans="3:6" x14ac:dyDescent="0.2">
      <c r="C116" s="15" t="s">
        <v>774</v>
      </c>
      <c r="D116" s="15"/>
      <c r="E116" s="15">
        <v>1.87</v>
      </c>
      <c r="F116" t="s">
        <v>775</v>
      </c>
    </row>
    <row r="117" spans="3:6" x14ac:dyDescent="0.2">
      <c r="C117" s="15" t="s">
        <v>776</v>
      </c>
      <c r="D117" s="15"/>
      <c r="E117" s="15">
        <v>1.97</v>
      </c>
      <c r="F117" t="s">
        <v>775</v>
      </c>
    </row>
  </sheetData>
  <mergeCells count="4">
    <mergeCell ref="C109:K109"/>
    <mergeCell ref="B98:B106"/>
    <mergeCell ref="J17:J22"/>
    <mergeCell ref="D34:E34"/>
  </mergeCells>
  <phoneticPr fontId="12" type="noConversion"/>
  <pageMargins left="0.7" right="0.7" top="0.75" bottom="0.75" header="0.3" footer="0.3"/>
  <drawing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89BA0-E6AD-426D-A905-D0B9C1A96C73}">
  <sheetPr>
    <tabColor theme="5" tint="0.79998168889431442"/>
  </sheetPr>
  <dimension ref="B2:AC41"/>
  <sheetViews>
    <sheetView showGridLines="0" zoomScale="85" zoomScaleNormal="85" workbookViewId="0">
      <selection activeCell="I25" sqref="I25"/>
    </sheetView>
  </sheetViews>
  <sheetFormatPr baseColWidth="10" defaultColWidth="11" defaultRowHeight="14.25" x14ac:dyDescent="0.2"/>
  <cols>
    <col min="3" max="3" width="35.5" customWidth="1"/>
    <col min="4" max="5" width="14.75" customWidth="1"/>
    <col min="6" max="6" width="17" customWidth="1"/>
    <col min="7" max="7" width="14.75" customWidth="1"/>
    <col min="9" max="9" width="29.5" customWidth="1"/>
    <col min="10" max="11" width="15.875" customWidth="1"/>
    <col min="12" max="12" width="19.75" customWidth="1"/>
    <col min="13" max="13" width="15.875" customWidth="1"/>
    <col min="16" max="16" width="30.75" customWidth="1"/>
    <col min="17" max="18" width="15.75" customWidth="1"/>
    <col min="20" max="24" width="24.125" customWidth="1"/>
  </cols>
  <sheetData>
    <row r="2" spans="2:29" ht="18" x14ac:dyDescent="0.25">
      <c r="B2" s="499" t="s">
        <v>777</v>
      </c>
    </row>
    <row r="4" spans="2:29" ht="18.75" thickBot="1" x14ac:dyDescent="0.3">
      <c r="T4" s="89"/>
      <c r="V4" s="48"/>
      <c r="W4" s="87"/>
      <c r="Y4" s="87"/>
      <c r="Z4" s="87"/>
      <c r="AA4" s="87"/>
      <c r="AB4" s="87"/>
      <c r="AC4" s="87"/>
    </row>
    <row r="5" spans="2:29" ht="15.75" x14ac:dyDescent="0.25">
      <c r="C5" s="458" t="s">
        <v>778</v>
      </c>
      <c r="D5" s="459"/>
      <c r="E5" s="459"/>
      <c r="F5" s="459"/>
      <c r="G5" s="459"/>
      <c r="H5" s="87"/>
      <c r="I5" s="87"/>
      <c r="J5" s="87"/>
      <c r="K5" s="87"/>
      <c r="L5" s="87"/>
      <c r="T5" s="90"/>
      <c r="U5" s="87"/>
      <c r="V5" s="87"/>
      <c r="W5" s="87"/>
      <c r="X5" s="87"/>
      <c r="Y5" s="87"/>
      <c r="Z5" s="87"/>
      <c r="AA5" s="87"/>
      <c r="AB5" s="87"/>
      <c r="AC5" s="90" t="s">
        <v>779</v>
      </c>
    </row>
    <row r="6" spans="2:29" ht="47.25" customHeight="1" x14ac:dyDescent="0.25">
      <c r="C6" s="464" t="s">
        <v>780</v>
      </c>
      <c r="D6" s="464" t="s">
        <v>781</v>
      </c>
      <c r="E6" s="464" t="s">
        <v>782</v>
      </c>
      <c r="F6" s="464" t="s">
        <v>783</v>
      </c>
      <c r="G6" s="465" t="s">
        <v>784</v>
      </c>
      <c r="T6" s="474"/>
      <c r="U6" s="14"/>
      <c r="V6" s="14"/>
      <c r="W6" s="14"/>
      <c r="X6" s="14"/>
      <c r="Y6" s="87"/>
      <c r="Z6" s="87"/>
      <c r="AA6" s="87"/>
      <c r="AB6" s="87"/>
      <c r="AC6" s="90"/>
    </row>
    <row r="7" spans="2:29" ht="15.75" x14ac:dyDescent="0.25">
      <c r="C7" s="460" t="s">
        <v>785</v>
      </c>
      <c r="D7" s="461"/>
      <c r="E7" s="461"/>
      <c r="F7" s="461"/>
      <c r="G7" s="461"/>
      <c r="T7" s="94"/>
      <c r="U7" s="475"/>
      <c r="V7" s="475"/>
      <c r="W7" s="475"/>
      <c r="X7" s="475"/>
      <c r="Y7" s="87"/>
      <c r="Z7" s="87"/>
      <c r="AA7" s="87"/>
      <c r="AB7" s="87"/>
      <c r="AC7" s="90"/>
    </row>
    <row r="8" spans="2:29" ht="16.5" thickBot="1" x14ac:dyDescent="0.3">
      <c r="C8" s="468">
        <v>1</v>
      </c>
      <c r="D8" s="467">
        <v>23768</v>
      </c>
      <c r="E8" s="467">
        <v>28933</v>
      </c>
      <c r="F8" s="467">
        <v>40018</v>
      </c>
      <c r="G8" s="466" t="str">
        <f>CONCATENATE("&gt; ",F8)</f>
        <v>&gt; 40018</v>
      </c>
      <c r="T8" s="94"/>
      <c r="U8" s="500"/>
      <c r="V8" s="500"/>
      <c r="W8" s="500"/>
      <c r="X8" s="476"/>
      <c r="Y8" s="87"/>
      <c r="Z8" s="87"/>
      <c r="AA8" s="87"/>
      <c r="AB8" s="87"/>
      <c r="AC8" s="90"/>
    </row>
    <row r="9" spans="2:29" ht="16.5" thickBot="1" x14ac:dyDescent="0.3">
      <c r="C9" s="468">
        <v>2</v>
      </c>
      <c r="D9" s="467">
        <v>34884</v>
      </c>
      <c r="E9" s="467">
        <v>42463</v>
      </c>
      <c r="F9" s="467">
        <v>58827</v>
      </c>
      <c r="G9" s="466" t="str">
        <f t="shared" ref="G9:G12" si="0">CONCATENATE("&gt; ",F9)</f>
        <v>&gt; 58827</v>
      </c>
      <c r="T9" s="94"/>
      <c r="U9" s="500"/>
      <c r="V9" s="500"/>
      <c r="W9" s="500"/>
      <c r="X9" s="87"/>
      <c r="Y9" s="87"/>
      <c r="Z9" s="87"/>
      <c r="AA9" s="87"/>
      <c r="AB9" s="87"/>
      <c r="AC9" s="90"/>
    </row>
    <row r="10" spans="2:29" ht="16.5" thickBot="1" x14ac:dyDescent="0.3">
      <c r="C10" s="468">
        <v>3</v>
      </c>
      <c r="D10" s="467">
        <v>41893</v>
      </c>
      <c r="E10" s="467">
        <v>51000</v>
      </c>
      <c r="F10" s="467">
        <v>70382</v>
      </c>
      <c r="G10" s="466" t="str">
        <f t="shared" si="0"/>
        <v>&gt; 70382</v>
      </c>
      <c r="T10" s="90"/>
      <c r="U10" s="91"/>
      <c r="V10" s="91"/>
      <c r="W10" s="91"/>
      <c r="X10" s="475"/>
      <c r="Y10" s="87"/>
      <c r="Z10" s="87"/>
      <c r="AA10" s="87"/>
      <c r="AB10" s="87"/>
      <c r="AC10" s="90"/>
    </row>
    <row r="11" spans="2:29" ht="16.5" thickBot="1" x14ac:dyDescent="0.3">
      <c r="C11" s="468">
        <v>4</v>
      </c>
      <c r="D11" s="467">
        <v>48914</v>
      </c>
      <c r="E11" s="467">
        <v>59549</v>
      </c>
      <c r="F11" s="467">
        <v>82839</v>
      </c>
      <c r="G11" s="466" t="str">
        <f t="shared" si="0"/>
        <v>&gt; 82839</v>
      </c>
      <c r="U11" s="501"/>
      <c r="V11" s="501"/>
      <c r="W11" s="87"/>
      <c r="X11" s="476"/>
      <c r="Y11" s="87"/>
      <c r="Z11" s="87"/>
      <c r="AA11" s="87"/>
      <c r="AB11" s="87"/>
      <c r="AC11" s="90"/>
    </row>
    <row r="12" spans="2:29" ht="16.5" thickBot="1" x14ac:dyDescent="0.3">
      <c r="C12" s="468">
        <v>5</v>
      </c>
      <c r="D12" s="467">
        <v>55961</v>
      </c>
      <c r="E12" s="467">
        <v>68123</v>
      </c>
      <c r="F12" s="467">
        <v>94844</v>
      </c>
      <c r="G12" s="466" t="str">
        <f t="shared" si="0"/>
        <v>&gt; 94844</v>
      </c>
      <c r="U12" s="502"/>
      <c r="V12" s="502"/>
      <c r="W12" s="92"/>
      <c r="X12" s="87"/>
      <c r="Y12" s="87"/>
      <c r="Z12" s="87"/>
      <c r="AA12" s="87"/>
      <c r="AB12" s="87"/>
      <c r="AC12" s="90"/>
    </row>
    <row r="13" spans="2:29" ht="15" thickBot="1" x14ac:dyDescent="0.25">
      <c r="C13" s="468" t="s">
        <v>786</v>
      </c>
      <c r="D13" s="467">
        <v>7038</v>
      </c>
      <c r="E13" s="467">
        <v>8568</v>
      </c>
      <c r="F13" s="467">
        <v>12006</v>
      </c>
      <c r="G13" s="466"/>
      <c r="U13" s="501"/>
      <c r="V13" s="501"/>
      <c r="X13" s="475"/>
      <c r="Y13" s="87"/>
      <c r="Z13" s="87"/>
      <c r="AA13" s="87"/>
      <c r="AB13" s="87"/>
      <c r="AC13" s="87"/>
    </row>
    <row r="14" spans="2:29" x14ac:dyDescent="0.2">
      <c r="C14" s="1212" t="s">
        <v>787</v>
      </c>
      <c r="D14" s="1213"/>
      <c r="E14" s="1213"/>
      <c r="F14" s="462"/>
      <c r="G14" s="462"/>
      <c r="U14" s="501"/>
      <c r="V14" s="501"/>
      <c r="X14" s="476"/>
      <c r="Y14" s="91"/>
      <c r="Z14" s="91"/>
      <c r="AA14" s="91"/>
      <c r="AB14" s="91"/>
      <c r="AC14" s="91"/>
    </row>
    <row r="15" spans="2:29" ht="15" thickBot="1" x14ac:dyDescent="0.25">
      <c r="C15" s="468">
        <v>1</v>
      </c>
      <c r="D15" s="467">
        <v>17173</v>
      </c>
      <c r="E15" s="467">
        <v>22015</v>
      </c>
      <c r="F15" s="467">
        <v>30549</v>
      </c>
      <c r="G15" s="466" t="str">
        <f>CONCATENATE("&gt; ",F15)</f>
        <v>&gt; 30549</v>
      </c>
      <c r="U15" s="502"/>
      <c r="V15" s="502"/>
      <c r="X15" s="95"/>
      <c r="Y15" s="91"/>
      <c r="Z15" s="91"/>
      <c r="AA15" s="91"/>
      <c r="AB15" s="91"/>
      <c r="AC15" s="91"/>
    </row>
    <row r="16" spans="2:29" ht="15" thickBot="1" x14ac:dyDescent="0.25">
      <c r="C16" s="468">
        <v>2</v>
      </c>
      <c r="D16" s="467">
        <v>25115</v>
      </c>
      <c r="E16" s="467">
        <v>32197</v>
      </c>
      <c r="F16" s="467">
        <v>44907</v>
      </c>
      <c r="G16" s="466" t="str">
        <f t="shared" ref="G16:G19" si="1">CONCATENATE("&gt; ",F16)</f>
        <v>&gt; 44907</v>
      </c>
      <c r="U16" s="502"/>
      <c r="V16" s="502"/>
      <c r="X16" s="95"/>
      <c r="Y16" s="91"/>
      <c r="Z16" s="91"/>
      <c r="AA16" s="91"/>
      <c r="AB16" s="91"/>
      <c r="AC16" s="91"/>
    </row>
    <row r="17" spans="3:29" ht="15" thickBot="1" x14ac:dyDescent="0.25">
      <c r="C17" s="468">
        <v>3</v>
      </c>
      <c r="D17" s="467">
        <v>30206</v>
      </c>
      <c r="E17" s="467">
        <v>38719</v>
      </c>
      <c r="F17" s="467">
        <v>54071</v>
      </c>
      <c r="G17" s="466" t="str">
        <f t="shared" si="1"/>
        <v>&gt; 54071</v>
      </c>
      <c r="U17" s="93"/>
      <c r="V17" s="93"/>
      <c r="X17" s="91"/>
      <c r="Y17" s="91"/>
      <c r="Z17" s="91"/>
      <c r="AA17" s="91"/>
      <c r="AB17" s="91"/>
      <c r="AC17" s="91"/>
    </row>
    <row r="18" spans="3:29" ht="15" thickBot="1" x14ac:dyDescent="0.25">
      <c r="C18" s="468">
        <v>4</v>
      </c>
      <c r="D18" s="467">
        <v>35285</v>
      </c>
      <c r="E18" s="467">
        <v>45234</v>
      </c>
      <c r="F18" s="467">
        <v>63235</v>
      </c>
      <c r="G18" s="466" t="str">
        <f t="shared" si="1"/>
        <v>&gt; 63235</v>
      </c>
      <c r="U18" s="502"/>
      <c r="V18" s="502"/>
      <c r="X18" s="87"/>
      <c r="Y18" s="87"/>
      <c r="Z18" s="87"/>
      <c r="AA18" s="87"/>
      <c r="AB18" s="87"/>
      <c r="AC18" s="87"/>
    </row>
    <row r="19" spans="3:29" ht="15" thickBot="1" x14ac:dyDescent="0.25">
      <c r="C19" s="468">
        <v>5</v>
      </c>
      <c r="D19" s="467">
        <v>40388</v>
      </c>
      <c r="E19" s="467">
        <v>51775</v>
      </c>
      <c r="F19" s="467">
        <v>72400</v>
      </c>
      <c r="G19" s="466" t="str">
        <f t="shared" si="1"/>
        <v>&gt; 72400</v>
      </c>
      <c r="U19" s="502"/>
      <c r="V19" s="502"/>
      <c r="W19" s="87"/>
      <c r="X19" s="92"/>
      <c r="Y19" s="92"/>
      <c r="Z19" s="92"/>
      <c r="AA19" s="92"/>
      <c r="AB19" s="87"/>
      <c r="AC19" s="87"/>
    </row>
    <row r="20" spans="3:29" ht="15.75" customHeight="1" thickBot="1" x14ac:dyDescent="0.25">
      <c r="C20" s="468" t="s">
        <v>786</v>
      </c>
      <c r="D20" s="467">
        <v>5094</v>
      </c>
      <c r="E20" s="467">
        <v>6525</v>
      </c>
      <c r="F20" s="467">
        <v>9165</v>
      </c>
      <c r="G20" s="466"/>
      <c r="P20" s="1215" t="s">
        <v>788</v>
      </c>
      <c r="Q20" s="1215"/>
      <c r="R20" s="1215"/>
      <c r="AB20" s="87"/>
      <c r="AC20" s="87"/>
    </row>
    <row r="21" spans="3:29" ht="26.25" customHeight="1" x14ac:dyDescent="0.2">
      <c r="C21" s="461"/>
      <c r="D21" s="461"/>
      <c r="E21" s="461"/>
      <c r="F21" s="461"/>
      <c r="G21" s="461"/>
      <c r="P21" s="1215"/>
      <c r="Q21" s="1215"/>
      <c r="R21" s="1215"/>
      <c r="AB21" s="87"/>
    </row>
    <row r="22" spans="3:29" ht="15" customHeight="1" x14ac:dyDescent="0.2">
      <c r="C22" s="461"/>
      <c r="D22" s="461"/>
      <c r="E22" s="461"/>
      <c r="F22" s="461"/>
      <c r="G22" s="461"/>
      <c r="P22" s="1215"/>
      <c r="Q22" s="1215"/>
      <c r="R22" s="1215"/>
      <c r="AB22" s="87"/>
      <c r="AC22" s="87"/>
    </row>
    <row r="23" spans="3:29" ht="14.25" customHeight="1" x14ac:dyDescent="0.2">
      <c r="C23" s="461"/>
      <c r="D23" s="461"/>
      <c r="E23" s="461"/>
      <c r="F23" s="461"/>
      <c r="G23" s="461"/>
      <c r="P23" s="1215"/>
      <c r="Q23" s="1215"/>
      <c r="R23" s="1215"/>
      <c r="AB23" s="87"/>
      <c r="AC23" s="87"/>
    </row>
    <row r="24" spans="3:29" ht="14.25" customHeight="1" x14ac:dyDescent="0.2">
      <c r="C24" s="461"/>
      <c r="D24" s="461"/>
      <c r="E24" s="461"/>
      <c r="F24" s="461"/>
      <c r="G24" s="461"/>
      <c r="P24" s="1215"/>
      <c r="Q24" s="1215"/>
      <c r="R24" s="1215"/>
      <c r="AB24" s="87"/>
      <c r="AC24" s="87"/>
    </row>
    <row r="25" spans="3:29" ht="15" thickBot="1" x14ac:dyDescent="0.25">
      <c r="C25" s="461"/>
      <c r="D25" s="461"/>
      <c r="E25" s="461"/>
      <c r="F25" s="461"/>
      <c r="G25" s="461"/>
      <c r="AB25" s="87"/>
      <c r="AC25" s="87"/>
    </row>
    <row r="26" spans="3:29" ht="15" x14ac:dyDescent="0.25">
      <c r="C26" s="458" t="s">
        <v>789</v>
      </c>
      <c r="D26" s="459"/>
      <c r="E26" s="459"/>
      <c r="F26" s="459"/>
      <c r="G26" s="459"/>
      <c r="I26" s="458" t="s">
        <v>790</v>
      </c>
      <c r="J26" s="459"/>
      <c r="K26" s="459"/>
      <c r="L26" s="459"/>
      <c r="M26" s="459"/>
      <c r="P26" s="458" t="s">
        <v>791</v>
      </c>
      <c r="Q26" s="459"/>
      <c r="R26" s="459"/>
      <c r="X26" s="87"/>
      <c r="Y26" s="87"/>
      <c r="Z26" s="87"/>
      <c r="AA26" s="87"/>
      <c r="AB26" s="87"/>
      <c r="AC26" s="87"/>
    </row>
    <row r="27" spans="3:29" ht="47.25" customHeight="1" x14ac:dyDescent="0.2">
      <c r="C27" s="464" t="s">
        <v>792</v>
      </c>
      <c r="D27" s="464" t="s">
        <v>781</v>
      </c>
      <c r="E27" s="464" t="s">
        <v>782</v>
      </c>
      <c r="F27" s="464" t="s">
        <v>783</v>
      </c>
      <c r="G27" s="465" t="s">
        <v>784</v>
      </c>
      <c r="I27" s="464" t="s">
        <v>793</v>
      </c>
      <c r="J27" s="464" t="s">
        <v>781</v>
      </c>
      <c r="K27" s="464" t="s">
        <v>782</v>
      </c>
      <c r="L27" s="464" t="s">
        <v>783</v>
      </c>
      <c r="M27" s="465" t="s">
        <v>784</v>
      </c>
      <c r="Q27" s="464" t="s">
        <v>794</v>
      </c>
      <c r="R27" s="464" t="s">
        <v>795</v>
      </c>
    </row>
    <row r="28" spans="3:29" ht="15.75" thickBot="1" x14ac:dyDescent="0.25">
      <c r="C28" s="468" t="s">
        <v>796</v>
      </c>
      <c r="D28" s="470">
        <v>5000</v>
      </c>
      <c r="E28" s="470">
        <v>4000</v>
      </c>
      <c r="F28" s="470">
        <v>3000</v>
      </c>
      <c r="G28" s="469">
        <v>0</v>
      </c>
      <c r="I28" s="471" t="s">
        <v>797</v>
      </c>
      <c r="J28" s="470"/>
      <c r="K28" s="470"/>
      <c r="L28" s="470"/>
      <c r="M28" s="469"/>
      <c r="P28" s="470" t="s">
        <v>798</v>
      </c>
      <c r="Q28" s="472">
        <v>0.3</v>
      </c>
      <c r="R28" s="472">
        <v>0.45</v>
      </c>
    </row>
    <row r="29" spans="3:29" ht="15" thickBot="1" x14ac:dyDescent="0.25">
      <c r="C29" s="468" t="s">
        <v>799</v>
      </c>
      <c r="D29" s="470">
        <v>4000</v>
      </c>
      <c r="E29" s="470">
        <v>3000</v>
      </c>
      <c r="F29" s="470">
        <v>2000</v>
      </c>
      <c r="G29" s="469">
        <v>0</v>
      </c>
      <c r="I29" s="468" t="s">
        <v>800</v>
      </c>
      <c r="J29" s="472">
        <v>0.8</v>
      </c>
      <c r="K29" s="472">
        <v>0.6</v>
      </c>
      <c r="L29" s="472">
        <v>0.45</v>
      </c>
      <c r="M29" s="473">
        <v>0.1</v>
      </c>
      <c r="P29" s="472" t="s">
        <v>801</v>
      </c>
      <c r="Q29" s="470">
        <v>25000</v>
      </c>
      <c r="R29" s="470">
        <v>25000</v>
      </c>
    </row>
    <row r="30" spans="3:29" ht="29.25" thickBot="1" x14ac:dyDescent="0.25">
      <c r="C30" s="468" t="s">
        <v>802</v>
      </c>
      <c r="D30" s="470">
        <v>1200</v>
      </c>
      <c r="E30" s="470">
        <v>800</v>
      </c>
      <c r="F30" s="470">
        <v>400</v>
      </c>
      <c r="G30" s="469">
        <v>0</v>
      </c>
      <c r="I30" s="468" t="s">
        <v>803</v>
      </c>
      <c r="J30" s="470">
        <v>40000</v>
      </c>
      <c r="K30" s="470">
        <v>40000</v>
      </c>
      <c r="L30" s="470">
        <v>40000</v>
      </c>
      <c r="M30" s="469">
        <v>40000</v>
      </c>
      <c r="P30" s="468" t="s">
        <v>804</v>
      </c>
      <c r="Q30" s="477">
        <v>0.1</v>
      </c>
      <c r="R30" s="477">
        <v>0.1</v>
      </c>
    </row>
    <row r="31" spans="3:29" ht="15.75" thickBot="1" x14ac:dyDescent="0.25">
      <c r="C31" s="468" t="s">
        <v>805</v>
      </c>
      <c r="D31" s="470">
        <v>2500</v>
      </c>
      <c r="E31" s="470">
        <v>2000</v>
      </c>
      <c r="F31" s="470">
        <v>1500</v>
      </c>
      <c r="G31" s="469">
        <v>0</v>
      </c>
      <c r="I31" s="471" t="s">
        <v>806</v>
      </c>
      <c r="J31" s="470"/>
      <c r="K31" s="470"/>
      <c r="L31" s="470"/>
      <c r="M31" s="469"/>
      <c r="P31" s="470" t="s">
        <v>807</v>
      </c>
      <c r="Q31" s="470">
        <v>1500</v>
      </c>
      <c r="R31" s="470">
        <v>1500</v>
      </c>
    </row>
    <row r="32" spans="3:29" ht="29.25" thickBot="1" x14ac:dyDescent="0.25">
      <c r="C32" s="468" t="s">
        <v>808</v>
      </c>
      <c r="D32" s="470">
        <v>100</v>
      </c>
      <c r="E32" s="470">
        <v>80</v>
      </c>
      <c r="F32" s="470">
        <v>40</v>
      </c>
      <c r="G32" s="469">
        <v>0</v>
      </c>
      <c r="I32" s="468" t="s">
        <v>800</v>
      </c>
      <c r="J32" s="472">
        <v>0.8</v>
      </c>
      <c r="K32" s="472">
        <v>0.6</v>
      </c>
      <c r="L32" s="472">
        <v>0.5</v>
      </c>
      <c r="M32" s="473">
        <v>0.15</v>
      </c>
      <c r="P32" s="497" t="s">
        <v>809</v>
      </c>
      <c r="Q32" s="498">
        <v>3000</v>
      </c>
      <c r="R32" s="498">
        <v>3000</v>
      </c>
    </row>
    <row r="33" spans="3:18" ht="29.25" thickBot="1" x14ac:dyDescent="0.25">
      <c r="C33" s="468" t="s">
        <v>810</v>
      </c>
      <c r="D33" s="470">
        <v>75</v>
      </c>
      <c r="E33" s="470">
        <v>60</v>
      </c>
      <c r="F33" s="470">
        <v>40</v>
      </c>
      <c r="G33" s="469">
        <v>0</v>
      </c>
      <c r="I33" s="468" t="s">
        <v>803</v>
      </c>
      <c r="J33" s="470">
        <v>55000</v>
      </c>
      <c r="K33" s="470">
        <v>55000</v>
      </c>
      <c r="L33" s="470">
        <v>55000</v>
      </c>
      <c r="M33" s="469">
        <v>55000</v>
      </c>
      <c r="P33" s="470" t="s">
        <v>811</v>
      </c>
      <c r="Q33" s="472">
        <v>0.5</v>
      </c>
      <c r="R33" s="472">
        <v>0.5</v>
      </c>
    </row>
    <row r="34" spans="3:18" ht="15.75" thickBot="1" x14ac:dyDescent="0.25">
      <c r="C34" s="468" t="s">
        <v>812</v>
      </c>
      <c r="D34" s="470">
        <v>75</v>
      </c>
      <c r="E34" s="470">
        <v>60</v>
      </c>
      <c r="F34" s="470">
        <v>40</v>
      </c>
      <c r="G34" s="469">
        <v>0</v>
      </c>
      <c r="I34" s="471" t="s">
        <v>813</v>
      </c>
      <c r="J34" s="470"/>
      <c r="K34" s="470"/>
      <c r="L34" s="470"/>
      <c r="M34" s="469"/>
    </row>
    <row r="35" spans="3:18" ht="15" thickBot="1" x14ac:dyDescent="0.25">
      <c r="C35" s="468" t="s">
        <v>814</v>
      </c>
      <c r="D35" s="470">
        <v>25</v>
      </c>
      <c r="E35" s="470">
        <v>20</v>
      </c>
      <c r="F35" s="470">
        <v>15</v>
      </c>
      <c r="G35" s="469">
        <v>0</v>
      </c>
      <c r="I35" s="468" t="s">
        <v>800</v>
      </c>
      <c r="J35" s="472">
        <v>0.8</v>
      </c>
      <c r="K35" s="472">
        <v>0.6</v>
      </c>
      <c r="L35" s="472">
        <v>0.5</v>
      </c>
      <c r="M35" s="473">
        <v>0.2</v>
      </c>
    </row>
    <row r="36" spans="3:18" ht="29.25" thickBot="1" x14ac:dyDescent="0.25">
      <c r="C36" s="468" t="s">
        <v>815</v>
      </c>
      <c r="D36" s="470">
        <v>25</v>
      </c>
      <c r="E36" s="470">
        <v>20</v>
      </c>
      <c r="F36" s="470">
        <v>15</v>
      </c>
      <c r="G36" s="469">
        <v>0</v>
      </c>
      <c r="H36" s="463"/>
      <c r="I36" s="468" t="s">
        <v>803</v>
      </c>
      <c r="J36" s="470">
        <v>70000</v>
      </c>
      <c r="K36" s="470">
        <v>70000</v>
      </c>
      <c r="L36" s="470">
        <v>70000</v>
      </c>
      <c r="M36" s="469">
        <v>70000</v>
      </c>
    </row>
    <row r="37" spans="3:18" ht="29.25" thickBot="1" x14ac:dyDescent="0.25">
      <c r="I37" s="468" t="s">
        <v>804</v>
      </c>
      <c r="J37" s="477">
        <v>0.1</v>
      </c>
      <c r="K37" s="477">
        <v>0.1</v>
      </c>
      <c r="L37" s="477">
        <v>0.1</v>
      </c>
      <c r="M37" s="478">
        <v>0.1</v>
      </c>
      <c r="P37" s="1214" t="s">
        <v>816</v>
      </c>
      <c r="Q37" s="1214"/>
      <c r="R37" s="1214"/>
    </row>
    <row r="38" spans="3:18" x14ac:dyDescent="0.2">
      <c r="P38" s="1214"/>
      <c r="Q38" s="1214"/>
      <c r="R38" s="1214"/>
    </row>
    <row r="39" spans="3:18" x14ac:dyDescent="0.2">
      <c r="I39" s="1214" t="s">
        <v>817</v>
      </c>
      <c r="J39" s="1214"/>
      <c r="K39" s="1214"/>
      <c r="L39" s="1214"/>
      <c r="M39" s="1214"/>
      <c r="P39" s="1214"/>
      <c r="Q39" s="1214"/>
      <c r="R39" s="1214"/>
    </row>
    <row r="40" spans="3:18" x14ac:dyDescent="0.2">
      <c r="C40" s="1214" t="s">
        <v>818</v>
      </c>
      <c r="D40" s="1214"/>
      <c r="E40" s="1214"/>
      <c r="F40" s="1214"/>
      <c r="G40" s="1214"/>
      <c r="I40" s="1214"/>
      <c r="J40" s="1214"/>
      <c r="K40" s="1214"/>
      <c r="L40" s="1214"/>
      <c r="M40" s="1214"/>
    </row>
    <row r="41" spans="3:18" x14ac:dyDescent="0.2">
      <c r="C41" s="1214"/>
      <c r="D41" s="1214"/>
      <c r="E41" s="1214"/>
      <c r="F41" s="1214"/>
      <c r="G41" s="1214"/>
      <c r="I41" s="1214"/>
      <c r="J41" s="1214"/>
      <c r="K41" s="1214"/>
      <c r="L41" s="1214"/>
      <c r="M41" s="1214"/>
    </row>
  </sheetData>
  <mergeCells count="5">
    <mergeCell ref="C14:E14"/>
    <mergeCell ref="P37:R39"/>
    <mergeCell ref="I39:M41"/>
    <mergeCell ref="C40:G41"/>
    <mergeCell ref="P20:R2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30C0C-4178-4794-BA65-9AC2F3F0122C}">
  <sheetPr>
    <tabColor theme="6" tint="0.59999389629810485"/>
  </sheetPr>
  <dimension ref="A1"/>
  <sheetViews>
    <sheetView workbookViewId="0"/>
  </sheetViews>
  <sheetFormatPr baseColWidth="10" defaultColWidth="11" defaultRowHeight="14.25" x14ac:dyDescent="0.2"/>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C0DD1-0AA4-489B-9BD3-214365C2657A}">
  <sheetPr>
    <tabColor theme="5" tint="0.79998168889431442"/>
  </sheetPr>
  <dimension ref="B3:K70"/>
  <sheetViews>
    <sheetView showGridLines="0" topLeftCell="A3" zoomScale="115" zoomScaleNormal="115" workbookViewId="0">
      <pane ySplit="4" topLeftCell="A8" activePane="bottomLeft" state="frozen"/>
      <selection activeCell="A3" sqref="A3"/>
      <selection pane="bottomLeft" activeCell="B9" sqref="B9"/>
    </sheetView>
  </sheetViews>
  <sheetFormatPr baseColWidth="10" defaultColWidth="11" defaultRowHeight="14.25" outlineLevelRow="1" x14ac:dyDescent="0.2"/>
  <cols>
    <col min="2" max="2" width="24.5" customWidth="1"/>
    <col min="3" max="3" width="18.25" customWidth="1"/>
    <col min="4" max="4" width="27.625" customWidth="1"/>
    <col min="5" max="5" width="17" customWidth="1"/>
    <col min="6" max="6" width="49.75" bestFit="1" customWidth="1"/>
    <col min="9" max="9" width="34.125" customWidth="1"/>
  </cols>
  <sheetData>
    <row r="3" spans="2:11" ht="20.25" x14ac:dyDescent="0.3">
      <c r="B3" s="139" t="s">
        <v>819</v>
      </c>
      <c r="C3" s="144"/>
    </row>
    <row r="4" spans="2:11" ht="20.25" x14ac:dyDescent="0.3">
      <c r="B4" s="139"/>
      <c r="C4" s="144"/>
    </row>
    <row r="5" spans="2:11" ht="21" customHeight="1" x14ac:dyDescent="0.2">
      <c r="B5" s="20"/>
    </row>
    <row r="6" spans="2:11" ht="30.6" customHeight="1" x14ac:dyDescent="0.2">
      <c r="C6" s="132" t="s">
        <v>820</v>
      </c>
      <c r="D6" s="132" t="s">
        <v>821</v>
      </c>
      <c r="E6" s="132" t="s">
        <v>822</v>
      </c>
      <c r="F6" s="132" t="s">
        <v>2</v>
      </c>
      <c r="I6" s="131"/>
      <c r="J6" s="93"/>
      <c r="K6" s="93"/>
    </row>
    <row r="7" spans="2:11" ht="31.5" customHeight="1" x14ac:dyDescent="0.2">
      <c r="B7" s="51" t="s">
        <v>823</v>
      </c>
      <c r="C7" s="1017">
        <v>0.32400000000000001</v>
      </c>
      <c r="D7" s="142" t="s">
        <v>824</v>
      </c>
      <c r="E7" s="146">
        <v>0.05</v>
      </c>
      <c r="F7" s="142" t="s">
        <v>825</v>
      </c>
    </row>
    <row r="8" spans="2:11" ht="31.5" customHeight="1" x14ac:dyDescent="0.2">
      <c r="B8" s="51" t="s">
        <v>826</v>
      </c>
      <c r="C8" s="1017">
        <v>0.23899999999999999</v>
      </c>
      <c r="D8" s="142" t="s">
        <v>824</v>
      </c>
      <c r="E8" s="146">
        <v>0.05</v>
      </c>
      <c r="F8" s="142" t="s">
        <v>827</v>
      </c>
    </row>
    <row r="9" spans="2:11" ht="27" customHeight="1" x14ac:dyDescent="0.2">
      <c r="B9" s="51" t="s">
        <v>828</v>
      </c>
      <c r="C9" s="1017">
        <v>0.21540000000000001</v>
      </c>
      <c r="D9" s="142" t="s">
        <v>829</v>
      </c>
      <c r="E9" s="146">
        <v>0.05</v>
      </c>
      <c r="F9" s="142" t="s">
        <v>827</v>
      </c>
    </row>
    <row r="10" spans="2:11" ht="27" customHeight="1" x14ac:dyDescent="0.2">
      <c r="B10" s="51" t="s">
        <v>831</v>
      </c>
      <c r="C10" s="1017">
        <v>4.1700000000000001E-2</v>
      </c>
      <c r="D10" s="142" t="s">
        <v>824</v>
      </c>
      <c r="E10" s="146">
        <v>0.2</v>
      </c>
      <c r="F10" s="142" t="s">
        <v>832</v>
      </c>
    </row>
    <row r="11" spans="2:11" ht="27" customHeight="1" x14ac:dyDescent="0.2">
      <c r="B11" s="51" t="s">
        <v>833</v>
      </c>
      <c r="C11" s="1017">
        <v>4.1700000000000001E-2</v>
      </c>
      <c r="D11" s="142" t="s">
        <v>824</v>
      </c>
      <c r="E11" s="146">
        <v>0.2</v>
      </c>
      <c r="F11" s="142" t="s">
        <v>834</v>
      </c>
    </row>
    <row r="12" spans="2:11" ht="27" customHeight="1" x14ac:dyDescent="0.2">
      <c r="B12" s="51" t="s">
        <v>831</v>
      </c>
      <c r="C12" s="1017">
        <v>3.7600000000000001E-2</v>
      </c>
      <c r="D12" s="142" t="s">
        <v>829</v>
      </c>
      <c r="E12" s="146"/>
      <c r="F12" s="142" t="s">
        <v>835</v>
      </c>
    </row>
    <row r="13" spans="2:11" ht="27" customHeight="1" x14ac:dyDescent="0.2">
      <c r="B13" s="51" t="s">
        <v>3784</v>
      </c>
      <c r="C13" s="1017">
        <v>0.27</v>
      </c>
      <c r="D13" s="147" t="s">
        <v>837</v>
      </c>
      <c r="E13" s="149"/>
      <c r="F13" s="147" t="s">
        <v>3785</v>
      </c>
    </row>
    <row r="14" spans="2:11" ht="27" customHeight="1" x14ac:dyDescent="0.2">
      <c r="B14" s="51" t="s">
        <v>3786</v>
      </c>
      <c r="C14" s="1017">
        <v>2.7E-2</v>
      </c>
      <c r="D14" s="147" t="s">
        <v>837</v>
      </c>
      <c r="E14" s="149"/>
      <c r="F14" s="147" t="s">
        <v>3785</v>
      </c>
    </row>
    <row r="15" spans="2:11" ht="27" customHeight="1" x14ac:dyDescent="0.2">
      <c r="B15" s="51" t="s">
        <v>836</v>
      </c>
      <c r="C15" s="1017">
        <v>5.8000000000000003E-2</v>
      </c>
      <c r="D15" s="147" t="s">
        <v>837</v>
      </c>
      <c r="E15" s="149">
        <v>0.1</v>
      </c>
      <c r="F15" s="147" t="s">
        <v>838</v>
      </c>
    </row>
    <row r="16" spans="2:11" ht="27" customHeight="1" x14ac:dyDescent="0.2">
      <c r="B16" s="123" t="s">
        <v>839</v>
      </c>
      <c r="C16" s="1017">
        <v>0.113</v>
      </c>
      <c r="D16" s="142" t="s">
        <v>837</v>
      </c>
      <c r="E16" s="146">
        <v>0.5</v>
      </c>
      <c r="F16" s="150" t="s">
        <v>840</v>
      </c>
    </row>
    <row r="17" spans="2:9" ht="15" customHeight="1" x14ac:dyDescent="0.2">
      <c r="B17" s="20"/>
      <c r="C17" s="1020"/>
      <c r="D17" s="131"/>
      <c r="E17" s="131"/>
      <c r="F17" s="131"/>
    </row>
    <row r="18" spans="2:9" ht="41.45" customHeight="1" x14ac:dyDescent="0.2">
      <c r="B18" s="154" t="s">
        <v>841</v>
      </c>
      <c r="C18" s="1020"/>
      <c r="D18" s="131"/>
      <c r="E18" s="131"/>
      <c r="F18" s="131"/>
    </row>
    <row r="19" spans="2:9" ht="41.45" customHeight="1" x14ac:dyDescent="0.2">
      <c r="B19" s="51" t="s">
        <v>842</v>
      </c>
      <c r="C19" s="1018">
        <v>2.95</v>
      </c>
      <c r="D19" s="142" t="s">
        <v>843</v>
      </c>
      <c r="E19" s="146">
        <v>0.1</v>
      </c>
      <c r="F19" s="142" t="s">
        <v>830</v>
      </c>
    </row>
    <row r="20" spans="2:9" ht="41.45" customHeight="1" x14ac:dyDescent="0.2">
      <c r="B20" s="51" t="s">
        <v>844</v>
      </c>
      <c r="C20" s="1018">
        <v>3.27</v>
      </c>
      <c r="D20" s="142" t="s">
        <v>843</v>
      </c>
      <c r="E20" s="146">
        <v>0.05</v>
      </c>
      <c r="F20" s="142" t="s">
        <v>830</v>
      </c>
      <c r="G20" s="81"/>
    </row>
    <row r="21" spans="2:9" ht="41.45" customHeight="1" x14ac:dyDescent="0.2">
      <c r="B21" s="51" t="s">
        <v>845</v>
      </c>
      <c r="C21" s="1019">
        <v>0.60899999999999999</v>
      </c>
      <c r="D21" s="142" t="s">
        <v>843</v>
      </c>
      <c r="E21" s="146">
        <v>0.7</v>
      </c>
      <c r="F21" s="142" t="s">
        <v>830</v>
      </c>
    </row>
    <row r="22" spans="2:9" ht="41.45" hidden="1" customHeight="1" outlineLevel="1" x14ac:dyDescent="0.2">
      <c r="B22" s="51" t="s">
        <v>846</v>
      </c>
      <c r="C22" s="155">
        <v>1.1100000000000001</v>
      </c>
      <c r="D22" s="142" t="s">
        <v>847</v>
      </c>
      <c r="E22" s="146">
        <v>0.1</v>
      </c>
      <c r="F22" s="142" t="s">
        <v>830</v>
      </c>
    </row>
    <row r="23" spans="2:9" ht="41.45" hidden="1" customHeight="1" outlineLevel="1" x14ac:dyDescent="0.2">
      <c r="B23" s="51" t="s">
        <v>848</v>
      </c>
      <c r="C23" s="155">
        <v>2.7</v>
      </c>
      <c r="D23" s="142" t="s">
        <v>847</v>
      </c>
      <c r="E23" s="146">
        <v>0.1</v>
      </c>
      <c r="F23" s="142" t="s">
        <v>830</v>
      </c>
    </row>
    <row r="24" spans="2:9" ht="41.45" hidden="1" customHeight="1" outlineLevel="1" x14ac:dyDescent="0.2">
      <c r="B24" s="51" t="s">
        <v>849</v>
      </c>
      <c r="C24" s="155">
        <v>2.7</v>
      </c>
      <c r="D24" s="142" t="s">
        <v>847</v>
      </c>
      <c r="E24" s="146">
        <v>0.1</v>
      </c>
      <c r="F24" s="142" t="s">
        <v>830</v>
      </c>
    </row>
    <row r="25" spans="2:9" ht="41.45" hidden="1" customHeight="1" outlineLevel="1" x14ac:dyDescent="0.2">
      <c r="B25" s="51" t="s">
        <v>850</v>
      </c>
      <c r="C25" s="155">
        <v>3.16</v>
      </c>
      <c r="D25" s="142" t="s">
        <v>847</v>
      </c>
      <c r="E25" s="142"/>
      <c r="F25" s="142" t="s">
        <v>830</v>
      </c>
    </row>
    <row r="26" spans="2:9" ht="41.45" customHeight="1" collapsed="1" x14ac:dyDescent="0.2">
      <c r="B26" s="51" t="s">
        <v>851</v>
      </c>
      <c r="C26" s="155">
        <v>3.1</v>
      </c>
      <c r="D26" s="142" t="s">
        <v>847</v>
      </c>
      <c r="E26" s="142"/>
      <c r="F26" s="142" t="s">
        <v>830</v>
      </c>
    </row>
    <row r="27" spans="2:9" ht="41.45" customHeight="1" outlineLevel="1" x14ac:dyDescent="0.2">
      <c r="B27" s="51" t="s">
        <v>852</v>
      </c>
      <c r="C27" s="155">
        <v>2.64</v>
      </c>
      <c r="D27" s="142" t="s">
        <v>847</v>
      </c>
      <c r="E27" s="142"/>
      <c r="F27" s="142" t="s">
        <v>830</v>
      </c>
    </row>
    <row r="28" spans="2:9" ht="41.45" customHeight="1" outlineLevel="1" x14ac:dyDescent="0.2">
      <c r="B28" s="51" t="s">
        <v>853</v>
      </c>
      <c r="C28" s="155">
        <v>1.22</v>
      </c>
      <c r="D28" s="142" t="s">
        <v>847</v>
      </c>
      <c r="E28" s="142"/>
      <c r="F28" s="142" t="s">
        <v>830</v>
      </c>
    </row>
    <row r="30" spans="2:9" ht="65.45" customHeight="1" x14ac:dyDescent="0.2">
      <c r="F30" s="1216"/>
      <c r="G30" s="1216"/>
      <c r="H30" s="1216"/>
      <c r="I30" s="1216"/>
    </row>
    <row r="34" spans="2:6" ht="20.25" x14ac:dyDescent="0.3">
      <c r="B34" s="139" t="s">
        <v>854</v>
      </c>
    </row>
    <row r="36" spans="2:6" ht="26.45" customHeight="1" x14ac:dyDescent="0.25">
      <c r="B36" s="122" t="s">
        <v>855</v>
      </c>
      <c r="C36" s="122" t="s">
        <v>856</v>
      </c>
      <c r="D36" s="122" t="s">
        <v>2</v>
      </c>
      <c r="E36" s="124"/>
      <c r="F36" s="27"/>
    </row>
    <row r="37" spans="2:6" ht="26.45" customHeight="1" x14ac:dyDescent="0.2">
      <c r="B37" s="876" t="s">
        <v>857</v>
      </c>
      <c r="C37" s="388">
        <v>1.111</v>
      </c>
      <c r="D37" s="142" t="s">
        <v>858</v>
      </c>
      <c r="E37" s="922" t="s">
        <v>859</v>
      </c>
      <c r="F37" s="131"/>
    </row>
    <row r="38" spans="2:6" ht="26.45" customHeight="1" x14ac:dyDescent="0.2">
      <c r="B38" s="142" t="s">
        <v>860</v>
      </c>
      <c r="C38" s="145">
        <v>1.087</v>
      </c>
      <c r="D38" s="142" t="s">
        <v>858</v>
      </c>
    </row>
    <row r="39" spans="2:6" ht="26.45" customHeight="1" x14ac:dyDescent="0.2">
      <c r="B39" s="142" t="s">
        <v>861</v>
      </c>
      <c r="C39" s="145">
        <v>1.08</v>
      </c>
      <c r="D39" s="142" t="s">
        <v>858</v>
      </c>
      <c r="E39" s="131"/>
    </row>
    <row r="40" spans="2:6" ht="26.45" customHeight="1" x14ac:dyDescent="0.2">
      <c r="B40" s="142" t="s">
        <v>862</v>
      </c>
      <c r="C40" s="145">
        <v>1.075</v>
      </c>
      <c r="D40" s="142" t="s">
        <v>858</v>
      </c>
      <c r="E40" s="131"/>
    </row>
    <row r="41" spans="2:6" x14ac:dyDescent="0.2">
      <c r="B41" s="374" t="s">
        <v>863</v>
      </c>
    </row>
    <row r="44" spans="2:6" ht="20.25" x14ac:dyDescent="0.3">
      <c r="B44" s="139" t="s">
        <v>864</v>
      </c>
    </row>
    <row r="45" spans="2:6" ht="11.45" customHeight="1" x14ac:dyDescent="0.3">
      <c r="B45" s="139"/>
    </row>
    <row r="46" spans="2:6" ht="15" x14ac:dyDescent="0.25">
      <c r="B46" s="122"/>
      <c r="C46" s="122" t="s">
        <v>865</v>
      </c>
    </row>
    <row r="47" spans="2:6" x14ac:dyDescent="0.2">
      <c r="B47" s="876" t="s">
        <v>572</v>
      </c>
      <c r="C47" s="388">
        <v>2.2999999999999998</v>
      </c>
      <c r="D47" t="s">
        <v>866</v>
      </c>
    </row>
    <row r="48" spans="2:6" x14ac:dyDescent="0.2">
      <c r="B48" s="142" t="s">
        <v>867</v>
      </c>
      <c r="C48" s="145">
        <v>1</v>
      </c>
    </row>
    <row r="49" spans="2:5" x14ac:dyDescent="0.2">
      <c r="B49" s="142" t="s">
        <v>166</v>
      </c>
      <c r="C49" s="145">
        <v>1</v>
      </c>
    </row>
    <row r="50" spans="2:5" x14ac:dyDescent="0.2">
      <c r="B50" s="142" t="s">
        <v>767</v>
      </c>
      <c r="C50" s="145">
        <v>1</v>
      </c>
    </row>
    <row r="52" spans="2:5" x14ac:dyDescent="0.2">
      <c r="B52" s="374" t="s">
        <v>868</v>
      </c>
    </row>
    <row r="61" spans="2:5" ht="15" x14ac:dyDescent="0.25">
      <c r="E61" s="1"/>
    </row>
    <row r="62" spans="2:5" ht="15" x14ac:dyDescent="0.25">
      <c r="E62" s="1"/>
    </row>
    <row r="63" spans="2:5" ht="15" x14ac:dyDescent="0.25">
      <c r="E63" s="1"/>
    </row>
    <row r="64" spans="2:5" ht="15" x14ac:dyDescent="0.25">
      <c r="E64" s="1"/>
    </row>
    <row r="66" spans="2:5" ht="20.25" x14ac:dyDescent="0.3">
      <c r="B66" s="139"/>
      <c r="E66" s="877"/>
    </row>
    <row r="67" spans="2:5" x14ac:dyDescent="0.2">
      <c r="E67" s="61"/>
    </row>
    <row r="70" spans="2:5" ht="15" x14ac:dyDescent="0.25">
      <c r="B70" s="1"/>
    </row>
  </sheetData>
  <mergeCells count="1">
    <mergeCell ref="F30:I30"/>
  </mergeCells>
  <phoneticPr fontId="12" type="noConversion"/>
  <hyperlinks>
    <hyperlink ref="F16" r:id="rId1" xr:uid="{A2610578-B3A7-49BD-BCAD-63EB944C2977}"/>
  </hyperlinks>
  <pageMargins left="0.7" right="0.7" top="0.75" bottom="0.75" header="0.3" footer="0.3"/>
  <drawing r:id="rId2"/>
  <legacy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F73B1-85F2-4640-B362-E6C20A872A34}">
  <sheetPr>
    <tabColor theme="5" tint="0.79998168889431442"/>
  </sheetPr>
  <dimension ref="C2:E13"/>
  <sheetViews>
    <sheetView showGridLines="0" topLeftCell="A2" zoomScale="101" zoomScaleNormal="145" workbookViewId="0">
      <selection activeCell="G10" sqref="G10"/>
    </sheetView>
  </sheetViews>
  <sheetFormatPr baseColWidth="10" defaultColWidth="11" defaultRowHeight="14.25" x14ac:dyDescent="0.2"/>
  <cols>
    <col min="3" max="3" width="31.125" customWidth="1"/>
  </cols>
  <sheetData>
    <row r="2" spans="3:5" ht="18" x14ac:dyDescent="0.25">
      <c r="C2" s="43" t="s">
        <v>869</v>
      </c>
    </row>
    <row r="4" spans="3:5" ht="29.45" customHeight="1" x14ac:dyDescent="0.2">
      <c r="C4" s="614" t="s">
        <v>870</v>
      </c>
      <c r="D4" s="614">
        <v>0.218</v>
      </c>
      <c r="E4" s="614" t="s">
        <v>871</v>
      </c>
    </row>
    <row r="5" spans="3:5" ht="29.45" customHeight="1" x14ac:dyDescent="0.2">
      <c r="C5" s="614" t="s">
        <v>872</v>
      </c>
      <c r="D5" s="614">
        <v>4.4000000000000004</v>
      </c>
      <c r="E5" s="614" t="s">
        <v>871</v>
      </c>
    </row>
    <row r="6" spans="3:5" ht="29.45" customHeight="1" x14ac:dyDescent="0.2">
      <c r="C6" s="614" t="s">
        <v>873</v>
      </c>
      <c r="D6" s="614">
        <v>7.26</v>
      </c>
      <c r="E6" s="614" t="s">
        <v>871</v>
      </c>
    </row>
    <row r="7" spans="3:5" ht="29.45" customHeight="1" x14ac:dyDescent="0.2">
      <c r="C7" s="614" t="s">
        <v>874</v>
      </c>
      <c r="D7" s="614">
        <v>410</v>
      </c>
      <c r="E7" s="614" t="s">
        <v>871</v>
      </c>
    </row>
    <row r="8" spans="3:5" ht="29.45" customHeight="1" x14ac:dyDescent="0.2">
      <c r="C8" s="614" t="s">
        <v>875</v>
      </c>
      <c r="D8" s="624">
        <v>8704</v>
      </c>
      <c r="E8" s="614" t="s">
        <v>871</v>
      </c>
    </row>
    <row r="9" spans="3:5" ht="29.45" customHeight="1" x14ac:dyDescent="0.2">
      <c r="C9" s="614" t="s">
        <v>876</v>
      </c>
      <c r="D9" s="614">
        <v>7.54</v>
      </c>
      <c r="E9" s="614" t="s">
        <v>871</v>
      </c>
    </row>
    <row r="10" spans="3:5" ht="29.45" customHeight="1" x14ac:dyDescent="0.2">
      <c r="C10" s="614" t="s">
        <v>877</v>
      </c>
      <c r="D10" s="614">
        <v>93</v>
      </c>
      <c r="E10" s="614" t="s">
        <v>871</v>
      </c>
    </row>
    <row r="11" spans="3:5" ht="29.45" customHeight="1" x14ac:dyDescent="0.2">
      <c r="C11" s="614" t="s">
        <v>878</v>
      </c>
      <c r="D11" s="614">
        <v>5.7099999999999998E-2</v>
      </c>
      <c r="E11" s="614" t="s">
        <v>871</v>
      </c>
    </row>
    <row r="13" spans="3:5" x14ac:dyDescent="0.2">
      <c r="C13" s="923" t="s">
        <v>879</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7847F-4B33-4162-806F-772B1D79BF22}">
  <sheetPr>
    <tabColor theme="6"/>
  </sheetPr>
  <dimension ref="A1"/>
  <sheetViews>
    <sheetView workbookViewId="0">
      <selection activeCell="E40" sqref="E40"/>
    </sheetView>
  </sheetViews>
  <sheetFormatPr baseColWidth="10" defaultColWidth="11" defaultRowHeight="14.25" x14ac:dyDescent="0.2"/>
  <cols>
    <col min="3" max="3" width="18.875" customWidth="1"/>
  </cols>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B4422-C1BA-46D5-8BFC-2A250175582F}">
  <sheetPr>
    <tabColor theme="6" tint="0.59999389629810485"/>
  </sheetPr>
  <dimension ref="B2:AL172"/>
  <sheetViews>
    <sheetView showGridLines="0" topLeftCell="B1" zoomScaleNormal="100" workbookViewId="0">
      <selection activeCell="I12" sqref="I12"/>
    </sheetView>
  </sheetViews>
  <sheetFormatPr baseColWidth="10" defaultColWidth="11" defaultRowHeight="14.25" outlineLevelRow="1" x14ac:dyDescent="0.2"/>
  <cols>
    <col min="3" max="3" width="39.125" customWidth="1"/>
    <col min="4" max="4" width="13.625" bestFit="1" customWidth="1"/>
    <col min="5" max="7" width="11.125" bestFit="1" customWidth="1"/>
    <col min="8" max="8" width="11.5" customWidth="1"/>
    <col min="9" max="11" width="11.125" bestFit="1" customWidth="1"/>
    <col min="13" max="13" width="14.25" customWidth="1"/>
    <col min="16" max="16" width="10.375" customWidth="1"/>
    <col min="17" max="18" width="11.125" bestFit="1" customWidth="1"/>
    <col min="19" max="22" width="11.125" customWidth="1"/>
    <col min="23" max="23" width="11.125" bestFit="1" customWidth="1"/>
    <col min="24" max="25" width="11.125" customWidth="1"/>
    <col min="26" max="26" width="11.125" bestFit="1" customWidth="1"/>
    <col min="27" max="28" width="11.125" customWidth="1"/>
    <col min="29" max="29" width="11.125" bestFit="1" customWidth="1"/>
    <col min="30" max="31" width="11.125" customWidth="1"/>
    <col min="32" max="32" width="11.125" bestFit="1" customWidth="1"/>
    <col min="33" max="34" width="11.125" customWidth="1"/>
    <col min="35" max="36" width="11.125" bestFit="1" customWidth="1"/>
  </cols>
  <sheetData>
    <row r="2" spans="2:12" ht="18" x14ac:dyDescent="0.25">
      <c r="B2" s="281" t="s">
        <v>3717</v>
      </c>
    </row>
    <row r="4" spans="2:12" ht="18" x14ac:dyDescent="0.25">
      <c r="B4" s="432" t="s">
        <v>881</v>
      </c>
      <c r="C4" s="273" t="s">
        <v>3467</v>
      </c>
    </row>
    <row r="5" spans="2:12" ht="15" x14ac:dyDescent="0.2">
      <c r="D5" s="20">
        <v>2024</v>
      </c>
      <c r="E5" s="20">
        <v>2025</v>
      </c>
      <c r="F5" s="20">
        <v>2026</v>
      </c>
      <c r="G5" s="20">
        <v>2027</v>
      </c>
      <c r="H5" s="20">
        <v>2028</v>
      </c>
      <c r="I5" s="20">
        <v>2029</v>
      </c>
      <c r="J5" s="20">
        <v>2030</v>
      </c>
    </row>
    <row r="6" spans="2:12" ht="15" x14ac:dyDescent="0.25">
      <c r="C6" s="85" t="s">
        <v>130</v>
      </c>
      <c r="D6" s="1030">
        <v>10663978</v>
      </c>
      <c r="E6" s="1030">
        <v>10510870</v>
      </c>
      <c r="F6" s="1030">
        <v>10352282</v>
      </c>
      <c r="G6" s="1030">
        <v>10188213</v>
      </c>
      <c r="H6" s="1030">
        <v>9992562</v>
      </c>
      <c r="I6" s="1030">
        <v>9802581</v>
      </c>
      <c r="J6" s="1030">
        <v>9595959</v>
      </c>
    </row>
    <row r="7" spans="2:12" x14ac:dyDescent="0.2">
      <c r="D7" s="11"/>
      <c r="E7" s="11"/>
      <c r="F7" s="11"/>
      <c r="G7" s="11"/>
    </row>
    <row r="8" spans="2:12" x14ac:dyDescent="0.2">
      <c r="D8" s="11"/>
      <c r="E8" s="11"/>
      <c r="F8" s="11"/>
      <c r="G8" s="11"/>
    </row>
    <row r="9" spans="2:12" ht="18" x14ac:dyDescent="0.25">
      <c r="B9" s="281" t="s">
        <v>880</v>
      </c>
      <c r="C9" s="281" t="s">
        <v>21</v>
      </c>
    </row>
    <row r="11" spans="2:12" ht="15" x14ac:dyDescent="0.25">
      <c r="L11" s="49"/>
    </row>
    <row r="12" spans="2:12" ht="18" x14ac:dyDescent="0.25">
      <c r="B12" s="432" t="s">
        <v>881</v>
      </c>
      <c r="C12" s="273" t="s">
        <v>882</v>
      </c>
      <c r="L12" s="431"/>
    </row>
    <row r="13" spans="2:12" ht="36.6" customHeight="1" thickBot="1" x14ac:dyDescent="0.3">
      <c r="D13" s="20">
        <v>2020</v>
      </c>
      <c r="E13" s="20">
        <v>2023</v>
      </c>
      <c r="F13" s="20">
        <v>2030</v>
      </c>
      <c r="G13" s="20">
        <v>2035</v>
      </c>
      <c r="H13" s="435" t="s">
        <v>884</v>
      </c>
      <c r="I13" s="436"/>
    </row>
    <row r="14" spans="2:12" ht="15.75" thickBot="1" x14ac:dyDescent="0.3">
      <c r="C14" s="276" t="s">
        <v>130</v>
      </c>
      <c r="D14" s="277">
        <f>SUBTOTAL(9,D16:D23)</f>
        <v>468</v>
      </c>
      <c r="E14" s="277">
        <f t="shared" ref="E14:G14" si="0">SUBTOTAL(9,E16:E23)</f>
        <v>399</v>
      </c>
      <c r="F14" s="277">
        <f t="shared" si="0"/>
        <v>321</v>
      </c>
      <c r="G14" s="278">
        <f t="shared" si="0"/>
        <v>282</v>
      </c>
      <c r="H14" s="437">
        <f>(G14/E14)^(1/12)-1</f>
        <v>-2.8506980524315106E-2</v>
      </c>
      <c r="I14" s="438"/>
      <c r="J14" s="61"/>
      <c r="K14" s="61"/>
    </row>
    <row r="15" spans="2:12" ht="15" x14ac:dyDescent="0.25">
      <c r="C15" s="285" t="s">
        <v>885</v>
      </c>
      <c r="D15" s="286">
        <f>D16+D17</f>
        <v>215</v>
      </c>
      <c r="E15" s="286">
        <f t="shared" ref="E15:G15" si="1">E16+E17</f>
        <v>182</v>
      </c>
      <c r="F15" s="286">
        <f t="shared" si="1"/>
        <v>144</v>
      </c>
      <c r="G15" s="287">
        <f t="shared" si="1"/>
        <v>115</v>
      </c>
      <c r="H15" s="437">
        <f>(G15/E15)^(1/12)-1</f>
        <v>-3.7533687301170571E-2</v>
      </c>
      <c r="I15" s="438"/>
    </row>
    <row r="16" spans="2:12" x14ac:dyDescent="0.2">
      <c r="C16" s="82" t="s">
        <v>886</v>
      </c>
      <c r="D16" s="145">
        <v>141</v>
      </c>
      <c r="E16" s="145">
        <v>115</v>
      </c>
      <c r="F16" s="145">
        <v>94</v>
      </c>
      <c r="G16" s="279">
        <v>76</v>
      </c>
      <c r="H16" s="437">
        <f>(G16/E16)^(1/12)-1</f>
        <v>-3.3927664084549725E-2</v>
      </c>
      <c r="I16" s="438"/>
    </row>
    <row r="17" spans="2:14" ht="15" thickBot="1" x14ac:dyDescent="0.25">
      <c r="C17" s="83" t="s">
        <v>887</v>
      </c>
      <c r="D17" s="148">
        <v>74</v>
      </c>
      <c r="E17" s="148">
        <v>67</v>
      </c>
      <c r="F17" s="148">
        <v>50</v>
      </c>
      <c r="G17" s="280">
        <v>39</v>
      </c>
      <c r="H17" s="437">
        <f>(G17/E17)^(1/12)-1</f>
        <v>-4.4092614553628451E-2</v>
      </c>
      <c r="I17" s="438"/>
    </row>
    <row r="18" spans="2:14" x14ac:dyDescent="0.2">
      <c r="C18" s="295" t="s">
        <v>888</v>
      </c>
      <c r="D18" s="296">
        <v>145</v>
      </c>
      <c r="E18" s="296">
        <v>125</v>
      </c>
      <c r="F18" s="296">
        <v>106</v>
      </c>
      <c r="G18" s="297">
        <v>93</v>
      </c>
      <c r="H18" s="437">
        <f>(G18/E18)^(1/12)-1</f>
        <v>-2.4341697415336983E-2</v>
      </c>
      <c r="I18" s="438"/>
    </row>
    <row r="19" spans="2:14" x14ac:dyDescent="0.2">
      <c r="C19" s="82" t="s">
        <v>841</v>
      </c>
      <c r="D19" s="145"/>
      <c r="E19" s="145"/>
      <c r="F19" s="145">
        <v>14</v>
      </c>
      <c r="G19" s="279">
        <v>18</v>
      </c>
      <c r="H19" s="433"/>
    </row>
    <row r="20" spans="2:14" x14ac:dyDescent="0.2">
      <c r="C20" s="82" t="s">
        <v>889</v>
      </c>
      <c r="D20" s="145">
        <v>20</v>
      </c>
      <c r="E20" s="145">
        <v>17</v>
      </c>
      <c r="F20" s="145">
        <v>10</v>
      </c>
      <c r="G20" s="279">
        <v>9</v>
      </c>
      <c r="H20" s="437">
        <f>(G20/E20)^(1/12)-1</f>
        <v>-5.1619099732433837E-2</v>
      </c>
      <c r="I20" s="438"/>
    </row>
    <row r="21" spans="2:14" x14ac:dyDescent="0.2">
      <c r="C21" s="82" t="s">
        <v>890</v>
      </c>
      <c r="D21" s="145">
        <v>38</v>
      </c>
      <c r="E21" s="145">
        <v>32</v>
      </c>
      <c r="F21" s="145">
        <v>17</v>
      </c>
      <c r="G21" s="279">
        <v>12</v>
      </c>
      <c r="H21" s="437">
        <f>(G21/E21)^(1/12)-1</f>
        <v>-7.8484582449931839E-2</v>
      </c>
      <c r="I21" s="438"/>
    </row>
    <row r="22" spans="2:14" x14ac:dyDescent="0.2">
      <c r="C22" s="82" t="s">
        <v>891</v>
      </c>
      <c r="D22" s="145">
        <v>43</v>
      </c>
      <c r="E22" s="145">
        <v>36</v>
      </c>
      <c r="F22" s="145">
        <v>26</v>
      </c>
      <c r="G22" s="279">
        <v>30</v>
      </c>
      <c r="H22" s="437">
        <f>(G22/E22)^(1/12)-1</f>
        <v>-1.5078624739111257E-2</v>
      </c>
      <c r="I22" s="438"/>
    </row>
    <row r="23" spans="2:14" ht="15" thickBot="1" x14ac:dyDescent="0.25">
      <c r="C23" s="83" t="s">
        <v>892</v>
      </c>
      <c r="D23" s="148">
        <v>7</v>
      </c>
      <c r="E23" s="148">
        <v>7</v>
      </c>
      <c r="F23" s="148">
        <v>4</v>
      </c>
      <c r="G23" s="280">
        <v>5</v>
      </c>
      <c r="H23" s="437">
        <f>(G23/E23)^(1/12)-1</f>
        <v>-2.7649898895549252E-2</v>
      </c>
      <c r="I23" s="438"/>
    </row>
    <row r="25" spans="2:14" ht="9.75" customHeight="1" x14ac:dyDescent="0.2"/>
    <row r="28" spans="2:14" ht="33.950000000000003" customHeight="1" x14ac:dyDescent="0.25">
      <c r="B28" s="432" t="s">
        <v>893</v>
      </c>
      <c r="C28" s="1217" t="s">
        <v>894</v>
      </c>
      <c r="D28" s="1217"/>
      <c r="E28" s="1217"/>
      <c r="F28" s="1217"/>
      <c r="G28" s="1217"/>
      <c r="H28" s="1217"/>
      <c r="I28" s="1217"/>
      <c r="J28" s="1217"/>
      <c r="K28" s="1217"/>
      <c r="L28" s="1217"/>
    </row>
    <row r="29" spans="2:14" ht="15" customHeight="1" x14ac:dyDescent="0.2"/>
    <row r="30" spans="2:14" ht="10.5" customHeight="1" x14ac:dyDescent="0.2"/>
    <row r="31" spans="2:14" ht="29.25" customHeight="1" thickBot="1" x14ac:dyDescent="0.3">
      <c r="D31" s="20">
        <v>2022</v>
      </c>
      <c r="E31" s="20">
        <v>2023</v>
      </c>
      <c r="F31" s="20">
        <v>2024</v>
      </c>
      <c r="G31" s="20">
        <v>2025</v>
      </c>
      <c r="H31" s="20">
        <v>2026</v>
      </c>
      <c r="I31" s="20">
        <v>2027</v>
      </c>
      <c r="J31" s="20">
        <v>2028</v>
      </c>
      <c r="K31" s="20">
        <v>2029</v>
      </c>
      <c r="L31" s="20">
        <v>2030</v>
      </c>
      <c r="M31" s="435" t="s">
        <v>884</v>
      </c>
      <c r="N31" s="436"/>
    </row>
    <row r="32" spans="2:14" ht="15" x14ac:dyDescent="0.25">
      <c r="C32" s="285" t="s">
        <v>130</v>
      </c>
      <c r="D32" s="286"/>
      <c r="E32" s="286">
        <f>SUBTOTAL(9,E47:E70)</f>
        <v>144000.00000000003</v>
      </c>
      <c r="F32" s="290">
        <f t="shared" ref="F32:L32" si="2">SUBTOTAL(9,F34:F70)</f>
        <v>523199.99999999994</v>
      </c>
      <c r="G32" s="290">
        <f t="shared" si="2"/>
        <v>635976.66002767929</v>
      </c>
      <c r="H32" s="290">
        <f t="shared" si="2"/>
        <v>615865.92969600006</v>
      </c>
      <c r="I32" s="290">
        <f t="shared" si="2"/>
        <v>665135.2040716802</v>
      </c>
      <c r="J32" s="290">
        <f t="shared" si="2"/>
        <v>716084.56070357084</v>
      </c>
      <c r="K32" s="290">
        <f t="shared" si="2"/>
        <v>768573.55900314229</v>
      </c>
      <c r="L32" s="291">
        <f t="shared" si="2"/>
        <v>891223.91052653803</v>
      </c>
      <c r="M32" s="439">
        <f>(L32/E32)^(1/7)-1</f>
        <v>0.29744570009714932</v>
      </c>
    </row>
    <row r="33" spans="3:13" ht="15" x14ac:dyDescent="0.25">
      <c r="C33" s="288" t="s">
        <v>895</v>
      </c>
      <c r="D33" s="283"/>
      <c r="E33" s="283">
        <f t="shared" ref="E33:L33" si="3">E34+E47</f>
        <v>239999.99999999997</v>
      </c>
      <c r="F33" s="283">
        <f t="shared" si="3"/>
        <v>261600.00000000003</v>
      </c>
      <c r="G33" s="283">
        <f t="shared" si="3"/>
        <v>284254.56000000006</v>
      </c>
      <c r="H33" s="283">
        <f t="shared" si="3"/>
        <v>307932.96484800003</v>
      </c>
      <c r="I33" s="283">
        <f t="shared" si="3"/>
        <v>332567.60203583998</v>
      </c>
      <c r="J33" s="283">
        <f t="shared" si="3"/>
        <v>358042.28035178536</v>
      </c>
      <c r="K33" s="283">
        <f t="shared" si="3"/>
        <v>384286.77950157109</v>
      </c>
      <c r="L33" s="289">
        <f t="shared" si="3"/>
        <v>411186.85406668123</v>
      </c>
      <c r="M33" s="439">
        <f t="shared" ref="M33:M47" si="4">(L33/E33)^(1/7)-1</f>
        <v>7.9950866155553912E-2</v>
      </c>
    </row>
    <row r="34" spans="3:13" ht="15.75" x14ac:dyDescent="0.25">
      <c r="C34" s="282" t="s">
        <v>262</v>
      </c>
      <c r="D34" s="293"/>
      <c r="E34" s="293">
        <f>SUM(E35:E46)</f>
        <v>167999.99999999997</v>
      </c>
      <c r="F34" s="293">
        <f t="shared" ref="F34:L34" si="5">SUM(F35:F46)</f>
        <v>183120</v>
      </c>
      <c r="G34" s="293">
        <f t="shared" si="5"/>
        <v>198978.19200000004</v>
      </c>
      <c r="H34" s="293">
        <f t="shared" si="5"/>
        <v>215553.07539360001</v>
      </c>
      <c r="I34" s="293">
        <f t="shared" si="5"/>
        <v>232797.32142508798</v>
      </c>
      <c r="J34" s="293">
        <f t="shared" si="5"/>
        <v>250629.59624624977</v>
      </c>
      <c r="K34" s="293">
        <f t="shared" si="5"/>
        <v>269000.74565109977</v>
      </c>
      <c r="L34" s="294">
        <f t="shared" si="5"/>
        <v>287830.79784667684</v>
      </c>
      <c r="M34" s="439">
        <f t="shared" si="4"/>
        <v>7.9950866155553912E-2</v>
      </c>
    </row>
    <row r="35" spans="3:13" hidden="1" outlineLevel="1" x14ac:dyDescent="0.2">
      <c r="C35" s="305" t="s">
        <v>896</v>
      </c>
      <c r="D35" s="284"/>
      <c r="E35" s="284">
        <v>20795.797010711252</v>
      </c>
      <c r="F35" s="284">
        <v>22667.418741675265</v>
      </c>
      <c r="G35" s="284">
        <v>24630.41720470435</v>
      </c>
      <c r="H35" s="284">
        <v>26682.130957856218</v>
      </c>
      <c r="I35" s="284">
        <v>28816.701434484716</v>
      </c>
      <c r="J35" s="284">
        <v>31024.060764366241</v>
      </c>
      <c r="K35" s="284">
        <v>33298.124418394284</v>
      </c>
      <c r="L35" s="292">
        <v>35628.99312768189</v>
      </c>
      <c r="M35" s="439"/>
    </row>
    <row r="36" spans="3:13" hidden="1" outlineLevel="1" x14ac:dyDescent="0.2">
      <c r="C36" s="305" t="s">
        <v>897</v>
      </c>
      <c r="D36" s="284"/>
      <c r="E36" s="284">
        <v>7600.7731541560115</v>
      </c>
      <c r="F36" s="284">
        <v>8284.8427380300527</v>
      </c>
      <c r="G36" s="284">
        <v>9002.3101191434562</v>
      </c>
      <c r="H36" s="284">
        <v>9752.2025520681054</v>
      </c>
      <c r="I36" s="284">
        <v>10532.378756233553</v>
      </c>
      <c r="J36" s="284">
        <v>11339.158968961043</v>
      </c>
      <c r="K36" s="284">
        <v>12170.319321385887</v>
      </c>
      <c r="L36" s="292">
        <v>13022.2416738829</v>
      </c>
      <c r="M36" s="439"/>
    </row>
    <row r="37" spans="3:13" hidden="1" outlineLevel="1" x14ac:dyDescent="0.2">
      <c r="C37" s="305" t="s">
        <v>898</v>
      </c>
      <c r="D37" s="284"/>
      <c r="E37" s="284">
        <v>8950.0487197627172</v>
      </c>
      <c r="F37" s="284">
        <v>9755.5531045413609</v>
      </c>
      <c r="G37" s="284">
        <v>10600.384003394645</v>
      </c>
      <c r="H37" s="284">
        <v>11483.395990877418</v>
      </c>
      <c r="I37" s="284">
        <v>12402.067670147611</v>
      </c>
      <c r="J37" s="284">
        <v>13352.066053680917</v>
      </c>
      <c r="K37" s="284">
        <v>14330.772495415727</v>
      </c>
      <c r="L37" s="292">
        <v>15333.926570094829</v>
      </c>
      <c r="M37" s="439"/>
    </row>
    <row r="38" spans="3:13" hidden="1" outlineLevel="1" x14ac:dyDescent="0.2">
      <c r="C38" s="305" t="s">
        <v>899</v>
      </c>
      <c r="D38" s="284"/>
      <c r="E38" s="284">
        <v>6814.9913401212434</v>
      </c>
      <c r="F38" s="284">
        <v>7428.3405607321556</v>
      </c>
      <c r="G38" s="284">
        <v>8071.6348532915617</v>
      </c>
      <c r="H38" s="284">
        <v>8744.0020365707478</v>
      </c>
      <c r="I38" s="284">
        <v>9443.5221994964068</v>
      </c>
      <c r="J38" s="284">
        <v>10166.895999977833</v>
      </c>
      <c r="K38" s="284">
        <v>10912.129476776207</v>
      </c>
      <c r="L38" s="292">
        <v>11675.978540150541</v>
      </c>
      <c r="M38" s="439"/>
    </row>
    <row r="39" spans="3:13" hidden="1" outlineLevel="1" x14ac:dyDescent="0.2">
      <c r="C39" s="305" t="s">
        <v>900</v>
      </c>
      <c r="D39" s="284"/>
      <c r="E39" s="284">
        <v>14558.788270582776</v>
      </c>
      <c r="F39" s="284">
        <v>15869.079214935227</v>
      </c>
      <c r="G39" s="284">
        <v>17243.341474948622</v>
      </c>
      <c r="H39" s="284">
        <v>18679.711819811837</v>
      </c>
      <c r="I39" s="284">
        <v>20174.088765396784</v>
      </c>
      <c r="J39" s="284">
        <v>21719.423964826179</v>
      </c>
      <c r="K39" s="284">
        <v>23311.457741447935</v>
      </c>
      <c r="L39" s="292">
        <v>24943.259783349291</v>
      </c>
      <c r="M39" s="439"/>
    </row>
    <row r="40" spans="3:13" hidden="1" outlineLevel="1" x14ac:dyDescent="0.2">
      <c r="C40" s="305" t="s">
        <v>901</v>
      </c>
      <c r="D40" s="284"/>
      <c r="E40" s="284">
        <v>14939.411745229283</v>
      </c>
      <c r="F40" s="284">
        <v>16283.958802299918</v>
      </c>
      <c r="G40" s="284">
        <v>17694.149634579095</v>
      </c>
      <c r="H40" s="284">
        <v>19168.072299139531</v>
      </c>
      <c r="I40" s="284">
        <v>20701.518083070692</v>
      </c>
      <c r="J40" s="284">
        <v>22287.254368233906</v>
      </c>
      <c r="K40" s="284">
        <v>23920.910113425449</v>
      </c>
      <c r="L40" s="292">
        <v>25595.373821365232</v>
      </c>
      <c r="M40" s="439"/>
    </row>
    <row r="41" spans="3:13" hidden="1" outlineLevel="1" x14ac:dyDescent="0.2">
      <c r="C41" s="305" t="s">
        <v>902</v>
      </c>
      <c r="D41" s="284"/>
      <c r="E41" s="284">
        <v>30245.600927297684</v>
      </c>
      <c r="F41" s="284">
        <v>32967.705010754478</v>
      </c>
      <c r="G41" s="284">
        <v>35822.708264685818</v>
      </c>
      <c r="H41" s="284">
        <v>38806.739863134142</v>
      </c>
      <c r="I41" s="284">
        <v>41911.279052184873</v>
      </c>
      <c r="J41" s="284">
        <v>45121.683027582236</v>
      </c>
      <c r="K41" s="284">
        <v>48429.102393504014</v>
      </c>
      <c r="L41" s="292">
        <v>51819.139561049298</v>
      </c>
      <c r="M41" s="439"/>
    </row>
    <row r="42" spans="3:13" hidden="1" outlineLevel="1" x14ac:dyDescent="0.2">
      <c r="C42" s="305" t="s">
        <v>903</v>
      </c>
      <c r="D42" s="284"/>
      <c r="E42" s="284">
        <v>8745.054229422778</v>
      </c>
      <c r="F42" s="284">
        <v>9532.1091100708272</v>
      </c>
      <c r="G42" s="284">
        <v>10357.589759002964</v>
      </c>
      <c r="H42" s="284">
        <v>11220.376985927909</v>
      </c>
      <c r="I42" s="284">
        <v>12118.007144802141</v>
      </c>
      <c r="J42" s="284">
        <v>13046.246492093986</v>
      </c>
      <c r="K42" s="284">
        <v>14002.536359964473</v>
      </c>
      <c r="L42" s="292">
        <v>14982.713905161987</v>
      </c>
      <c r="M42" s="439"/>
    </row>
    <row r="43" spans="3:13" hidden="1" outlineLevel="1" x14ac:dyDescent="0.2">
      <c r="C43" s="305" t="s">
        <v>904</v>
      </c>
      <c r="D43" s="284"/>
      <c r="E43" s="284">
        <v>16339.690935120587</v>
      </c>
      <c r="F43" s="284">
        <v>17810.263119281441</v>
      </c>
      <c r="G43" s="284">
        <v>19352.631905411217</v>
      </c>
      <c r="H43" s="284">
        <v>20964.706143131967</v>
      </c>
      <c r="I43" s="284">
        <v>22641.882634582525</v>
      </c>
      <c r="J43" s="284">
        <v>24376.250844391547</v>
      </c>
      <c r="K43" s="284">
        <v>26163.030031285445</v>
      </c>
      <c r="L43" s="292">
        <v>27994.44213347543</v>
      </c>
      <c r="M43" s="439"/>
    </row>
    <row r="44" spans="3:13" hidden="1" outlineLevel="1" x14ac:dyDescent="0.2">
      <c r="C44" s="305" t="s">
        <v>905</v>
      </c>
      <c r="D44" s="284"/>
      <c r="E44" s="284">
        <v>15828.624366490225</v>
      </c>
      <c r="F44" s="284">
        <v>17253.200559474346</v>
      </c>
      <c r="G44" s="284">
        <v>18747.327727924825</v>
      </c>
      <c r="H44" s="284">
        <v>20308.980127660961</v>
      </c>
      <c r="I44" s="284">
        <v>21933.698537873839</v>
      </c>
      <c r="J44" s="284">
        <v>23613.819845874972</v>
      </c>
      <c r="K44" s="284">
        <v>25344.712840577606</v>
      </c>
      <c r="L44" s="292">
        <v>27118.84273941804</v>
      </c>
      <c r="M44" s="439"/>
    </row>
    <row r="45" spans="3:13" hidden="1" outlineLevel="1" x14ac:dyDescent="0.2">
      <c r="C45" s="305" t="s">
        <v>906</v>
      </c>
      <c r="D45" s="284"/>
      <c r="E45" s="284">
        <v>9769.4965980466859</v>
      </c>
      <c r="F45" s="284">
        <v>10648.751291870889</v>
      </c>
      <c r="G45" s="284">
        <v>11570.93315374691</v>
      </c>
      <c r="H45" s="284">
        <v>12534.791885454026</v>
      </c>
      <c r="I45" s="284">
        <v>13537.575236290348</v>
      </c>
      <c r="J45" s="284">
        <v>14574.553499390187</v>
      </c>
      <c r="K45" s="284">
        <v>15642.868270895488</v>
      </c>
      <c r="L45" s="292">
        <v>16737.869049858171</v>
      </c>
      <c r="M45" s="439"/>
    </row>
    <row r="46" spans="3:13" hidden="1" outlineLevel="1" x14ac:dyDescent="0.2">
      <c r="C46" s="305" t="s">
        <v>907</v>
      </c>
      <c r="D46" s="284"/>
      <c r="E46" s="284">
        <v>13411.722703058749</v>
      </c>
      <c r="F46" s="284">
        <v>14618.777746334037</v>
      </c>
      <c r="G46" s="284">
        <v>15884.763899166566</v>
      </c>
      <c r="H46" s="284">
        <v>17207.964731967139</v>
      </c>
      <c r="I46" s="284">
        <v>18584.60191052451</v>
      </c>
      <c r="J46" s="284">
        <v>20008.182416870688</v>
      </c>
      <c r="K46" s="284">
        <v>21474.782188027308</v>
      </c>
      <c r="L46" s="292">
        <v>22978.01694118922</v>
      </c>
      <c r="M46" s="439"/>
    </row>
    <row r="47" spans="3:13" ht="15.75" collapsed="1" x14ac:dyDescent="0.25">
      <c r="C47" s="282" t="s">
        <v>908</v>
      </c>
      <c r="D47" s="293"/>
      <c r="E47" s="293">
        <f>SUM(E48:E59)</f>
        <v>72000</v>
      </c>
      <c r="F47" s="293">
        <f t="shared" ref="F47:L47" si="6">SUM(F48:F59)</f>
        <v>78480.000000000029</v>
      </c>
      <c r="G47" s="293">
        <f t="shared" si="6"/>
        <v>85276.368000000017</v>
      </c>
      <c r="H47" s="293">
        <f t="shared" si="6"/>
        <v>92379.889454400021</v>
      </c>
      <c r="I47" s="293">
        <f t="shared" si="6"/>
        <v>99770.280610752015</v>
      </c>
      <c r="J47" s="293">
        <f t="shared" si="6"/>
        <v>107412.68410553561</v>
      </c>
      <c r="K47" s="293">
        <f t="shared" si="6"/>
        <v>115286.03385047134</v>
      </c>
      <c r="L47" s="294">
        <f t="shared" si="6"/>
        <v>123356.05622000438</v>
      </c>
      <c r="M47" s="439">
        <f t="shared" si="4"/>
        <v>7.9950866155553912E-2</v>
      </c>
    </row>
    <row r="48" spans="3:13" hidden="1" outlineLevel="1" x14ac:dyDescent="0.2">
      <c r="C48" s="305" t="s">
        <v>896</v>
      </c>
      <c r="D48" s="284"/>
      <c r="E48" s="284">
        <v>8912.4844331619661</v>
      </c>
      <c r="F48" s="284">
        <v>9714.608032146547</v>
      </c>
      <c r="G48" s="284">
        <v>10555.893087730436</v>
      </c>
      <c r="H48" s="284">
        <v>11435.198981938382</v>
      </c>
      <c r="I48" s="284">
        <v>12350.014900493452</v>
      </c>
      <c r="J48" s="284">
        <v>13296.02604187125</v>
      </c>
      <c r="K48" s="284">
        <v>14270.62475074041</v>
      </c>
      <c r="L48" s="292">
        <v>15269.568483292242</v>
      </c>
      <c r="M48" s="439"/>
    </row>
    <row r="49" spans="3:38" hidden="1" outlineLevel="1" x14ac:dyDescent="0.2">
      <c r="C49" s="305" t="s">
        <v>897</v>
      </c>
      <c r="D49" s="284"/>
      <c r="E49" s="284">
        <v>3257.4742089240049</v>
      </c>
      <c r="F49" s="284">
        <v>3550.6468877271664</v>
      </c>
      <c r="G49" s="284">
        <v>3858.1329082043385</v>
      </c>
      <c r="H49" s="284">
        <v>4179.51537945776</v>
      </c>
      <c r="I49" s="284">
        <v>4513.8766098143815</v>
      </c>
      <c r="J49" s="284">
        <v>4859.6395581261622</v>
      </c>
      <c r="K49" s="284">
        <v>5215.8511377368095</v>
      </c>
      <c r="L49" s="292">
        <v>5580.960717378387</v>
      </c>
      <c r="M49" s="439"/>
    </row>
    <row r="50" spans="3:38" hidden="1" outlineLevel="1" x14ac:dyDescent="0.2">
      <c r="C50" s="305" t="s">
        <v>898</v>
      </c>
      <c r="D50" s="284"/>
      <c r="E50" s="284">
        <v>3835.7351656125929</v>
      </c>
      <c r="F50" s="284">
        <v>4180.9513305177279</v>
      </c>
      <c r="G50" s="284">
        <v>4543.0217157405623</v>
      </c>
      <c r="H50" s="284">
        <v>4921.4554246617508</v>
      </c>
      <c r="I50" s="284">
        <v>5315.1718586346915</v>
      </c>
      <c r="J50" s="284">
        <v>5722.3140230061081</v>
      </c>
      <c r="K50" s="284">
        <v>6141.7596408924555</v>
      </c>
      <c r="L50" s="292">
        <v>6571.6828157549289</v>
      </c>
      <c r="M50" s="439"/>
    </row>
    <row r="51" spans="3:38" hidden="1" outlineLevel="1" x14ac:dyDescent="0.2">
      <c r="C51" s="305" t="s">
        <v>899</v>
      </c>
      <c r="D51" s="284"/>
      <c r="E51" s="284">
        <v>2920.710574337676</v>
      </c>
      <c r="F51" s="284">
        <v>3183.5745260280678</v>
      </c>
      <c r="G51" s="284">
        <v>3459.2720799820981</v>
      </c>
      <c r="H51" s="284">
        <v>3747.4294442446067</v>
      </c>
      <c r="I51" s="284">
        <v>4047.2237997841758</v>
      </c>
      <c r="J51" s="284">
        <v>4357.2411428476425</v>
      </c>
      <c r="K51" s="284">
        <v>4676.6269186183745</v>
      </c>
      <c r="L51" s="292">
        <v>5003.9908029216622</v>
      </c>
      <c r="M51" s="439"/>
    </row>
    <row r="52" spans="3:38" hidden="1" outlineLevel="1" x14ac:dyDescent="0.2">
      <c r="C52" s="305" t="s">
        <v>900</v>
      </c>
      <c r="D52" s="284"/>
      <c r="E52" s="284">
        <v>6239.4806873926191</v>
      </c>
      <c r="F52" s="284">
        <v>6801.0339492579569</v>
      </c>
      <c r="G52" s="284">
        <v>7390.003489263695</v>
      </c>
      <c r="H52" s="284">
        <v>8005.590779919361</v>
      </c>
      <c r="I52" s="284">
        <v>8646.03804231291</v>
      </c>
      <c r="J52" s="284">
        <v>9308.3245563540768</v>
      </c>
      <c r="K52" s="284">
        <v>9990.62474633483</v>
      </c>
      <c r="L52" s="292">
        <v>10689.968478578272</v>
      </c>
      <c r="M52" s="439"/>
    </row>
    <row r="53" spans="3:38" hidden="1" outlineLevel="1" x14ac:dyDescent="0.2">
      <c r="C53" s="305" t="s">
        <v>901</v>
      </c>
      <c r="D53" s="284"/>
      <c r="E53" s="284">
        <v>6402.6050336696926</v>
      </c>
      <c r="F53" s="284">
        <v>6978.839486699967</v>
      </c>
      <c r="G53" s="284">
        <v>7583.2069862481831</v>
      </c>
      <c r="H53" s="284">
        <v>8214.8881282026578</v>
      </c>
      <c r="I53" s="284">
        <v>8872.079178458871</v>
      </c>
      <c r="J53" s="284">
        <v>9551.6804435288177</v>
      </c>
      <c r="K53" s="284">
        <v>10251.818620039479</v>
      </c>
      <c r="L53" s="292">
        <v>10969.445923442247</v>
      </c>
      <c r="M53" s="439"/>
    </row>
    <row r="54" spans="3:38" hidden="1" outlineLevel="1" x14ac:dyDescent="0.2">
      <c r="C54" s="305" t="s">
        <v>902</v>
      </c>
      <c r="D54" s="284"/>
      <c r="E54" s="284">
        <v>12962.400397413294</v>
      </c>
      <c r="F54" s="284">
        <v>14129.016433180495</v>
      </c>
      <c r="G54" s="284">
        <v>15352.589256293923</v>
      </c>
      <c r="H54" s="284">
        <v>16631.459941343208</v>
      </c>
      <c r="I54" s="284">
        <v>17961.976736650664</v>
      </c>
      <c r="J54" s="284">
        <v>19337.864154678104</v>
      </c>
      <c r="K54" s="284">
        <v>20755.329597216009</v>
      </c>
      <c r="L54" s="292">
        <v>22208.202669021131</v>
      </c>
      <c r="M54" s="439"/>
    </row>
    <row r="55" spans="3:38" hidden="1" outlineLevel="1" x14ac:dyDescent="0.2">
      <c r="C55" s="305" t="s">
        <v>903</v>
      </c>
      <c r="D55" s="284"/>
      <c r="E55" s="284">
        <v>3747.8803840383334</v>
      </c>
      <c r="F55" s="284">
        <v>4085.1896186017848</v>
      </c>
      <c r="G55" s="284">
        <v>4438.9670395726989</v>
      </c>
      <c r="H55" s="284">
        <v>4808.7329939691044</v>
      </c>
      <c r="I55" s="284">
        <v>5193.4316334866335</v>
      </c>
      <c r="J55" s="284">
        <v>5591.248496611709</v>
      </c>
      <c r="K55" s="284">
        <v>6001.0870114133468</v>
      </c>
      <c r="L55" s="292">
        <v>6421.163102212282</v>
      </c>
      <c r="M55" s="439"/>
    </row>
    <row r="56" spans="3:38" hidden="1" outlineLevel="1" x14ac:dyDescent="0.2">
      <c r="C56" s="305" t="s">
        <v>904</v>
      </c>
      <c r="D56" s="284"/>
      <c r="E56" s="284">
        <v>7002.7246864802519</v>
      </c>
      <c r="F56" s="284">
        <v>7632.969908263477</v>
      </c>
      <c r="G56" s="284">
        <v>8293.9851023190931</v>
      </c>
      <c r="H56" s="284">
        <v>8984.8740613422742</v>
      </c>
      <c r="I56" s="284">
        <v>9703.6639862496559</v>
      </c>
      <c r="J56" s="284">
        <v>10446.964647596378</v>
      </c>
      <c r="K56" s="284">
        <v>11212.727156265193</v>
      </c>
      <c r="L56" s="292">
        <v>11997.618057203757</v>
      </c>
      <c r="M56" s="439"/>
    </row>
    <row r="57" spans="3:38" hidden="1" outlineLevel="1" x14ac:dyDescent="0.2">
      <c r="C57" s="305" t="s">
        <v>905</v>
      </c>
      <c r="D57" s="284"/>
      <c r="E57" s="284">
        <v>6783.6961570672393</v>
      </c>
      <c r="F57" s="284">
        <v>7394.2288112032929</v>
      </c>
      <c r="G57" s="284">
        <v>8034.5690262534972</v>
      </c>
      <c r="H57" s="284">
        <v>8703.8486261404141</v>
      </c>
      <c r="I57" s="284">
        <v>9400.1565162316474</v>
      </c>
      <c r="J57" s="284">
        <v>10120.208505374991</v>
      </c>
      <c r="K57" s="284">
        <v>10862.019788818976</v>
      </c>
      <c r="L57" s="292">
        <v>11622.361174036307</v>
      </c>
      <c r="M57" s="439"/>
    </row>
    <row r="58" spans="3:38" hidden="1" outlineLevel="1" x14ac:dyDescent="0.2">
      <c r="C58" s="305" t="s">
        <v>906</v>
      </c>
      <c r="D58" s="284"/>
      <c r="E58" s="284">
        <v>4186.9271134485798</v>
      </c>
      <c r="F58" s="284">
        <v>4563.7505536589542</v>
      </c>
      <c r="G58" s="284">
        <v>4958.9713516058182</v>
      </c>
      <c r="H58" s="284">
        <v>5372.0536651945831</v>
      </c>
      <c r="I58" s="284">
        <v>5801.8179584101499</v>
      </c>
      <c r="J58" s="284">
        <v>6246.2372140243669</v>
      </c>
      <c r="K58" s="284">
        <v>6704.086401812353</v>
      </c>
      <c r="L58" s="292">
        <v>7173.3724499392183</v>
      </c>
      <c r="M58" s="439"/>
    </row>
    <row r="59" spans="3:38" hidden="1" outlineLevel="1" x14ac:dyDescent="0.2">
      <c r="C59" s="305" t="s">
        <v>907</v>
      </c>
      <c r="D59" s="284"/>
      <c r="E59" s="284">
        <v>5747.8811584537498</v>
      </c>
      <c r="F59" s="284">
        <v>6265.1904627145896</v>
      </c>
      <c r="G59" s="284">
        <v>6807.7559567856715</v>
      </c>
      <c r="H59" s="284">
        <v>7374.8420279859183</v>
      </c>
      <c r="I59" s="284">
        <v>7964.8293902247924</v>
      </c>
      <c r="J59" s="284">
        <v>8574.9353215160099</v>
      </c>
      <c r="K59" s="284">
        <v>9203.4780805831324</v>
      </c>
      <c r="L59" s="292">
        <v>9847.7215462239546</v>
      </c>
      <c r="M59" s="439"/>
    </row>
    <row r="60" spans="3:38" ht="15" collapsed="1" x14ac:dyDescent="0.25">
      <c r="C60" s="288" t="s">
        <v>887</v>
      </c>
      <c r="D60" s="283">
        <f>SUM(D61:D72)</f>
        <v>35727.272727272721</v>
      </c>
      <c r="E60" s="283">
        <f>SUM(E61:E72)</f>
        <v>0</v>
      </c>
      <c r="F60" s="283">
        <f t="shared" ref="F60:L60" si="7">SUM(F61:F72)</f>
        <v>0</v>
      </c>
      <c r="G60" s="283">
        <f t="shared" si="7"/>
        <v>36033.477750000005</v>
      </c>
      <c r="H60" s="283">
        <f t="shared" si="7"/>
        <v>0</v>
      </c>
      <c r="I60" s="283">
        <f t="shared" si="7"/>
        <v>0</v>
      </c>
      <c r="J60" s="283">
        <f t="shared" si="7"/>
        <v>0</v>
      </c>
      <c r="K60" s="283">
        <f t="shared" si="7"/>
        <v>0</v>
      </c>
      <c r="L60" s="289">
        <f t="shared" si="7"/>
        <v>36771.938549999999</v>
      </c>
      <c r="M60" s="636">
        <f>(L60/D60)^(1/8)-1</f>
        <v>3.6090815848381919E-3</v>
      </c>
      <c r="AL60" s="198"/>
    </row>
    <row r="61" spans="3:38" hidden="1" outlineLevel="1" x14ac:dyDescent="0.2">
      <c r="C61" s="305" t="s">
        <v>896</v>
      </c>
      <c r="D61" s="300">
        <v>3893.1545586676971</v>
      </c>
      <c r="E61" s="145"/>
      <c r="F61" s="145"/>
      <c r="G61" s="284">
        <v>3926.5213227422369</v>
      </c>
      <c r="H61" s="145"/>
      <c r="I61" s="15"/>
      <c r="J61" s="15"/>
      <c r="K61" s="15"/>
      <c r="L61" s="134">
        <v>4006.9904380834364</v>
      </c>
      <c r="M61" s="439"/>
    </row>
    <row r="62" spans="3:38" hidden="1" outlineLevel="1" x14ac:dyDescent="0.2">
      <c r="C62" s="305" t="s">
        <v>897</v>
      </c>
      <c r="D62" s="300">
        <v>961.29244456721051</v>
      </c>
      <c r="E62" s="145"/>
      <c r="F62" s="145"/>
      <c r="G62" s="284">
        <v>969.53132070766571</v>
      </c>
      <c r="H62" s="145"/>
      <c r="I62" s="15"/>
      <c r="J62" s="15"/>
      <c r="K62" s="15"/>
      <c r="L62" s="134">
        <v>989.4006455528048</v>
      </c>
      <c r="M62" s="439"/>
    </row>
    <row r="63" spans="3:38" hidden="1" outlineLevel="1" x14ac:dyDescent="0.2">
      <c r="C63" s="305" t="s">
        <v>898</v>
      </c>
      <c r="D63" s="300">
        <v>1371.0423338618848</v>
      </c>
      <c r="E63" s="145"/>
      <c r="F63" s="145"/>
      <c r="G63" s="284">
        <v>1382.7930222562934</v>
      </c>
      <c r="H63" s="145"/>
      <c r="I63" s="15"/>
      <c r="J63" s="15"/>
      <c r="K63" s="15"/>
      <c r="L63" s="134">
        <v>1411.1316258330687</v>
      </c>
      <c r="M63" s="439"/>
    </row>
    <row r="64" spans="3:38" hidden="1" outlineLevel="1" x14ac:dyDescent="0.2">
      <c r="C64" s="305" t="s">
        <v>899</v>
      </c>
      <c r="D64" s="300">
        <v>940.35140395338715</v>
      </c>
      <c r="E64" s="145"/>
      <c r="F64" s="145"/>
      <c r="G64" s="284">
        <v>948.41080230761338</v>
      </c>
      <c r="H64" s="145"/>
      <c r="I64" s="15"/>
      <c r="J64" s="15"/>
      <c r="K64" s="15"/>
      <c r="L64" s="134">
        <v>967.84728869562855</v>
      </c>
      <c r="M64" s="439"/>
    </row>
    <row r="65" spans="2:24" hidden="1" outlineLevel="1" x14ac:dyDescent="0.2">
      <c r="C65" s="305" t="s">
        <v>900</v>
      </c>
      <c r="D65" s="300">
        <v>1963.5542649764</v>
      </c>
      <c r="E65" s="145"/>
      <c r="F65" s="145"/>
      <c r="G65" s="284">
        <v>1980.3831503750432</v>
      </c>
      <c r="H65" s="145"/>
      <c r="I65" s="15"/>
      <c r="J65" s="15"/>
      <c r="K65" s="15"/>
      <c r="L65" s="134">
        <v>2020.9686119194114</v>
      </c>
      <c r="M65" s="439"/>
    </row>
    <row r="66" spans="2:24" hidden="1" outlineLevel="1" x14ac:dyDescent="0.2">
      <c r="C66" s="305" t="s">
        <v>901</v>
      </c>
      <c r="D66" s="300">
        <v>2134.6613382289688</v>
      </c>
      <c r="E66" s="145"/>
      <c r="F66" s="145"/>
      <c r="G66" s="284">
        <v>2152.9567180240374</v>
      </c>
      <c r="H66" s="145"/>
      <c r="I66" s="15"/>
      <c r="J66" s="15"/>
      <c r="K66" s="15"/>
      <c r="L66" s="134">
        <v>2197.0788577572025</v>
      </c>
      <c r="M66" s="439"/>
    </row>
    <row r="67" spans="2:24" hidden="1" outlineLevel="1" x14ac:dyDescent="0.2">
      <c r="C67" s="305" t="s">
        <v>902</v>
      </c>
      <c r="D67" s="300">
        <v>13876.556116886006</v>
      </c>
      <c r="E67" s="145"/>
      <c r="F67" s="145"/>
      <c r="G67" s="284">
        <v>13995.486862414306</v>
      </c>
      <c r="H67" s="145"/>
      <c r="I67" s="15"/>
      <c r="J67" s="15"/>
      <c r="K67" s="15"/>
      <c r="L67" s="134">
        <v>14282.306760746433</v>
      </c>
      <c r="M67" s="439"/>
    </row>
    <row r="68" spans="2:24" hidden="1" outlineLevel="1" x14ac:dyDescent="0.2">
      <c r="C68" s="305" t="s">
        <v>903</v>
      </c>
      <c r="D68" s="300">
        <v>1149.6942794411164</v>
      </c>
      <c r="E68" s="145"/>
      <c r="F68" s="145"/>
      <c r="G68" s="284">
        <v>1159.547876877815</v>
      </c>
      <c r="H68" s="145"/>
      <c r="I68" s="15"/>
      <c r="J68" s="15"/>
      <c r="K68" s="15"/>
      <c r="L68" s="134">
        <v>1183.3113520199693</v>
      </c>
      <c r="M68" s="439"/>
    </row>
    <row r="69" spans="2:24" hidden="1" outlineLevel="1" x14ac:dyDescent="0.2">
      <c r="C69" s="305" t="s">
        <v>904</v>
      </c>
      <c r="D69" s="300">
        <v>2426.2680326064883</v>
      </c>
      <c r="E69" s="145"/>
      <c r="F69" s="145"/>
      <c r="G69" s="284">
        <v>2447.0626637483056</v>
      </c>
      <c r="H69" s="145"/>
      <c r="I69" s="15"/>
      <c r="J69" s="15"/>
      <c r="K69" s="15"/>
      <c r="L69" s="134">
        <v>2497.212134883428</v>
      </c>
      <c r="M69" s="439"/>
    </row>
    <row r="70" spans="2:24" hidden="1" outlineLevel="1" x14ac:dyDescent="0.2">
      <c r="C70" s="305" t="s">
        <v>905</v>
      </c>
      <c r="D70" s="300">
        <v>2450.3673608026011</v>
      </c>
      <c r="E70" s="145"/>
      <c r="F70" s="145"/>
      <c r="G70" s="284">
        <v>2471.3685382261433</v>
      </c>
      <c r="H70" s="145"/>
      <c r="I70" s="15"/>
      <c r="J70" s="15"/>
      <c r="K70" s="15"/>
      <c r="L70" s="134">
        <v>2522.0161276843469</v>
      </c>
      <c r="M70" s="439"/>
    </row>
    <row r="71" spans="2:24" hidden="1" outlineLevel="1" x14ac:dyDescent="0.2">
      <c r="C71" s="305" t="s">
        <v>906</v>
      </c>
      <c r="D71" s="21">
        <v>1681.4526109243579</v>
      </c>
      <c r="E71" s="15"/>
      <c r="F71" s="15"/>
      <c r="G71" s="284">
        <v>1695.8637091034223</v>
      </c>
      <c r="H71" s="15"/>
      <c r="I71" s="15"/>
      <c r="J71" s="15"/>
      <c r="K71" s="15"/>
      <c r="L71" s="134">
        <v>1730.6183025957332</v>
      </c>
      <c r="M71" s="439"/>
    </row>
    <row r="72" spans="2:24" ht="15" hidden="1" outlineLevel="1" thickBot="1" x14ac:dyDescent="0.25">
      <c r="C72" s="306" t="s">
        <v>907</v>
      </c>
      <c r="D72" s="301">
        <v>2878.8779823566092</v>
      </c>
      <c r="E72" s="84"/>
      <c r="F72" s="84"/>
      <c r="G72" s="299">
        <v>2903.5517632171241</v>
      </c>
      <c r="H72" s="84"/>
      <c r="I72" s="84"/>
      <c r="J72" s="84"/>
      <c r="K72" s="84"/>
      <c r="L72" s="298">
        <v>2963.0564042285437</v>
      </c>
      <c r="M72" s="439"/>
    </row>
    <row r="73" spans="2:24" collapsed="1" x14ac:dyDescent="0.2">
      <c r="M73" s="636">
        <f>(L60/G60)^(1/4)-1</f>
        <v>5.0845253144098379E-3</v>
      </c>
    </row>
    <row r="75" spans="2:24" ht="18" x14ac:dyDescent="0.25">
      <c r="C75" s="1217" t="s">
        <v>909</v>
      </c>
      <c r="D75" s="1217">
        <v>-6</v>
      </c>
      <c r="E75" s="1217" t="s">
        <v>910</v>
      </c>
      <c r="F75" s="1217"/>
      <c r="G75" s="1217"/>
      <c r="H75" s="1217"/>
      <c r="I75" s="1217"/>
      <c r="J75" s="1217"/>
      <c r="K75" s="1217"/>
      <c r="L75" s="1217"/>
    </row>
    <row r="79" spans="2:24" ht="20.100000000000001" customHeight="1" x14ac:dyDescent="0.25">
      <c r="B79" s="432" t="s">
        <v>911</v>
      </c>
      <c r="C79" s="1217" t="s">
        <v>912</v>
      </c>
      <c r="D79" s="1217"/>
      <c r="E79" s="1217"/>
      <c r="F79" s="1217"/>
      <c r="G79" s="1217"/>
      <c r="H79" s="1217"/>
      <c r="I79" s="1217"/>
      <c r="J79" s="1217"/>
      <c r="K79" s="1217"/>
      <c r="L79" s="1217"/>
      <c r="M79" s="1217"/>
      <c r="N79" s="1217"/>
      <c r="O79" s="1217"/>
      <c r="P79" s="1217"/>
      <c r="Q79" s="1217"/>
      <c r="R79" s="1217"/>
      <c r="S79" s="1217"/>
      <c r="T79" s="1217"/>
      <c r="U79" s="1217"/>
      <c r="V79" s="1217"/>
      <c r="W79" s="644"/>
      <c r="X79" s="644"/>
    </row>
    <row r="83" spans="3:24" ht="30.75" thickBot="1" x14ac:dyDescent="0.3">
      <c r="D83" s="349">
        <v>2023</v>
      </c>
      <c r="E83" s="349">
        <v>2024</v>
      </c>
      <c r="F83" s="1218" t="s">
        <v>913</v>
      </c>
      <c r="G83" s="1219"/>
      <c r="H83" s="349">
        <v>2025</v>
      </c>
      <c r="I83" s="1218" t="s">
        <v>914</v>
      </c>
      <c r="J83" s="1219"/>
      <c r="K83" s="349">
        <v>2026</v>
      </c>
      <c r="L83" s="1218" t="s">
        <v>915</v>
      </c>
      <c r="M83" s="1219"/>
      <c r="N83" s="349">
        <v>2027</v>
      </c>
      <c r="O83" s="1218" t="s">
        <v>916</v>
      </c>
      <c r="P83" s="1219"/>
      <c r="Q83" s="349">
        <v>2028</v>
      </c>
      <c r="R83" s="1220" t="s">
        <v>917</v>
      </c>
      <c r="S83" s="1221"/>
      <c r="T83" s="349">
        <v>2029</v>
      </c>
      <c r="U83" s="349"/>
      <c r="V83" s="349"/>
      <c r="W83" s="349">
        <v>2030</v>
      </c>
      <c r="X83" s="435" t="s">
        <v>918</v>
      </c>
    </row>
    <row r="84" spans="3:24" ht="18.75" hidden="1" x14ac:dyDescent="0.25">
      <c r="C84" s="285" t="s">
        <v>130</v>
      </c>
      <c r="D84" s="302">
        <f>D85+D99+D113+D127</f>
        <v>8324194.5477282358</v>
      </c>
      <c r="E84" s="302">
        <f t="shared" ref="E84:T84" si="8">E85+E99+E113+E127</f>
        <v>8275915.322357093</v>
      </c>
      <c r="F84" s="346">
        <f t="shared" ref="F84:F97" si="9">E84-D84</f>
        <v>-48279.225371142849</v>
      </c>
      <c r="G84" s="350">
        <f>F84/D84</f>
        <v>-5.7998674940050246E-3</v>
      </c>
      <c r="H84" s="302">
        <f t="shared" si="8"/>
        <v>8234528.2688468881</v>
      </c>
      <c r="I84" s="346">
        <f>H84-E84</f>
        <v>-41387.053510204889</v>
      </c>
      <c r="J84" s="350">
        <f>I84/E84</f>
        <v>-5.0009034527454897E-3</v>
      </c>
      <c r="K84" s="302">
        <f t="shared" si="8"/>
        <v>8199619.289371334</v>
      </c>
      <c r="L84" s="346">
        <f>K84-H84</f>
        <v>-34908.979475554079</v>
      </c>
      <c r="M84" s="350">
        <f>L84/H84</f>
        <v>-4.2393417492563312E-3</v>
      </c>
      <c r="N84" s="302">
        <f t="shared" si="8"/>
        <v>8172675.7450073697</v>
      </c>
      <c r="O84" s="347">
        <f>N84-K84</f>
        <v>-26943.544363964349</v>
      </c>
      <c r="P84" s="350">
        <f>O84/K84</f>
        <v>-3.2859506536955466E-3</v>
      </c>
      <c r="Q84" s="302">
        <f t="shared" si="8"/>
        <v>8156100.6221765615</v>
      </c>
      <c r="R84" s="347">
        <f>Q84-N84</f>
        <v>-16575.122830808163</v>
      </c>
      <c r="S84" s="350">
        <f>R84/N84</f>
        <v>-2.0281145793571696E-3</v>
      </c>
      <c r="T84" s="302">
        <f t="shared" si="8"/>
        <v>8154021.9538157023</v>
      </c>
      <c r="U84" s="347">
        <f>T84-Q84</f>
        <v>-2078.6683608591557</v>
      </c>
      <c r="V84" s="350">
        <f>U84/Q84</f>
        <v>-2.5486055863597671E-4</v>
      </c>
      <c r="W84" s="303">
        <f>W85+W99+W113+W127</f>
        <v>8176153.7250533244</v>
      </c>
      <c r="X84" s="443">
        <f>(W84/E84)^(1/6)-1</f>
        <v>-2.0192407260939405E-3</v>
      </c>
    </row>
    <row r="85" spans="3:24" ht="30" hidden="1" x14ac:dyDescent="0.25">
      <c r="C85" s="629" t="s">
        <v>919</v>
      </c>
      <c r="D85" s="283">
        <f>SUM(D86:D97)</f>
        <v>4534795.3240430998</v>
      </c>
      <c r="E85" s="283">
        <f t="shared" ref="E85:W85" si="10">SUM(E86:E97)</f>
        <v>4245800.0306484001</v>
      </c>
      <c r="F85" s="328">
        <f t="shared" si="9"/>
        <v>-288995.29339469969</v>
      </c>
      <c r="G85" s="350">
        <f>F85/D85</f>
        <v>-6.3728409496779534E-2</v>
      </c>
      <c r="H85" s="283">
        <f t="shared" si="10"/>
        <v>3967111.7462182003</v>
      </c>
      <c r="I85" s="328">
        <f>H85-E85</f>
        <v>-278688.28443019977</v>
      </c>
      <c r="J85" s="350">
        <f>I85/E85</f>
        <v>-6.5638579871515931E-2</v>
      </c>
      <c r="K85" s="283">
        <f t="shared" si="10"/>
        <v>3707099.9088871004</v>
      </c>
      <c r="L85" s="328">
        <f>K85-H85</f>
        <v>-260011.8373310999</v>
      </c>
      <c r="M85" s="350">
        <f>L85/H85</f>
        <v>-6.5541848570049993E-2</v>
      </c>
      <c r="N85" s="283">
        <f t="shared" si="10"/>
        <v>3464587.4217383</v>
      </c>
      <c r="O85" s="348">
        <f>N85-K85</f>
        <v>-242512.4871488004</v>
      </c>
      <c r="P85" s="350">
        <f>O85/K85</f>
        <v>-6.5418384480930944E-2</v>
      </c>
      <c r="Q85" s="283">
        <f t="shared" si="10"/>
        <v>3238611.2142154998</v>
      </c>
      <c r="R85" s="348">
        <f>Q85-N85</f>
        <v>-225976.20752280019</v>
      </c>
      <c r="S85" s="350">
        <f>R85/N85</f>
        <v>-6.5224565010231536E-2</v>
      </c>
      <c r="T85" s="283">
        <f t="shared" si="10"/>
        <v>3028410.2258200999</v>
      </c>
      <c r="U85" s="348">
        <f>T85-Q85</f>
        <v>-210200.98839539988</v>
      </c>
      <c r="V85" s="350">
        <f>U85/Q85</f>
        <v>-6.4904668850878908E-2</v>
      </c>
      <c r="W85" s="289">
        <f t="shared" si="10"/>
        <v>2833724.0752700004</v>
      </c>
      <c r="X85" s="443">
        <f>(W85/E85)^(1/6)-1</f>
        <v>-6.5169218724643097E-2</v>
      </c>
    </row>
    <row r="86" spans="3:24" hidden="1" outlineLevel="1" x14ac:dyDescent="0.2">
      <c r="C86" s="305" t="s">
        <v>896</v>
      </c>
      <c r="D86" s="284">
        <v>556617</v>
      </c>
      <c r="E86" s="284">
        <v>521445</v>
      </c>
      <c r="F86" s="326">
        <f t="shared" si="9"/>
        <v>-35172</v>
      </c>
      <c r="G86" s="329">
        <f>F86/E86</f>
        <v>-6.7451025515634436E-2</v>
      </c>
      <c r="H86" s="284">
        <v>487587</v>
      </c>
      <c r="I86" s="326">
        <f>H86-E86</f>
        <v>-33858</v>
      </c>
      <c r="J86" s="329">
        <f>I86/H86</f>
        <v>-6.9439915338185804E-2</v>
      </c>
      <c r="K86" s="284">
        <v>455999</v>
      </c>
      <c r="L86" s="326">
        <f>K86-H86</f>
        <v>-31588</v>
      </c>
      <c r="M86" s="329">
        <f>L86/K86</f>
        <v>-6.927208173702136E-2</v>
      </c>
      <c r="N86" s="284">
        <v>426538</v>
      </c>
      <c r="O86" s="327">
        <f>N86-K86</f>
        <v>-29461</v>
      </c>
      <c r="P86" s="329">
        <f>O86/N86</f>
        <v>-6.9070047686255381E-2</v>
      </c>
      <c r="Q86" s="284">
        <v>399081</v>
      </c>
      <c r="R86" s="327">
        <f>Q86-N86</f>
        <v>-27457</v>
      </c>
      <c r="S86" s="329">
        <f>R86/Q86</f>
        <v>-6.8800569307985102E-2</v>
      </c>
      <c r="T86" s="284">
        <v>373538</v>
      </c>
      <c r="U86" s="327">
        <f>T86-Q86</f>
        <v>-25543</v>
      </c>
      <c r="V86" s="329">
        <f>U86/Q86</f>
        <v>-6.4004550454669601E-2</v>
      </c>
      <c r="W86" s="292">
        <v>349941</v>
      </c>
    </row>
    <row r="87" spans="3:24" hidden="1" outlineLevel="1" x14ac:dyDescent="0.2">
      <c r="C87" s="305" t="s">
        <v>897</v>
      </c>
      <c r="D87" s="284">
        <v>220647.72248199998</v>
      </c>
      <c r="E87" s="284">
        <v>206770.04642</v>
      </c>
      <c r="F87" s="326">
        <f t="shared" si="9"/>
        <v>-13877.676061999984</v>
      </c>
      <c r="G87" s="329">
        <f t="shared" ref="G87:G97" si="11">F87/E87</f>
        <v>-6.7116472149989587E-2</v>
      </c>
      <c r="H87" s="284">
        <v>193314.38219800001</v>
      </c>
      <c r="I87" s="326">
        <f t="shared" ref="I87:I97" si="12">H87-E87</f>
        <v>-13455.664221999992</v>
      </c>
      <c r="J87" s="329">
        <f t="shared" ref="J87:J97" si="13">I87/H87</f>
        <v>-6.96050861245191E-2</v>
      </c>
      <c r="K87" s="284">
        <v>180770.07691800001</v>
      </c>
      <c r="L87" s="326">
        <f t="shared" ref="L87:L97" si="14">K87-H87</f>
        <v>-12544.30528</v>
      </c>
      <c r="M87" s="329">
        <f t="shared" ref="M87:M97" si="15">L87/K87</f>
        <v>-6.9393704388864552E-2</v>
      </c>
      <c r="N87" s="284">
        <v>169082.52948500001</v>
      </c>
      <c r="O87" s="327">
        <f t="shared" ref="O87:O97" si="16">N87-K87</f>
        <v>-11687.547433</v>
      </c>
      <c r="P87" s="329">
        <f t="shared" ref="P87:P97" si="17">O87/N87</f>
        <v>-6.9123329705313222E-2</v>
      </c>
      <c r="Q87" s="284">
        <v>158206.51405210001</v>
      </c>
      <c r="R87" s="327">
        <f t="shared" ref="R87:R97" si="18">Q87-N87</f>
        <v>-10876.015432899992</v>
      </c>
      <c r="S87" s="329">
        <f t="shared" ref="S87:S97" si="19">R87/Q87</f>
        <v>-6.8745686598709457E-2</v>
      </c>
      <c r="T87" s="284">
        <v>148114.11809510001</v>
      </c>
      <c r="U87" s="327">
        <f t="shared" ref="U87:U97" si="20">T87-Q87</f>
        <v>-10092.395957000001</v>
      </c>
      <c r="V87" s="329">
        <f t="shared" ref="V87:V97" si="21">U87/Q87</f>
        <v>-6.3792543672862981E-2</v>
      </c>
      <c r="W87" s="292">
        <v>138829.316005</v>
      </c>
    </row>
    <row r="88" spans="3:24" hidden="1" outlineLevel="1" x14ac:dyDescent="0.2">
      <c r="C88" s="305" t="s">
        <v>898</v>
      </c>
      <c r="D88" s="284">
        <v>225153.3364109</v>
      </c>
      <c r="E88" s="284">
        <v>211079.75166040001</v>
      </c>
      <c r="F88" s="326">
        <f t="shared" si="9"/>
        <v>-14073.584750499984</v>
      </c>
      <c r="G88" s="329">
        <f t="shared" si="11"/>
        <v>-6.6674252929492542E-2</v>
      </c>
      <c r="H88" s="284">
        <v>197425.0478159</v>
      </c>
      <c r="I88" s="326">
        <f t="shared" si="12"/>
        <v>-13654.703844500007</v>
      </c>
      <c r="J88" s="329">
        <f t="shared" si="13"/>
        <v>-6.9163989045772437E-2</v>
      </c>
      <c r="K88" s="284">
        <v>184687.47331959999</v>
      </c>
      <c r="L88" s="326">
        <f t="shared" si="14"/>
        <v>-12737.574496300018</v>
      </c>
      <c r="M88" s="329">
        <f t="shared" si="15"/>
        <v>-6.8968264427213002E-2</v>
      </c>
      <c r="N88" s="284">
        <v>172812.50574240001</v>
      </c>
      <c r="O88" s="327">
        <f t="shared" si="16"/>
        <v>-11874.967577199975</v>
      </c>
      <c r="P88" s="329">
        <f t="shared" si="17"/>
        <v>-6.8715904130810954E-2</v>
      </c>
      <c r="Q88" s="284">
        <v>161755.7305527</v>
      </c>
      <c r="R88" s="327">
        <f t="shared" si="18"/>
        <v>-11056.775189700013</v>
      </c>
      <c r="S88" s="329">
        <f t="shared" si="19"/>
        <v>-6.8354766485986818E-2</v>
      </c>
      <c r="T88" s="284">
        <v>151569.497764</v>
      </c>
      <c r="U88" s="327">
        <f t="shared" si="20"/>
        <v>-10186.232788699999</v>
      </c>
      <c r="V88" s="329">
        <f t="shared" si="21"/>
        <v>-6.2972933038569073E-2</v>
      </c>
      <c r="W88" s="292">
        <v>142128.11970790001</v>
      </c>
    </row>
    <row r="89" spans="3:24" hidden="1" outlineLevel="1" x14ac:dyDescent="0.2">
      <c r="C89" s="305" t="s">
        <v>899</v>
      </c>
      <c r="D89" s="21">
        <v>191163.88175520001</v>
      </c>
      <c r="E89" s="21">
        <v>179021.765518</v>
      </c>
      <c r="F89" s="326">
        <f t="shared" si="9"/>
        <v>-12142.116237200011</v>
      </c>
      <c r="G89" s="329">
        <f t="shared" si="11"/>
        <v>-6.7824804442447331E-2</v>
      </c>
      <c r="H89" s="21">
        <v>167257.1938911</v>
      </c>
      <c r="I89" s="326">
        <f t="shared" si="12"/>
        <v>-11764.571626899997</v>
      </c>
      <c r="J89" s="329">
        <f t="shared" si="13"/>
        <v>-7.0338209993884196E-2</v>
      </c>
      <c r="K89" s="21">
        <v>156282.55708309999</v>
      </c>
      <c r="L89" s="326">
        <f t="shared" si="14"/>
        <v>-10974.63680800001</v>
      </c>
      <c r="M89" s="329">
        <f t="shared" si="15"/>
        <v>-7.022304352343349E-2</v>
      </c>
      <c r="N89" s="21">
        <v>146051.3176521</v>
      </c>
      <c r="O89" s="327">
        <f t="shared" si="16"/>
        <v>-10231.239430999995</v>
      </c>
      <c r="P89" s="329">
        <f t="shared" si="17"/>
        <v>-7.0052359646430654E-2</v>
      </c>
      <c r="Q89" s="21">
        <v>136565.9262097</v>
      </c>
      <c r="R89" s="327">
        <f t="shared" si="18"/>
        <v>-9485.3914423999959</v>
      </c>
      <c r="S89" s="329">
        <f t="shared" si="19"/>
        <v>-6.9456501381134905E-2</v>
      </c>
      <c r="T89" s="21">
        <v>127701.2546153</v>
      </c>
      <c r="U89" s="327">
        <f t="shared" si="20"/>
        <v>-8864.6715944000025</v>
      </c>
      <c r="V89" s="329">
        <f t="shared" si="21"/>
        <v>-6.4911298450743143E-2</v>
      </c>
      <c r="W89" s="134">
        <v>119519.82229720001</v>
      </c>
    </row>
    <row r="90" spans="3:24" hidden="1" outlineLevel="1" x14ac:dyDescent="0.2">
      <c r="C90" s="305" t="s">
        <v>900</v>
      </c>
      <c r="D90" s="21">
        <v>497630.20072600001</v>
      </c>
      <c r="E90" s="21">
        <v>465874.83722300001</v>
      </c>
      <c r="F90" s="326">
        <f t="shared" si="9"/>
        <v>-31755.363503</v>
      </c>
      <c r="G90" s="329">
        <f t="shared" si="11"/>
        <v>-6.8162864713381552E-2</v>
      </c>
      <c r="H90" s="21">
        <v>435320.292021</v>
      </c>
      <c r="I90" s="326">
        <f t="shared" si="12"/>
        <v>-30554.545202000008</v>
      </c>
      <c r="J90" s="329">
        <f t="shared" si="13"/>
        <v>-7.0188653646602914E-2</v>
      </c>
      <c r="K90" s="21">
        <v>406815.782366</v>
      </c>
      <c r="L90" s="326">
        <f t="shared" si="14"/>
        <v>-28504.509655000002</v>
      </c>
      <c r="M90" s="329">
        <f t="shared" si="15"/>
        <v>-7.0067364371216426E-2</v>
      </c>
      <c r="N90" s="21">
        <v>380235.23172799998</v>
      </c>
      <c r="O90" s="327">
        <f t="shared" si="16"/>
        <v>-26580.550638000015</v>
      </c>
      <c r="P90" s="329">
        <f t="shared" si="17"/>
        <v>-6.9905543779315862E-2</v>
      </c>
      <c r="Q90" s="21">
        <v>355470.73128199996</v>
      </c>
      <c r="R90" s="327">
        <f t="shared" si="18"/>
        <v>-24764.50044600002</v>
      </c>
      <c r="S90" s="329">
        <f t="shared" si="19"/>
        <v>-6.9666777786984643E-2</v>
      </c>
      <c r="T90" s="21">
        <v>332445.59829899995</v>
      </c>
      <c r="U90" s="327">
        <f t="shared" si="20"/>
        <v>-23025.132983000018</v>
      </c>
      <c r="V90" s="329">
        <f t="shared" si="21"/>
        <v>-6.4773639449752202E-2</v>
      </c>
      <c r="W90" s="134">
        <v>311172.46897099999</v>
      </c>
    </row>
    <row r="91" spans="3:24" hidden="1" outlineLevel="1" x14ac:dyDescent="0.2">
      <c r="C91" s="305" t="s">
        <v>901</v>
      </c>
      <c r="D91" s="284">
        <v>623373.64327200002</v>
      </c>
      <c r="E91" s="284">
        <v>582732.66321899998</v>
      </c>
      <c r="F91" s="326">
        <f t="shared" si="9"/>
        <v>-40640.980053000036</v>
      </c>
      <c r="G91" s="329">
        <f t="shared" si="11"/>
        <v>-6.974206633364316E-2</v>
      </c>
      <c r="H91" s="284">
        <v>543613.48446299997</v>
      </c>
      <c r="I91" s="326">
        <f t="shared" si="12"/>
        <v>-39119.178756000008</v>
      </c>
      <c r="J91" s="329">
        <f t="shared" si="13"/>
        <v>-7.1961384097459016E-2</v>
      </c>
      <c r="K91" s="284">
        <v>507149.340623</v>
      </c>
      <c r="L91" s="326">
        <f t="shared" si="14"/>
        <v>-36464.143839999975</v>
      </c>
      <c r="M91" s="329">
        <f t="shared" si="15"/>
        <v>-7.1900209502798809E-2</v>
      </c>
      <c r="N91" s="284">
        <v>473167.22061600001</v>
      </c>
      <c r="O91" s="327">
        <f t="shared" si="16"/>
        <v>-33982.12000699999</v>
      </c>
      <c r="P91" s="329">
        <f t="shared" si="17"/>
        <v>-7.1818415406629074E-2</v>
      </c>
      <c r="Q91" s="284">
        <v>441523.55644300004</v>
      </c>
      <c r="R91" s="327">
        <f t="shared" si="18"/>
        <v>-31643.664172999968</v>
      </c>
      <c r="S91" s="329">
        <f t="shared" si="19"/>
        <v>-7.1669254587292022E-2</v>
      </c>
      <c r="T91" s="284">
        <v>412069.10585200001</v>
      </c>
      <c r="U91" s="327">
        <f t="shared" si="20"/>
        <v>-29454.45059100003</v>
      </c>
      <c r="V91" s="329">
        <f t="shared" si="21"/>
        <v>-6.6710937980955842E-2</v>
      </c>
      <c r="W91" s="292">
        <v>384762.92231599998</v>
      </c>
    </row>
    <row r="92" spans="3:24" hidden="1" outlineLevel="1" x14ac:dyDescent="0.2">
      <c r="C92" s="305" t="s">
        <v>902</v>
      </c>
      <c r="D92" s="21">
        <v>718061.1325699999</v>
      </c>
      <c r="E92" s="21">
        <v>671520.82819599996</v>
      </c>
      <c r="F92" s="326">
        <f t="shared" si="9"/>
        <v>-46540.304373999941</v>
      </c>
      <c r="G92" s="329">
        <f t="shared" si="11"/>
        <v>-6.9305824063607455E-2</v>
      </c>
      <c r="H92" s="21">
        <v>627028.86580200004</v>
      </c>
      <c r="I92" s="326">
        <f t="shared" si="12"/>
        <v>-44491.962393999915</v>
      </c>
      <c r="J92" s="329">
        <f t="shared" si="13"/>
        <v>-7.0956800907550813E-2</v>
      </c>
      <c r="K92" s="21">
        <v>585503.28271299996</v>
      </c>
      <c r="L92" s="326">
        <f t="shared" si="14"/>
        <v>-41525.58308900008</v>
      </c>
      <c r="M92" s="329">
        <f t="shared" si="15"/>
        <v>-7.0922886882181582E-2</v>
      </c>
      <c r="N92" s="21">
        <v>546743.902703</v>
      </c>
      <c r="O92" s="327">
        <f t="shared" si="16"/>
        <v>-38759.380009999964</v>
      </c>
      <c r="P92" s="329">
        <f t="shared" si="17"/>
        <v>-7.0891288989928941E-2</v>
      </c>
      <c r="Q92" s="21">
        <v>510567.29288199998</v>
      </c>
      <c r="R92" s="327">
        <f t="shared" si="18"/>
        <v>-36176.60982100002</v>
      </c>
      <c r="S92" s="329">
        <f t="shared" si="19"/>
        <v>-7.0855713488409827E-2</v>
      </c>
      <c r="T92" s="21">
        <v>476810.83834400005</v>
      </c>
      <c r="U92" s="327">
        <f t="shared" si="20"/>
        <v>-33756.454537999933</v>
      </c>
      <c r="V92" s="329">
        <f t="shared" si="21"/>
        <v>-6.6115583603984548E-2</v>
      </c>
      <c r="W92" s="134">
        <v>445353.60724499996</v>
      </c>
    </row>
    <row r="93" spans="3:24" hidden="1" outlineLevel="1" x14ac:dyDescent="0.2">
      <c r="C93" s="305" t="s">
        <v>903</v>
      </c>
      <c r="D93" s="21">
        <v>211167.66306599998</v>
      </c>
      <c r="E93" s="21">
        <v>197913.988878</v>
      </c>
      <c r="F93" s="326">
        <f t="shared" si="9"/>
        <v>-13253.674187999975</v>
      </c>
      <c r="G93" s="329">
        <f t="shared" si="11"/>
        <v>-6.6966838792632946E-2</v>
      </c>
      <c r="H93" s="21">
        <v>185033.75875000001</v>
      </c>
      <c r="I93" s="326">
        <f t="shared" si="12"/>
        <v>-12880.230127999996</v>
      </c>
      <c r="J93" s="329">
        <f t="shared" si="13"/>
        <v>-6.9610163113005427E-2</v>
      </c>
      <c r="K93" s="21">
        <v>173017.32886900002</v>
      </c>
      <c r="L93" s="326">
        <f t="shared" si="14"/>
        <v>-12016.429880999989</v>
      </c>
      <c r="M93" s="329">
        <f t="shared" si="15"/>
        <v>-6.9452175452889009E-2</v>
      </c>
      <c r="N93" s="21">
        <v>161812.25073099998</v>
      </c>
      <c r="O93" s="327">
        <f t="shared" si="16"/>
        <v>-11205.078138000041</v>
      </c>
      <c r="P93" s="329">
        <f t="shared" si="17"/>
        <v>-6.9247403007993466E-2</v>
      </c>
      <c r="Q93" s="21">
        <v>151374.56086899998</v>
      </c>
      <c r="R93" s="327">
        <f t="shared" si="18"/>
        <v>-10437.689861999999</v>
      </c>
      <c r="S93" s="329">
        <f t="shared" si="19"/>
        <v>-6.895273421161438E-2</v>
      </c>
      <c r="T93" s="21">
        <v>141740.21137599999</v>
      </c>
      <c r="U93" s="327">
        <f t="shared" si="20"/>
        <v>-9634.349492999987</v>
      </c>
      <c r="V93" s="329">
        <f t="shared" si="21"/>
        <v>-6.3645763447251771E-2</v>
      </c>
      <c r="W93" s="134">
        <v>132789.6518929</v>
      </c>
    </row>
    <row r="94" spans="3:24" hidden="1" outlineLevel="1" x14ac:dyDescent="0.2">
      <c r="C94" s="305" t="s">
        <v>904</v>
      </c>
      <c r="D94" s="21">
        <v>434660.29790299997</v>
      </c>
      <c r="E94" s="21">
        <v>407141.41594700003</v>
      </c>
      <c r="F94" s="326">
        <f t="shared" si="9"/>
        <v>-27518.881955999939</v>
      </c>
      <c r="G94" s="329">
        <f t="shared" si="11"/>
        <v>-6.7590475638524161E-2</v>
      </c>
      <c r="H94" s="21">
        <v>380478.728734</v>
      </c>
      <c r="I94" s="326">
        <f t="shared" si="12"/>
        <v>-26662.687213000027</v>
      </c>
      <c r="J94" s="329">
        <f t="shared" si="13"/>
        <v>-7.0076682871910101E-2</v>
      </c>
      <c r="K94" s="21">
        <v>355598.71944999998</v>
      </c>
      <c r="L94" s="326">
        <f t="shared" si="14"/>
        <v>-24880.009284000029</v>
      </c>
      <c r="M94" s="329">
        <f t="shared" si="15"/>
        <v>-6.996653228246047E-2</v>
      </c>
      <c r="N94" s="21">
        <v>332391.26776199997</v>
      </c>
      <c r="O94" s="327">
        <f t="shared" si="16"/>
        <v>-23207.451688000001</v>
      </c>
      <c r="P94" s="329">
        <f t="shared" si="17"/>
        <v>-6.9819679211961388E-2</v>
      </c>
      <c r="Q94" s="21">
        <v>310774.42476800003</v>
      </c>
      <c r="R94" s="327">
        <f t="shared" si="18"/>
        <v>-21616.842993999948</v>
      </c>
      <c r="S94" s="329">
        <f t="shared" si="19"/>
        <v>-6.9557985700198458E-2</v>
      </c>
      <c r="T94" s="21">
        <v>290666.936208</v>
      </c>
      <c r="U94" s="327">
        <f t="shared" si="20"/>
        <v>-20107.488560000027</v>
      </c>
      <c r="V94" s="329">
        <f t="shared" si="21"/>
        <v>-6.4701233298109104E-2</v>
      </c>
      <c r="W94" s="134">
        <v>272063.78401810001</v>
      </c>
    </row>
    <row r="95" spans="3:24" hidden="1" outlineLevel="1" x14ac:dyDescent="0.2">
      <c r="C95" s="305" t="s">
        <v>905</v>
      </c>
      <c r="D95" s="284">
        <v>374323.43678500003</v>
      </c>
      <c r="E95" s="284">
        <v>350634.94028700003</v>
      </c>
      <c r="F95" s="326">
        <f t="shared" si="9"/>
        <v>-23688.496497999993</v>
      </c>
      <c r="G95" s="329">
        <f t="shared" si="11"/>
        <v>-6.7558859019042988E-2</v>
      </c>
      <c r="H95" s="284">
        <v>327749.98429579998</v>
      </c>
      <c r="I95" s="326">
        <f t="shared" si="12"/>
        <v>-22884.955991200055</v>
      </c>
      <c r="J95" s="329">
        <f t="shared" si="13"/>
        <v>-6.9824430473644172E-2</v>
      </c>
      <c r="K95" s="284">
        <v>306387.60313860001</v>
      </c>
      <c r="L95" s="326">
        <f t="shared" si="14"/>
        <v>-21362.381157199969</v>
      </c>
      <c r="M95" s="329">
        <f t="shared" si="15"/>
        <v>-6.9723386123871037E-2</v>
      </c>
      <c r="N95" s="284">
        <v>286452.29512349999</v>
      </c>
      <c r="O95" s="327">
        <f t="shared" si="16"/>
        <v>-19935.308015100018</v>
      </c>
      <c r="P95" s="329">
        <f t="shared" si="17"/>
        <v>-6.9593814936986909E-2</v>
      </c>
      <c r="Q95" s="284">
        <v>267861.70639589999</v>
      </c>
      <c r="R95" s="327">
        <f t="shared" si="18"/>
        <v>-18590.588727599999</v>
      </c>
      <c r="S95" s="329">
        <f t="shared" si="19"/>
        <v>-6.9403682137838249E-2</v>
      </c>
      <c r="T95" s="284">
        <v>250555.22395670001</v>
      </c>
      <c r="U95" s="327">
        <f t="shared" si="20"/>
        <v>-17306.482439199986</v>
      </c>
      <c r="V95" s="329">
        <f t="shared" si="21"/>
        <v>-6.4609767002756932E-2</v>
      </c>
      <c r="W95" s="292">
        <v>234557.5065514</v>
      </c>
    </row>
    <row r="96" spans="3:24" hidden="1" outlineLevel="1" x14ac:dyDescent="0.2">
      <c r="C96" s="305" t="s">
        <v>906</v>
      </c>
      <c r="D96" s="21">
        <v>252552.00907299999</v>
      </c>
      <c r="E96" s="21">
        <v>236552.79329999999</v>
      </c>
      <c r="F96" s="326">
        <f t="shared" si="9"/>
        <v>-15999.215773000004</v>
      </c>
      <c r="G96" s="329">
        <f t="shared" si="11"/>
        <v>-6.7634863024887415E-2</v>
      </c>
      <c r="H96" s="21">
        <v>221035.00824739999</v>
      </c>
      <c r="I96" s="326">
        <f t="shared" si="12"/>
        <v>-15517.785052599997</v>
      </c>
      <c r="J96" s="329">
        <f t="shared" si="13"/>
        <v>-7.0205100882622426E-2</v>
      </c>
      <c r="K96" s="21">
        <v>206554.74440680002</v>
      </c>
      <c r="L96" s="326">
        <f t="shared" si="14"/>
        <v>-14480.263840599975</v>
      </c>
      <c r="M96" s="329">
        <f t="shared" si="15"/>
        <v>-7.0103758120809684E-2</v>
      </c>
      <c r="N96" s="21">
        <v>193050.9001953</v>
      </c>
      <c r="O96" s="327">
        <f t="shared" si="16"/>
        <v>-13503.844211500022</v>
      </c>
      <c r="P96" s="329">
        <f t="shared" si="17"/>
        <v>-6.9949656789162096E-2</v>
      </c>
      <c r="Q96" s="21">
        <v>180460.77076109999</v>
      </c>
      <c r="R96" s="327">
        <f t="shared" si="18"/>
        <v>-12590.129434200004</v>
      </c>
      <c r="S96" s="329">
        <f t="shared" si="19"/>
        <v>-6.9766572430676577E-2</v>
      </c>
      <c r="T96" s="21">
        <v>168747.44130999999</v>
      </c>
      <c r="U96" s="327">
        <f t="shared" si="20"/>
        <v>-11713.329451099999</v>
      </c>
      <c r="V96" s="329">
        <f t="shared" si="21"/>
        <v>-6.4907898828640689E-2</v>
      </c>
      <c r="W96" s="134">
        <v>157909.8762655</v>
      </c>
    </row>
    <row r="97" spans="3:24" ht="15" hidden="1" outlineLevel="1" thickBot="1" x14ac:dyDescent="0.25">
      <c r="C97" s="306" t="s">
        <v>907</v>
      </c>
      <c r="D97" s="301">
        <v>229445</v>
      </c>
      <c r="E97" s="301">
        <v>215112</v>
      </c>
      <c r="F97" s="337">
        <f t="shared" si="9"/>
        <v>-14333</v>
      </c>
      <c r="G97" s="338">
        <f t="shared" si="11"/>
        <v>-6.663040648592361E-2</v>
      </c>
      <c r="H97" s="301">
        <v>201268</v>
      </c>
      <c r="I97" s="337">
        <f t="shared" si="12"/>
        <v>-13844</v>
      </c>
      <c r="J97" s="338">
        <f t="shared" si="13"/>
        <v>-6.8783910010533217E-2</v>
      </c>
      <c r="K97" s="301">
        <v>188334</v>
      </c>
      <c r="L97" s="337">
        <f t="shared" si="14"/>
        <v>-12934</v>
      </c>
      <c r="M97" s="338">
        <f t="shared" si="15"/>
        <v>-6.8675863094289927E-2</v>
      </c>
      <c r="N97" s="301">
        <v>176250</v>
      </c>
      <c r="O97" s="339">
        <f t="shared" si="16"/>
        <v>-12084</v>
      </c>
      <c r="P97" s="338">
        <f t="shared" si="17"/>
        <v>-6.8561702127659579E-2</v>
      </c>
      <c r="Q97" s="301">
        <v>164969</v>
      </c>
      <c r="R97" s="339">
        <f t="shared" si="18"/>
        <v>-11281</v>
      </c>
      <c r="S97" s="338">
        <f t="shared" si="19"/>
        <v>-6.8382544599288345E-2</v>
      </c>
      <c r="T97" s="301">
        <v>154452</v>
      </c>
      <c r="U97" s="327">
        <f t="shared" si="20"/>
        <v>-10517</v>
      </c>
      <c r="V97" s="329">
        <f t="shared" si="21"/>
        <v>-6.375137146979129E-2</v>
      </c>
      <c r="W97" s="298">
        <v>144696</v>
      </c>
    </row>
    <row r="98" spans="3:24" s="336" customFormat="1" ht="4.5" hidden="1" customHeight="1" outlineLevel="1" thickBot="1" x14ac:dyDescent="0.25">
      <c r="C98" s="331"/>
      <c r="D98" s="332"/>
      <c r="E98" s="332"/>
      <c r="F98" s="333"/>
      <c r="G98" s="334"/>
      <c r="H98" s="332"/>
      <c r="I98" s="333"/>
      <c r="J98" s="334"/>
      <c r="K98" s="332"/>
      <c r="L98" s="333"/>
      <c r="M98" s="334"/>
      <c r="N98" s="332"/>
      <c r="O98" s="335"/>
      <c r="P98" s="334"/>
      <c r="Q98" s="332"/>
      <c r="R98" s="335"/>
      <c r="S98" s="334"/>
      <c r="T98" s="332"/>
      <c r="U98" s="335"/>
      <c r="V98" s="334"/>
      <c r="W98" s="332"/>
    </row>
    <row r="99" spans="3:24" ht="19.5" collapsed="1" thickBot="1" x14ac:dyDescent="0.3">
      <c r="C99" s="285" t="s">
        <v>920</v>
      </c>
      <c r="D99" s="302">
        <f>SUM(D100:D111)</f>
        <v>66201.17945808699</v>
      </c>
      <c r="E99" s="302">
        <f t="shared" ref="E99:W99" si="22">SUM(E100:E111)</f>
        <v>123704.088622888</v>
      </c>
      <c r="F99" s="342">
        <f t="shared" ref="F99:F111" si="23">E99-D99</f>
        <v>57502.909164801007</v>
      </c>
      <c r="G99" s="351">
        <f t="shared" ref="G99:G111" si="24">F99/D99</f>
        <v>0.86860852987078585</v>
      </c>
      <c r="H99" s="302">
        <f t="shared" si="22"/>
        <v>190768.98482756902</v>
      </c>
      <c r="I99" s="342">
        <f>H99-E99</f>
        <v>67064.896204681019</v>
      </c>
      <c r="J99" s="351">
        <f>I99/E99</f>
        <v>0.54213968957104075</v>
      </c>
      <c r="K99" s="302">
        <f t="shared" si="22"/>
        <v>260480.91097166899</v>
      </c>
      <c r="L99" s="342">
        <f>K99-H99</f>
        <v>69711.926144099969</v>
      </c>
      <c r="M99" s="351">
        <f>L99/H99</f>
        <v>0.36542589041458029</v>
      </c>
      <c r="N99" s="302">
        <f t="shared" si="22"/>
        <v>333952.13874364202</v>
      </c>
      <c r="O99" s="342">
        <f>N99-K99</f>
        <v>73471.227771973034</v>
      </c>
      <c r="P99" s="351">
        <f>O99/K99</f>
        <v>0.28205993098651316</v>
      </c>
      <c r="Q99" s="302">
        <f t="shared" si="22"/>
        <v>412544.42696454097</v>
      </c>
      <c r="R99" s="342">
        <f>Q99-N99</f>
        <v>78592.288220898947</v>
      </c>
      <c r="S99" s="351">
        <f>R99/N99</f>
        <v>0.23533997571199933</v>
      </c>
      <c r="T99" s="302">
        <f t="shared" si="22"/>
        <v>498177.37917061505</v>
      </c>
      <c r="U99" s="342">
        <f>T99-Q99</f>
        <v>85632.952206074086</v>
      </c>
      <c r="V99" s="351">
        <f>U99/Q99</f>
        <v>0.20757267971392185</v>
      </c>
      <c r="W99" s="303">
        <f t="shared" si="22"/>
        <v>594461.4570220391</v>
      </c>
      <c r="X99" s="442">
        <f>(W99/E99)^(1/6)-1</f>
        <v>0.29904224497212395</v>
      </c>
    </row>
    <row r="100" spans="3:24" hidden="1" outlineLevel="1" x14ac:dyDescent="0.2">
      <c r="C100" s="305" t="s">
        <v>896</v>
      </c>
      <c r="D100" s="284">
        <v>6599</v>
      </c>
      <c r="E100" s="284">
        <v>12596</v>
      </c>
      <c r="F100" s="330">
        <f t="shared" si="23"/>
        <v>5997</v>
      </c>
      <c r="G100" s="344">
        <f t="shared" si="24"/>
        <v>0.90877405667525379</v>
      </c>
      <c r="H100" s="284">
        <v>19800</v>
      </c>
      <c r="I100" s="330">
        <f>H100-E100</f>
        <v>7204</v>
      </c>
      <c r="J100" s="344">
        <f>I100/H100</f>
        <v>0.36383838383838385</v>
      </c>
      <c r="K100" s="284">
        <v>27244</v>
      </c>
      <c r="L100" s="330">
        <f>K100-H100</f>
        <v>7444</v>
      </c>
      <c r="M100" s="344">
        <f>L100/K100</f>
        <v>0.27323447364557335</v>
      </c>
      <c r="N100" s="284">
        <v>35076</v>
      </c>
      <c r="O100" s="330">
        <f>N100-K100</f>
        <v>7832</v>
      </c>
      <c r="P100" s="344">
        <f>O100/N100</f>
        <v>0.22328657771695745</v>
      </c>
      <c r="Q100" s="284">
        <v>43482</v>
      </c>
      <c r="R100" s="330">
        <f>Q100-N100</f>
        <v>8406</v>
      </c>
      <c r="S100" s="344">
        <f>R100/Q100</f>
        <v>0.19332137436180488</v>
      </c>
      <c r="T100" s="284">
        <v>52727</v>
      </c>
      <c r="U100" s="330">
        <f>T100-Q100</f>
        <v>9245</v>
      </c>
      <c r="V100" s="344">
        <f>U100/Q100</f>
        <v>0.21261671496251322</v>
      </c>
      <c r="W100" s="292">
        <v>63313</v>
      </c>
      <c r="X100" s="374"/>
    </row>
    <row r="101" spans="3:24" hidden="1" outlineLevel="1" x14ac:dyDescent="0.2">
      <c r="C101" s="305" t="s">
        <v>897</v>
      </c>
      <c r="D101" s="284">
        <v>3030.7164751350001</v>
      </c>
      <c r="E101" s="284">
        <v>6006.702911722</v>
      </c>
      <c r="F101" s="330">
        <f t="shared" si="23"/>
        <v>2975.9864365869998</v>
      </c>
      <c r="G101" s="344">
        <f t="shared" si="24"/>
        <v>0.9819415511160402</v>
      </c>
      <c r="H101" s="284">
        <v>9523.9572601020009</v>
      </c>
      <c r="I101" s="330">
        <f t="shared" ref="I101:I111" si="25">H101-E101</f>
        <v>3517.2543483800009</v>
      </c>
      <c r="J101" s="344">
        <f t="shared" ref="J101:J111" si="26">I101/H101</f>
        <v>0.36930597779082552</v>
      </c>
      <c r="K101" s="284">
        <v>13058.477950357001</v>
      </c>
      <c r="L101" s="330">
        <f t="shared" ref="L101:L111" si="27">K101-H101</f>
        <v>3534.5206902549999</v>
      </c>
      <c r="M101" s="344">
        <f t="shared" ref="M101:M111" si="28">L101/K101</f>
        <v>0.27066865707410953</v>
      </c>
      <c r="N101" s="284">
        <v>16689.395407455999</v>
      </c>
      <c r="O101" s="330">
        <f t="shared" ref="O101:O111" si="29">N101-K101</f>
        <v>3630.9174570989981</v>
      </c>
      <c r="P101" s="344">
        <f t="shared" ref="P101:P111" si="30">O101/N101</f>
        <v>0.21755835777471502</v>
      </c>
      <c r="Q101" s="284">
        <v>20511.885247553</v>
      </c>
      <c r="R101" s="330">
        <f t="shared" ref="R101:R111" si="31">Q101-N101</f>
        <v>3822.4898400970014</v>
      </c>
      <c r="S101" s="344">
        <f t="shared" ref="S101:S111" si="32">R101/Q101</f>
        <v>0.18635487640284121</v>
      </c>
      <c r="T101" s="284">
        <v>24657.741769922002</v>
      </c>
      <c r="U101" s="330">
        <f t="shared" ref="U101:U111" si="33">T101-Q101</f>
        <v>4145.8565223690021</v>
      </c>
      <c r="V101" s="344">
        <f t="shared" ref="V101:V111" si="34">U101/Q101</f>
        <v>0.20211972094878938</v>
      </c>
      <c r="W101" s="292">
        <v>29373.228292609998</v>
      </c>
      <c r="X101" s="374"/>
    </row>
    <row r="102" spans="3:24" hidden="1" outlineLevel="1" x14ac:dyDescent="0.2">
      <c r="C102" s="305" t="s">
        <v>898</v>
      </c>
      <c r="D102" s="21">
        <v>4073.500862464</v>
      </c>
      <c r="E102" s="21">
        <v>7657.4555120320001</v>
      </c>
      <c r="F102" s="330">
        <f t="shared" si="23"/>
        <v>3583.9546495680001</v>
      </c>
      <c r="G102" s="344">
        <f t="shared" si="24"/>
        <v>0.8798217480676116</v>
      </c>
      <c r="H102" s="21">
        <v>12094.421619616</v>
      </c>
      <c r="I102" s="330">
        <f t="shared" si="25"/>
        <v>4436.9661075839995</v>
      </c>
      <c r="J102" s="344">
        <f t="shared" si="26"/>
        <v>0.36686054506216842</v>
      </c>
      <c r="K102" s="21">
        <v>16794.002380264999</v>
      </c>
      <c r="L102" s="330">
        <f t="shared" si="27"/>
        <v>4699.5807606489998</v>
      </c>
      <c r="M102" s="344">
        <f t="shared" si="28"/>
        <v>0.27983685212356407</v>
      </c>
      <c r="N102" s="21">
        <v>21815.13998914</v>
      </c>
      <c r="O102" s="330">
        <f t="shared" si="29"/>
        <v>5021.1376088750003</v>
      </c>
      <c r="P102" s="344">
        <f t="shared" si="30"/>
        <v>0.23016756304908517</v>
      </c>
      <c r="Q102" s="21">
        <v>27234.554879653999</v>
      </c>
      <c r="R102" s="330">
        <f t="shared" si="31"/>
        <v>5419.4148905139991</v>
      </c>
      <c r="S102" s="344">
        <f t="shared" si="32"/>
        <v>0.19899039710623867</v>
      </c>
      <c r="T102" s="21">
        <v>33171.504574842998</v>
      </c>
      <c r="U102" s="330">
        <f t="shared" si="33"/>
        <v>5936.9496951889996</v>
      </c>
      <c r="V102" s="344">
        <f t="shared" si="34"/>
        <v>0.21799327073358157</v>
      </c>
      <c r="W102" s="134">
        <v>39860.327206759001</v>
      </c>
      <c r="X102" s="374"/>
    </row>
    <row r="103" spans="3:24" hidden="1" outlineLevel="1" x14ac:dyDescent="0.2">
      <c r="C103" s="305" t="s">
        <v>899</v>
      </c>
      <c r="D103" s="21">
        <v>3511.2500589199999</v>
      </c>
      <c r="E103" s="21">
        <v>6571.2166715429994</v>
      </c>
      <c r="F103" s="330">
        <f t="shared" si="23"/>
        <v>3059.9666126229995</v>
      </c>
      <c r="G103" s="344">
        <f t="shared" si="24"/>
        <v>0.87147499075135437</v>
      </c>
      <c r="H103" s="21">
        <v>10211.182622154</v>
      </c>
      <c r="I103" s="330">
        <f t="shared" si="25"/>
        <v>3639.9659506110002</v>
      </c>
      <c r="J103" s="344">
        <f t="shared" si="26"/>
        <v>0.35646859774241968</v>
      </c>
      <c r="K103" s="21">
        <v>13949.333675941001</v>
      </c>
      <c r="L103" s="330">
        <f t="shared" si="27"/>
        <v>3738.1510537870017</v>
      </c>
      <c r="M103" s="344">
        <f t="shared" si="28"/>
        <v>0.26798061761432712</v>
      </c>
      <c r="N103" s="21">
        <v>17840.176910951999</v>
      </c>
      <c r="O103" s="330">
        <f t="shared" si="29"/>
        <v>3890.8432350109979</v>
      </c>
      <c r="P103" s="344">
        <f t="shared" si="30"/>
        <v>0.21809443115008731</v>
      </c>
      <c r="Q103" s="21">
        <v>21948.860383088002</v>
      </c>
      <c r="R103" s="330">
        <f t="shared" si="31"/>
        <v>4108.6834721360028</v>
      </c>
      <c r="S103" s="344">
        <f t="shared" si="32"/>
        <v>0.18719347612698009</v>
      </c>
      <c r="T103" s="21">
        <v>26361.814995201999</v>
      </c>
      <c r="U103" s="330">
        <f t="shared" si="33"/>
        <v>4412.9546121139974</v>
      </c>
      <c r="V103" s="344">
        <f t="shared" si="34"/>
        <v>0.20105620679578698</v>
      </c>
      <c r="W103" s="134">
        <v>31245.451683275001</v>
      </c>
      <c r="X103" s="374"/>
    </row>
    <row r="104" spans="3:24" hidden="1" outlineLevel="1" x14ac:dyDescent="0.2">
      <c r="C104" s="305" t="s">
        <v>900</v>
      </c>
      <c r="D104" s="284">
        <v>6268.6870111420003</v>
      </c>
      <c r="E104" s="284">
        <v>13019.257854719999</v>
      </c>
      <c r="F104" s="330">
        <f t="shared" si="23"/>
        <v>6750.5708435779989</v>
      </c>
      <c r="G104" s="344">
        <f t="shared" si="24"/>
        <v>1.0768715731985814</v>
      </c>
      <c r="H104" s="284">
        <v>21212.551880252999</v>
      </c>
      <c r="I104" s="330">
        <f t="shared" si="25"/>
        <v>8193.2940255329995</v>
      </c>
      <c r="J104" s="344">
        <f t="shared" si="26"/>
        <v>0.38624744782169412</v>
      </c>
      <c r="K104" s="284">
        <v>30471.886694692002</v>
      </c>
      <c r="L104" s="330">
        <f t="shared" si="27"/>
        <v>9259.3348144390038</v>
      </c>
      <c r="M104" s="344">
        <f t="shared" si="28"/>
        <v>0.30386483473148113</v>
      </c>
      <c r="N104" s="284">
        <v>40833.935445498995</v>
      </c>
      <c r="O104" s="330">
        <f t="shared" si="29"/>
        <v>10362.048750806993</v>
      </c>
      <c r="P104" s="344">
        <f t="shared" si="30"/>
        <v>0.2537607173483733</v>
      </c>
      <c r="Q104" s="284">
        <v>52372.348491759003</v>
      </c>
      <c r="R104" s="330">
        <f t="shared" si="31"/>
        <v>11538.413046260008</v>
      </c>
      <c r="S104" s="344">
        <f t="shared" si="32"/>
        <v>0.22031498259192298</v>
      </c>
      <c r="T104" s="284">
        <v>65234.302872304004</v>
      </c>
      <c r="U104" s="330">
        <f t="shared" si="33"/>
        <v>12861.954380545001</v>
      </c>
      <c r="V104" s="344">
        <f t="shared" si="34"/>
        <v>0.24558674092243316</v>
      </c>
      <c r="W104" s="292">
        <v>79775.806930645005</v>
      </c>
      <c r="X104" s="374"/>
    </row>
    <row r="105" spans="3:24" hidden="1" outlineLevel="1" x14ac:dyDescent="0.2">
      <c r="C105" s="305" t="s">
        <v>901</v>
      </c>
      <c r="D105" s="21">
        <v>8421.5216627940008</v>
      </c>
      <c r="E105" s="21">
        <v>15680.120868795</v>
      </c>
      <c r="F105" s="330">
        <f t="shared" si="23"/>
        <v>7258.5992060009994</v>
      </c>
      <c r="G105" s="344">
        <f t="shared" si="24"/>
        <v>0.86191064948146445</v>
      </c>
      <c r="H105" s="21">
        <v>23514.097173025002</v>
      </c>
      <c r="I105" s="330">
        <f t="shared" si="25"/>
        <v>7833.9763042300019</v>
      </c>
      <c r="J105" s="344">
        <f t="shared" si="26"/>
        <v>0.33316083737278313</v>
      </c>
      <c r="K105" s="21">
        <v>30745.621729602</v>
      </c>
      <c r="L105" s="330">
        <f t="shared" si="27"/>
        <v>7231.5245565769983</v>
      </c>
      <c r="M105" s="344">
        <f t="shared" si="28"/>
        <v>0.23520501943905917</v>
      </c>
      <c r="N105" s="21">
        <v>37596.947569949996</v>
      </c>
      <c r="O105" s="330">
        <f t="shared" si="29"/>
        <v>6851.3258403479958</v>
      </c>
      <c r="P105" s="344">
        <f t="shared" si="30"/>
        <v>0.18223090658093838</v>
      </c>
      <c r="Q105" s="21">
        <v>44298.660339444003</v>
      </c>
      <c r="R105" s="330">
        <f t="shared" si="31"/>
        <v>6701.7127694940064</v>
      </c>
      <c r="S105" s="344">
        <f t="shared" si="32"/>
        <v>0.1512847729060269</v>
      </c>
      <c r="T105" s="21">
        <v>51114.453268384998</v>
      </c>
      <c r="U105" s="330">
        <f t="shared" si="33"/>
        <v>6815.7929289409949</v>
      </c>
      <c r="V105" s="344">
        <f t="shared" si="34"/>
        <v>0.15386002368275095</v>
      </c>
      <c r="W105" s="134">
        <v>58436.361090028004</v>
      </c>
      <c r="X105" s="374"/>
    </row>
    <row r="106" spans="3:24" hidden="1" outlineLevel="1" x14ac:dyDescent="0.2">
      <c r="C106" s="305" t="s">
        <v>902</v>
      </c>
      <c r="D106" s="21">
        <v>7344.4519411800002</v>
      </c>
      <c r="E106" s="21">
        <v>13605.229464066</v>
      </c>
      <c r="F106" s="330">
        <f t="shared" si="23"/>
        <v>6260.777522886</v>
      </c>
      <c r="G106" s="344">
        <f t="shared" si="24"/>
        <v>0.85244992724128421</v>
      </c>
      <c r="H106" s="21">
        <v>20405.029738211997</v>
      </c>
      <c r="I106" s="330">
        <f t="shared" si="25"/>
        <v>6799.8002741459968</v>
      </c>
      <c r="J106" s="344">
        <f t="shared" si="26"/>
        <v>0.33324138025695588</v>
      </c>
      <c r="K106" s="21">
        <v>27023.579000015001</v>
      </c>
      <c r="L106" s="330">
        <f t="shared" si="27"/>
        <v>6618.5492618030039</v>
      </c>
      <c r="M106" s="344">
        <f t="shared" si="28"/>
        <v>0.24491756853521623</v>
      </c>
      <c r="N106" s="21">
        <v>33636.888702894998</v>
      </c>
      <c r="O106" s="330">
        <f t="shared" si="29"/>
        <v>6613.3097028799966</v>
      </c>
      <c r="P106" s="344">
        <f t="shared" si="30"/>
        <v>0.19660884100469181</v>
      </c>
      <c r="Q106" s="21">
        <v>40440.244946273</v>
      </c>
      <c r="R106" s="330">
        <f t="shared" si="31"/>
        <v>6803.3562433780025</v>
      </c>
      <c r="S106" s="344">
        <f t="shared" si="32"/>
        <v>0.16823232036345528</v>
      </c>
      <c r="T106" s="21">
        <v>47676.773110423994</v>
      </c>
      <c r="U106" s="330">
        <f t="shared" si="33"/>
        <v>7236.5281641509937</v>
      </c>
      <c r="V106" s="344">
        <f t="shared" si="34"/>
        <v>0.17894372731335093</v>
      </c>
      <c r="W106" s="134">
        <v>55724.061606458999</v>
      </c>
      <c r="X106" s="374"/>
    </row>
    <row r="107" spans="3:24" hidden="1" outlineLevel="1" x14ac:dyDescent="0.2">
      <c r="C107" s="305" t="s">
        <v>903</v>
      </c>
      <c r="D107" s="21">
        <v>3919.332677465</v>
      </c>
      <c r="E107" s="21">
        <v>7280.9931397170003</v>
      </c>
      <c r="F107" s="330">
        <f t="shared" si="23"/>
        <v>3361.6604622520003</v>
      </c>
      <c r="G107" s="344">
        <f t="shared" si="24"/>
        <v>0.85771245742433411</v>
      </c>
      <c r="H107" s="21">
        <v>11365.108379978999</v>
      </c>
      <c r="I107" s="330">
        <f t="shared" si="25"/>
        <v>4084.1152402619991</v>
      </c>
      <c r="J107" s="344">
        <f t="shared" si="26"/>
        <v>0.359355591140394</v>
      </c>
      <c r="K107" s="21">
        <v>15626.388570236</v>
      </c>
      <c r="L107" s="330">
        <f t="shared" si="27"/>
        <v>4261.2801902570009</v>
      </c>
      <c r="M107" s="344">
        <f t="shared" si="28"/>
        <v>0.27269769794241361</v>
      </c>
      <c r="N107" s="21">
        <v>20127.255253837</v>
      </c>
      <c r="O107" s="330">
        <f t="shared" si="29"/>
        <v>4500.8666836009997</v>
      </c>
      <c r="P107" s="344">
        <f t="shared" si="30"/>
        <v>0.2236204900687076</v>
      </c>
      <c r="Q107" s="21">
        <v>24944.819817062998</v>
      </c>
      <c r="R107" s="330">
        <f t="shared" si="31"/>
        <v>4817.5645632259984</v>
      </c>
      <c r="S107" s="344">
        <f t="shared" si="32"/>
        <v>0.1931288579575404</v>
      </c>
      <c r="T107" s="21">
        <v>30192.699068958002</v>
      </c>
      <c r="U107" s="330">
        <f t="shared" si="33"/>
        <v>5247.8792518950031</v>
      </c>
      <c r="V107" s="344">
        <f t="shared" si="34"/>
        <v>0.21037952129464962</v>
      </c>
      <c r="W107" s="134">
        <v>36084.638257485996</v>
      </c>
      <c r="X107" s="374"/>
    </row>
    <row r="108" spans="3:24" hidden="1" outlineLevel="1" x14ac:dyDescent="0.2">
      <c r="C108" s="305" t="s">
        <v>904</v>
      </c>
      <c r="D108" s="284">
        <v>8176.3609406159994</v>
      </c>
      <c r="E108" s="284">
        <v>15464.731333714</v>
      </c>
      <c r="F108" s="330">
        <f t="shared" si="23"/>
        <v>7288.3703930980009</v>
      </c>
      <c r="G108" s="344">
        <f t="shared" si="24"/>
        <v>0.89139538310901689</v>
      </c>
      <c r="H108" s="284">
        <v>24232.680078714002</v>
      </c>
      <c r="I108" s="330">
        <f t="shared" si="25"/>
        <v>8767.9487450000015</v>
      </c>
      <c r="J108" s="344">
        <f t="shared" si="26"/>
        <v>0.36182331943967566</v>
      </c>
      <c r="K108" s="284">
        <v>33367.127992431</v>
      </c>
      <c r="L108" s="330">
        <f t="shared" si="27"/>
        <v>9134.4479137169983</v>
      </c>
      <c r="M108" s="344">
        <f t="shared" si="28"/>
        <v>0.27375589279931606</v>
      </c>
      <c r="N108" s="284">
        <v>42982.372459762002</v>
      </c>
      <c r="O108" s="330">
        <f t="shared" si="29"/>
        <v>9615.2444673310019</v>
      </c>
      <c r="P108" s="344">
        <f t="shared" si="30"/>
        <v>0.2237020414899695</v>
      </c>
      <c r="Q108" s="284">
        <v>53217.969875769995</v>
      </c>
      <c r="R108" s="330">
        <f t="shared" si="31"/>
        <v>10235.597416007993</v>
      </c>
      <c r="S108" s="344">
        <f t="shared" si="32"/>
        <v>0.1923334813391338</v>
      </c>
      <c r="T108" s="284">
        <v>64272.774110658007</v>
      </c>
      <c r="U108" s="330">
        <f t="shared" si="33"/>
        <v>11054.804234888012</v>
      </c>
      <c r="V108" s="344">
        <f t="shared" si="34"/>
        <v>0.20772690616898626</v>
      </c>
      <c r="W108" s="292">
        <v>76532.629894850004</v>
      </c>
      <c r="X108" s="374"/>
    </row>
    <row r="109" spans="3:24" hidden="1" outlineLevel="1" x14ac:dyDescent="0.2">
      <c r="C109" s="305" t="s">
        <v>905</v>
      </c>
      <c r="D109" s="21">
        <v>5592.6700025219998</v>
      </c>
      <c r="E109" s="21">
        <v>8670.2958653710011</v>
      </c>
      <c r="F109" s="330">
        <f t="shared" si="23"/>
        <v>3077.6258628490014</v>
      </c>
      <c r="G109" s="344">
        <f t="shared" si="24"/>
        <v>0.55029634529860583</v>
      </c>
      <c r="H109" s="21">
        <v>11588.135574423999</v>
      </c>
      <c r="I109" s="330">
        <f t="shared" si="25"/>
        <v>2917.8397090529979</v>
      </c>
      <c r="J109" s="344">
        <f t="shared" si="26"/>
        <v>0.25179544114869679</v>
      </c>
      <c r="K109" s="21">
        <v>15017.358848936999</v>
      </c>
      <c r="L109" s="330">
        <f t="shared" si="27"/>
        <v>3429.2232745130004</v>
      </c>
      <c r="M109" s="344">
        <f t="shared" si="28"/>
        <v>0.22835062470094317</v>
      </c>
      <c r="N109" s="21">
        <v>19015.277823459001</v>
      </c>
      <c r="O109" s="330">
        <f t="shared" si="29"/>
        <v>3997.918974522001</v>
      </c>
      <c r="P109" s="344">
        <f t="shared" si="30"/>
        <v>0.21024772878100154</v>
      </c>
      <c r="Q109" s="21">
        <v>23665.769813651001</v>
      </c>
      <c r="R109" s="330">
        <f t="shared" si="31"/>
        <v>4650.4919901920002</v>
      </c>
      <c r="S109" s="344">
        <f t="shared" si="32"/>
        <v>0.1965071082331529</v>
      </c>
      <c r="T109" s="21">
        <v>29107.240316878997</v>
      </c>
      <c r="U109" s="330">
        <f t="shared" si="33"/>
        <v>5441.4705032279962</v>
      </c>
      <c r="V109" s="344">
        <f t="shared" si="34"/>
        <v>0.22993000211170911</v>
      </c>
      <c r="W109" s="134">
        <v>35636.212925833999</v>
      </c>
      <c r="X109" s="440"/>
    </row>
    <row r="110" spans="3:24" hidden="1" outlineLevel="1" x14ac:dyDescent="0.2">
      <c r="C110" s="305" t="s">
        <v>906</v>
      </c>
      <c r="D110" s="21">
        <v>5001.6878258489996</v>
      </c>
      <c r="E110" s="21">
        <v>9374.0850012080009</v>
      </c>
      <c r="F110" s="330">
        <f t="shared" si="23"/>
        <v>4372.3971753590013</v>
      </c>
      <c r="G110" s="344">
        <f t="shared" si="24"/>
        <v>0.87418434088633257</v>
      </c>
      <c r="H110" s="21">
        <v>14626.82050109</v>
      </c>
      <c r="I110" s="330">
        <f t="shared" si="25"/>
        <v>5252.7354998819992</v>
      </c>
      <c r="J110" s="344">
        <f t="shared" si="26"/>
        <v>0.35911669931893686</v>
      </c>
      <c r="K110" s="21">
        <v>20094.134129193</v>
      </c>
      <c r="L110" s="330">
        <f t="shared" si="27"/>
        <v>5467.3136281030002</v>
      </c>
      <c r="M110" s="344">
        <f t="shared" si="28"/>
        <v>0.27208505691021645</v>
      </c>
      <c r="N110" s="21">
        <v>25841.749180692001</v>
      </c>
      <c r="O110" s="330">
        <f t="shared" si="29"/>
        <v>5747.6150514990004</v>
      </c>
      <c r="P110" s="344">
        <f t="shared" si="30"/>
        <v>0.22241586710366362</v>
      </c>
      <c r="Q110" s="21">
        <v>31948.313170285997</v>
      </c>
      <c r="R110" s="330">
        <f t="shared" si="31"/>
        <v>6106.5639895939967</v>
      </c>
      <c r="S110" s="344">
        <f t="shared" si="32"/>
        <v>0.19113885471967568</v>
      </c>
      <c r="T110" s="21">
        <v>38525.075083039999</v>
      </c>
      <c r="U110" s="330">
        <f t="shared" si="33"/>
        <v>6576.761912754002</v>
      </c>
      <c r="V110" s="344">
        <f t="shared" si="34"/>
        <v>0.20585631165249804</v>
      </c>
      <c r="W110" s="134">
        <v>45786.739134092997</v>
      </c>
      <c r="X110" s="440"/>
    </row>
    <row r="111" spans="3:24" ht="15" hidden="1" outlineLevel="1" thickBot="1" x14ac:dyDescent="0.25">
      <c r="C111" s="306" t="s">
        <v>907</v>
      </c>
      <c r="D111" s="299">
        <v>4262</v>
      </c>
      <c r="E111" s="299">
        <v>7778</v>
      </c>
      <c r="F111" s="343">
        <f t="shared" si="23"/>
        <v>3516</v>
      </c>
      <c r="G111" s="344">
        <f t="shared" si="24"/>
        <v>0.82496480525574845</v>
      </c>
      <c r="H111" s="299">
        <v>12195</v>
      </c>
      <c r="I111" s="343">
        <f t="shared" si="25"/>
        <v>4417</v>
      </c>
      <c r="J111" s="345">
        <f t="shared" si="26"/>
        <v>0.36219762197621974</v>
      </c>
      <c r="K111" s="299">
        <v>17089</v>
      </c>
      <c r="L111" s="343">
        <f t="shared" si="27"/>
        <v>4894</v>
      </c>
      <c r="M111" s="345">
        <f t="shared" si="28"/>
        <v>0.28638305342618059</v>
      </c>
      <c r="N111" s="299">
        <v>22497</v>
      </c>
      <c r="O111" s="343">
        <f t="shared" si="29"/>
        <v>5408</v>
      </c>
      <c r="P111" s="345">
        <f t="shared" si="30"/>
        <v>0.24038760723652042</v>
      </c>
      <c r="Q111" s="299">
        <v>28479</v>
      </c>
      <c r="R111" s="343">
        <f t="shared" si="31"/>
        <v>5982</v>
      </c>
      <c r="S111" s="345">
        <f t="shared" si="32"/>
        <v>0.21004951016538503</v>
      </c>
      <c r="T111" s="299">
        <v>35136</v>
      </c>
      <c r="U111" s="330">
        <f t="shared" si="33"/>
        <v>6657</v>
      </c>
      <c r="V111" s="344">
        <f t="shared" si="34"/>
        <v>0.23375118508374593</v>
      </c>
      <c r="W111" s="304">
        <v>42693</v>
      </c>
      <c r="X111" s="440"/>
    </row>
    <row r="112" spans="3:24" s="336" customFormat="1" ht="7.5" hidden="1" customHeight="1" outlineLevel="1" thickBot="1" x14ac:dyDescent="0.25">
      <c r="C112" s="331"/>
      <c r="D112" s="335"/>
      <c r="E112" s="335"/>
      <c r="F112" s="340"/>
      <c r="G112" s="341"/>
      <c r="H112" s="335"/>
      <c r="I112" s="340"/>
      <c r="J112" s="341"/>
      <c r="K112" s="335"/>
      <c r="L112" s="340"/>
      <c r="M112" s="341"/>
      <c r="N112" s="335"/>
      <c r="O112" s="340"/>
      <c r="P112" s="341"/>
      <c r="Q112" s="335"/>
      <c r="R112" s="340"/>
      <c r="S112" s="341"/>
      <c r="T112" s="335"/>
      <c r="U112" s="340"/>
      <c r="V112" s="341"/>
      <c r="W112" s="335"/>
      <c r="X112" s="440"/>
    </row>
    <row r="113" spans="3:24" ht="19.5" collapsed="1" thickBot="1" x14ac:dyDescent="0.3">
      <c r="C113" s="285" t="s">
        <v>921</v>
      </c>
      <c r="D113" s="302">
        <f>SUM(D114:D125)</f>
        <v>3721248.6331189945</v>
      </c>
      <c r="E113" s="302">
        <f t="shared" ref="E113:W113" si="35">SUM(E114:E125)</f>
        <v>3902599.3642249904</v>
      </c>
      <c r="F113" s="342">
        <f t="shared" ref="F113:F125" si="36">E113-D113</f>
        <v>181350.73110599583</v>
      </c>
      <c r="G113" s="351">
        <f t="shared" ref="G113:G125" si="37">F113/D113</f>
        <v>4.8733838822802668E-2</v>
      </c>
      <c r="H113" s="302">
        <f t="shared" si="35"/>
        <v>4071040.8553759898</v>
      </c>
      <c r="I113" s="342">
        <f>H113-E113</f>
        <v>168441.49115099944</v>
      </c>
      <c r="J113" s="351">
        <f>I113/E113</f>
        <v>4.3161358733129887E-2</v>
      </c>
      <c r="K113" s="302">
        <f t="shared" si="35"/>
        <v>4221046.4680099897</v>
      </c>
      <c r="L113" s="342">
        <f>K113-H113</f>
        <v>150005.6126339999</v>
      </c>
      <c r="M113" s="351">
        <f>L113/H113</f>
        <v>3.6846992688838003E-2</v>
      </c>
      <c r="N113" s="302">
        <f t="shared" si="35"/>
        <v>4354339.4384209905</v>
      </c>
      <c r="O113" s="342">
        <f>N113-K113</f>
        <v>133292.97041100077</v>
      </c>
      <c r="P113" s="351">
        <f>O113/K113</f>
        <v>3.1578181245145512E-2</v>
      </c>
      <c r="Q113" s="302">
        <f t="shared" si="35"/>
        <v>4473070.8202789892</v>
      </c>
      <c r="R113" s="342">
        <f>Q113-N113</f>
        <v>118731.38185799867</v>
      </c>
      <c r="S113" s="351">
        <f>R113/N113</f>
        <v>2.7267369376479778E-2</v>
      </c>
      <c r="T113" s="302">
        <f t="shared" si="35"/>
        <v>4580303.5954789901</v>
      </c>
      <c r="U113" s="342">
        <f>T113-Q113</f>
        <v>107232.77520000096</v>
      </c>
      <c r="V113" s="351">
        <f>U113/Q113</f>
        <v>2.397296611398448E-2</v>
      </c>
      <c r="W113" s="303">
        <f t="shared" si="35"/>
        <v>4682415.1531719901</v>
      </c>
      <c r="X113" s="442">
        <f>(W113/E113)^(1/6)-1</f>
        <v>3.0827488648742296E-2</v>
      </c>
    </row>
    <row r="114" spans="3:24" hidden="1" outlineLevel="1" x14ac:dyDescent="0.2">
      <c r="C114" s="305" t="s">
        <v>896</v>
      </c>
      <c r="D114" s="284">
        <v>448885</v>
      </c>
      <c r="E114" s="284">
        <v>476323</v>
      </c>
      <c r="F114" s="330">
        <f t="shared" si="36"/>
        <v>27438</v>
      </c>
      <c r="G114" s="344">
        <f t="shared" si="37"/>
        <v>6.1124786972164363E-2</v>
      </c>
      <c r="H114" s="284">
        <v>502864</v>
      </c>
      <c r="I114" s="330">
        <f>H114-E114</f>
        <v>26541</v>
      </c>
      <c r="J114" s="344">
        <f>I114/E114</f>
        <v>5.5720592958979513E-2</v>
      </c>
      <c r="K114" s="284">
        <v>526922</v>
      </c>
      <c r="L114" s="330">
        <f>K114-H114</f>
        <v>24058</v>
      </c>
      <c r="M114" s="344">
        <f>L114/H114</f>
        <v>4.7841961245983007E-2</v>
      </c>
      <c r="N114" s="284">
        <v>548726</v>
      </c>
      <c r="O114" s="330">
        <f>N114-K114</f>
        <v>21804</v>
      </c>
      <c r="P114" s="344">
        <f>O114/K114</f>
        <v>4.1379938586735797E-2</v>
      </c>
      <c r="Q114" s="284">
        <v>568552</v>
      </c>
      <c r="R114" s="330">
        <f>Q114-N114</f>
        <v>19826</v>
      </c>
      <c r="S114" s="344">
        <f>R114/N114</f>
        <v>3.6130965181165098E-2</v>
      </c>
      <c r="T114" s="284">
        <v>586820</v>
      </c>
      <c r="U114" s="330">
        <f>T114-Q114</f>
        <v>18268</v>
      </c>
      <c r="V114" s="344">
        <f>U114/Q114</f>
        <v>3.2130746176251251E-2</v>
      </c>
      <c r="W114" s="292">
        <v>604556</v>
      </c>
      <c r="X114" s="441"/>
    </row>
    <row r="115" spans="3:24" hidden="1" outlineLevel="1" x14ac:dyDescent="0.2">
      <c r="C115" s="305" t="s">
        <v>897</v>
      </c>
      <c r="D115" s="284">
        <v>182420.03734504999</v>
      </c>
      <c r="E115" s="284">
        <v>193043.22790285002</v>
      </c>
      <c r="F115" s="330">
        <f t="shared" si="36"/>
        <v>10623.19055780003</v>
      </c>
      <c r="G115" s="344">
        <f t="shared" si="37"/>
        <v>5.8234778988155343E-2</v>
      </c>
      <c r="H115" s="284">
        <v>202763.44955784999</v>
      </c>
      <c r="I115" s="330">
        <f t="shared" ref="I115:I125" si="38">H115-E115</f>
        <v>9720.2216549999721</v>
      </c>
      <c r="J115" s="344">
        <f t="shared" ref="J115:J125" si="39">I115/E115</f>
        <v>5.035256486641284E-2</v>
      </c>
      <c r="K115" s="284">
        <v>211470.19113585001</v>
      </c>
      <c r="L115" s="330">
        <f t="shared" ref="L115:L125" si="40">K115-H115</f>
        <v>8706.7415780000156</v>
      </c>
      <c r="M115" s="344">
        <f t="shared" ref="M115:M125" si="41">L115/H115</f>
        <v>4.2940389882822123E-2</v>
      </c>
      <c r="N115" s="284">
        <v>219253.74743485003</v>
      </c>
      <c r="O115" s="330">
        <f t="shared" ref="O115:O125" si="42">N115-K115</f>
        <v>7783.556299000018</v>
      </c>
      <c r="P115" s="344">
        <f t="shared" ref="P115:P125" si="43">O115/K115</f>
        <v>3.6806872198832996E-2</v>
      </c>
      <c r="Q115" s="284">
        <v>226227.26548185002</v>
      </c>
      <c r="R115" s="330">
        <f t="shared" ref="R115:R125" si="44">Q115-N115</f>
        <v>6973.5180469999905</v>
      </c>
      <c r="S115" s="344">
        <f t="shared" ref="S115:S125" si="45">R115/N115</f>
        <v>3.1805696042080792E-2</v>
      </c>
      <c r="T115" s="284">
        <v>232569.89460785</v>
      </c>
      <c r="U115" s="330">
        <f t="shared" ref="U115:U125" si="46">T115-Q115</f>
        <v>6342.6291259999853</v>
      </c>
      <c r="V115" s="344">
        <f t="shared" ref="V115:V125" si="47">U115/Q115</f>
        <v>2.8036537118947973E-2</v>
      </c>
      <c r="W115" s="292">
        <v>238710.42740084999</v>
      </c>
      <c r="X115" s="440"/>
    </row>
    <row r="116" spans="3:24" hidden="1" outlineLevel="1" x14ac:dyDescent="0.2">
      <c r="C116" s="305" t="s">
        <v>898</v>
      </c>
      <c r="D116" s="21">
        <v>187053.67505153001</v>
      </c>
      <c r="E116" s="21">
        <v>198311.68548767001</v>
      </c>
      <c r="F116" s="330">
        <f t="shared" si="36"/>
        <v>11258.010436140001</v>
      </c>
      <c r="G116" s="344">
        <f t="shared" si="37"/>
        <v>6.0185989037844972E-2</v>
      </c>
      <c r="H116" s="21">
        <v>208739.39827667002</v>
      </c>
      <c r="I116" s="330">
        <f t="shared" si="38"/>
        <v>10427.712789000012</v>
      </c>
      <c r="J116" s="344">
        <f t="shared" si="39"/>
        <v>5.2582442448396986E-2</v>
      </c>
      <c r="K116" s="21">
        <v>218081.01703266997</v>
      </c>
      <c r="L116" s="330">
        <f t="shared" si="40"/>
        <v>9341.6187559999526</v>
      </c>
      <c r="M116" s="344">
        <f t="shared" si="41"/>
        <v>4.4752542323698116E-2</v>
      </c>
      <c r="N116" s="21">
        <v>226429.34482166998</v>
      </c>
      <c r="O116" s="330">
        <f t="shared" si="42"/>
        <v>8348.3277890000027</v>
      </c>
      <c r="P116" s="344">
        <f t="shared" si="43"/>
        <v>3.8280854989544408E-2</v>
      </c>
      <c r="Q116" s="21">
        <v>233899.48996467001</v>
      </c>
      <c r="R116" s="330">
        <f t="shared" si="44"/>
        <v>7470.1451430000307</v>
      </c>
      <c r="S116" s="344">
        <f t="shared" si="45"/>
        <v>3.2991064602882314E-2</v>
      </c>
      <c r="T116" s="21">
        <v>240812.53356166999</v>
      </c>
      <c r="U116" s="330">
        <f t="shared" si="46"/>
        <v>6913.0435969999817</v>
      </c>
      <c r="V116" s="344">
        <f t="shared" si="47"/>
        <v>2.9555616380540981E-2</v>
      </c>
      <c r="W116" s="134">
        <v>247313.97657166998</v>
      </c>
      <c r="X116" s="440"/>
    </row>
    <row r="117" spans="3:24" hidden="1" outlineLevel="1" x14ac:dyDescent="0.2">
      <c r="C117" s="305" t="s">
        <v>899</v>
      </c>
      <c r="D117" s="21">
        <v>159336.10651521999</v>
      </c>
      <c r="E117" s="21">
        <v>166520.64117995001</v>
      </c>
      <c r="F117" s="330">
        <f t="shared" si="36"/>
        <v>7184.5346647300175</v>
      </c>
      <c r="G117" s="344">
        <f t="shared" si="37"/>
        <v>4.5090436950295014E-2</v>
      </c>
      <c r="H117" s="21">
        <v>172837.93156995001</v>
      </c>
      <c r="I117" s="330">
        <f t="shared" si="38"/>
        <v>6317.2903900000092</v>
      </c>
      <c r="J117" s="344">
        <f t="shared" si="39"/>
        <v>3.7936980936635049E-2</v>
      </c>
      <c r="K117" s="21">
        <v>178408.03553295002</v>
      </c>
      <c r="L117" s="330">
        <f t="shared" si="40"/>
        <v>5570.1039630000014</v>
      </c>
      <c r="M117" s="344">
        <f t="shared" si="41"/>
        <v>3.2227323669085331E-2</v>
      </c>
      <c r="N117" s="21">
        <v>183304.09067695</v>
      </c>
      <c r="O117" s="330">
        <f t="shared" si="42"/>
        <v>4896.0551439999836</v>
      </c>
      <c r="P117" s="344">
        <f t="shared" si="43"/>
        <v>2.7443019196832844E-2</v>
      </c>
      <c r="Q117" s="21">
        <v>187689.43248795002</v>
      </c>
      <c r="R117" s="330">
        <f t="shared" si="44"/>
        <v>4385.3418110000202</v>
      </c>
      <c r="S117" s="344">
        <f t="shared" si="45"/>
        <v>2.3923862226995381E-2</v>
      </c>
      <c r="T117" s="21">
        <v>191512.14353394997</v>
      </c>
      <c r="U117" s="330">
        <f t="shared" si="46"/>
        <v>3822.7110459999531</v>
      </c>
      <c r="V117" s="344">
        <f t="shared" si="47"/>
        <v>2.036721511343148E-2</v>
      </c>
      <c r="W117" s="134">
        <v>195147.13881994999</v>
      </c>
      <c r="X117" s="440"/>
    </row>
    <row r="118" spans="3:24" hidden="1" outlineLevel="1" x14ac:dyDescent="0.2">
      <c r="C118" s="305" t="s">
        <v>900</v>
      </c>
      <c r="D118" s="284">
        <v>404137.14091397001</v>
      </c>
      <c r="E118" s="284">
        <v>423707.92503034999</v>
      </c>
      <c r="F118" s="330">
        <f t="shared" si="36"/>
        <v>19570.784116379975</v>
      </c>
      <c r="G118" s="344">
        <f t="shared" si="37"/>
        <v>4.8426096329874498E-2</v>
      </c>
      <c r="H118" s="284">
        <v>441256.42741334997</v>
      </c>
      <c r="I118" s="330">
        <f t="shared" si="38"/>
        <v>17548.502382999985</v>
      </c>
      <c r="J118" s="344">
        <f t="shared" si="39"/>
        <v>4.141650733047534E-2</v>
      </c>
      <c r="K118" s="284">
        <v>456247.95115235</v>
      </c>
      <c r="L118" s="330">
        <f t="shared" si="40"/>
        <v>14991.523739000026</v>
      </c>
      <c r="M118" s="344">
        <f t="shared" si="41"/>
        <v>3.3974629733736689E-2</v>
      </c>
      <c r="N118" s="284">
        <v>468916.99795835</v>
      </c>
      <c r="O118" s="330">
        <f t="shared" si="42"/>
        <v>12669.046805999998</v>
      </c>
      <c r="P118" s="344">
        <f t="shared" si="43"/>
        <v>2.7767898516588757E-2</v>
      </c>
      <c r="Q118" s="284">
        <v>479534.11032335</v>
      </c>
      <c r="R118" s="330">
        <f t="shared" si="44"/>
        <v>10617.112365000008</v>
      </c>
      <c r="S118" s="344">
        <f t="shared" si="45"/>
        <v>2.2641773301515161E-2</v>
      </c>
      <c r="T118" s="284">
        <v>488479.11533035</v>
      </c>
      <c r="U118" s="330">
        <f t="shared" si="46"/>
        <v>8945.0050069999998</v>
      </c>
      <c r="V118" s="344">
        <f t="shared" si="47"/>
        <v>1.8653532281506274E-2</v>
      </c>
      <c r="W118" s="292">
        <v>496553.01529635</v>
      </c>
      <c r="X118" s="440"/>
    </row>
    <row r="119" spans="3:24" hidden="1" outlineLevel="1" x14ac:dyDescent="0.2">
      <c r="C119" s="305" t="s">
        <v>901</v>
      </c>
      <c r="D119" s="21">
        <v>509222.779248762</v>
      </c>
      <c r="E119" s="21">
        <v>520732.71721372003</v>
      </c>
      <c r="F119" s="330">
        <f t="shared" si="36"/>
        <v>11509.937964958022</v>
      </c>
      <c r="G119" s="344">
        <f t="shared" si="37"/>
        <v>2.2602951859180806E-2</v>
      </c>
      <c r="H119" s="21">
        <v>530550.10419771995</v>
      </c>
      <c r="I119" s="330">
        <f t="shared" si="38"/>
        <v>9817.3869839999243</v>
      </c>
      <c r="J119" s="344">
        <f t="shared" si="39"/>
        <v>1.885302509227715E-2</v>
      </c>
      <c r="K119" s="21">
        <v>538589.29750771995</v>
      </c>
      <c r="L119" s="330">
        <f t="shared" si="40"/>
        <v>8039.1933100000024</v>
      </c>
      <c r="M119" s="344">
        <f t="shared" si="41"/>
        <v>1.515256192844708E-2</v>
      </c>
      <c r="N119" s="21">
        <v>545028.96507772</v>
      </c>
      <c r="O119" s="330">
        <f t="shared" si="42"/>
        <v>6439.6675700000487</v>
      </c>
      <c r="P119" s="344">
        <f t="shared" si="43"/>
        <v>1.1956545738653013E-2</v>
      </c>
      <c r="Q119" s="21">
        <v>550078.60850871995</v>
      </c>
      <c r="R119" s="330">
        <f t="shared" si="44"/>
        <v>5049.6434309999458</v>
      </c>
      <c r="S119" s="344">
        <f t="shared" si="45"/>
        <v>9.2649083893731731E-3</v>
      </c>
      <c r="T119" s="21">
        <v>553974.28935272002</v>
      </c>
      <c r="U119" s="330">
        <f t="shared" si="46"/>
        <v>3895.680844000075</v>
      </c>
      <c r="V119" s="344">
        <f t="shared" si="47"/>
        <v>7.082043881985133E-3</v>
      </c>
      <c r="W119" s="134">
        <v>557267.49374972004</v>
      </c>
      <c r="X119" s="440"/>
    </row>
    <row r="120" spans="3:24" hidden="1" outlineLevel="1" x14ac:dyDescent="0.2">
      <c r="C120" s="305" t="s">
        <v>902</v>
      </c>
      <c r="D120" s="21">
        <v>571012.70979308302</v>
      </c>
      <c r="E120" s="21">
        <v>596232.37972239999</v>
      </c>
      <c r="F120" s="330">
        <f t="shared" si="36"/>
        <v>25219.669929316966</v>
      </c>
      <c r="G120" s="344">
        <f t="shared" si="37"/>
        <v>4.4166564941182797E-2</v>
      </c>
      <c r="H120" s="21">
        <v>620667.5271224</v>
      </c>
      <c r="I120" s="330">
        <f t="shared" si="38"/>
        <v>24435.147400000016</v>
      </c>
      <c r="J120" s="344">
        <f t="shared" si="39"/>
        <v>4.098259039768485E-2</v>
      </c>
      <c r="K120" s="21">
        <v>642944.27968239994</v>
      </c>
      <c r="L120" s="330">
        <f t="shared" si="40"/>
        <v>22276.752559999935</v>
      </c>
      <c r="M120" s="344">
        <f t="shared" si="41"/>
        <v>3.5891603131360215E-2</v>
      </c>
      <c r="N120" s="21">
        <v>663304.01136239991</v>
      </c>
      <c r="O120" s="330">
        <f t="shared" si="42"/>
        <v>20359.731679999968</v>
      </c>
      <c r="P120" s="344">
        <f t="shared" si="43"/>
        <v>3.1666401464925109E-2</v>
      </c>
      <c r="Q120" s="21">
        <v>682022.01979240007</v>
      </c>
      <c r="R120" s="330">
        <f t="shared" si="44"/>
        <v>18718.008430000162</v>
      </c>
      <c r="S120" s="344">
        <f t="shared" si="45"/>
        <v>2.8219350568307468E-2</v>
      </c>
      <c r="T120" s="21">
        <v>699475.27782239998</v>
      </c>
      <c r="U120" s="330">
        <f t="shared" si="46"/>
        <v>17453.25802999991</v>
      </c>
      <c r="V120" s="344">
        <f t="shared" si="47"/>
        <v>2.559046119260561E-2</v>
      </c>
      <c r="W120" s="134">
        <v>716406.94344239996</v>
      </c>
      <c r="X120" s="440"/>
    </row>
    <row r="121" spans="3:24" hidden="1" outlineLevel="1" x14ac:dyDescent="0.2">
      <c r="C121" s="305" t="s">
        <v>903</v>
      </c>
      <c r="D121" s="21">
        <v>176055.63046074999</v>
      </c>
      <c r="E121" s="21">
        <v>185637.21715799</v>
      </c>
      <c r="F121" s="330">
        <f t="shared" si="36"/>
        <v>9581.5866972400108</v>
      </c>
      <c r="G121" s="344">
        <f t="shared" si="37"/>
        <v>5.4423631167968459E-2</v>
      </c>
      <c r="H121" s="21">
        <v>194476.58631598999</v>
      </c>
      <c r="I121" s="330">
        <f t="shared" si="38"/>
        <v>8839.3691579999868</v>
      </c>
      <c r="J121" s="344">
        <f t="shared" si="39"/>
        <v>4.7616363212755322E-2</v>
      </c>
      <c r="K121" s="21">
        <v>202400.09719299001</v>
      </c>
      <c r="L121" s="330">
        <f t="shared" si="40"/>
        <v>7923.5108770000224</v>
      </c>
      <c r="M121" s="344">
        <f t="shared" si="41"/>
        <v>4.0742749690832816E-2</v>
      </c>
      <c r="N121" s="21">
        <v>209491.18154599</v>
      </c>
      <c r="O121" s="330">
        <f t="shared" si="42"/>
        <v>7091.0843529999838</v>
      </c>
      <c r="P121" s="344">
        <f t="shared" si="43"/>
        <v>3.5034984920183025E-2</v>
      </c>
      <c r="Q121" s="21">
        <v>215854.44962399002</v>
      </c>
      <c r="R121" s="330">
        <f t="shared" si="44"/>
        <v>6363.2680780000228</v>
      </c>
      <c r="S121" s="344">
        <f t="shared" si="45"/>
        <v>3.037487320965385E-2</v>
      </c>
      <c r="T121" s="21">
        <v>221780.94857899001</v>
      </c>
      <c r="U121" s="330">
        <f t="shared" si="46"/>
        <v>5926.4989549999882</v>
      </c>
      <c r="V121" s="344">
        <f t="shared" si="47"/>
        <v>2.745599622951353E-2</v>
      </c>
      <c r="W121" s="134">
        <v>227415.31560698999</v>
      </c>
      <c r="X121" s="440"/>
    </row>
    <row r="122" spans="3:24" hidden="1" outlineLevel="1" x14ac:dyDescent="0.2">
      <c r="C122" s="305" t="s">
        <v>904</v>
      </c>
      <c r="D122" s="284">
        <v>367979.73202969</v>
      </c>
      <c r="E122" s="284">
        <v>385629.66589817998</v>
      </c>
      <c r="F122" s="330">
        <f t="shared" si="36"/>
        <v>17649.933868489985</v>
      </c>
      <c r="G122" s="344">
        <f t="shared" si="37"/>
        <v>4.7964418505163545E-2</v>
      </c>
      <c r="H122" s="284">
        <v>401188.78049218003</v>
      </c>
      <c r="I122" s="330">
        <f t="shared" si="38"/>
        <v>15559.114594000042</v>
      </c>
      <c r="J122" s="344">
        <f t="shared" si="39"/>
        <v>4.0347296823653095E-2</v>
      </c>
      <c r="K122" s="284">
        <v>414962.32333817997</v>
      </c>
      <c r="L122" s="330">
        <f t="shared" si="40"/>
        <v>13773.542845999938</v>
      </c>
      <c r="M122" s="344">
        <f t="shared" si="41"/>
        <v>3.4331824606616615E-2</v>
      </c>
      <c r="N122" s="284">
        <v>427110.53604718007</v>
      </c>
      <c r="O122" s="330">
        <f t="shared" si="42"/>
        <v>12148.212709000101</v>
      </c>
      <c r="P122" s="344">
        <f t="shared" si="43"/>
        <v>2.9275459543587835E-2</v>
      </c>
      <c r="Q122" s="284">
        <v>437849.05053218</v>
      </c>
      <c r="R122" s="330">
        <f t="shared" si="44"/>
        <v>10738.514484999934</v>
      </c>
      <c r="S122" s="344">
        <f t="shared" si="45"/>
        <v>2.5142237380474552E-2</v>
      </c>
      <c r="T122" s="284">
        <v>447447.09627018002</v>
      </c>
      <c r="U122" s="330">
        <f t="shared" si="46"/>
        <v>9598.0457380000153</v>
      </c>
      <c r="V122" s="344">
        <f t="shared" si="47"/>
        <v>2.1920901110403575E-2</v>
      </c>
      <c r="W122" s="292">
        <v>456553.30661317997</v>
      </c>
      <c r="X122" s="440"/>
    </row>
    <row r="123" spans="3:24" hidden="1" outlineLevel="1" x14ac:dyDescent="0.2">
      <c r="C123" s="305" t="s">
        <v>905</v>
      </c>
      <c r="D123" s="21">
        <v>312312.37953715998</v>
      </c>
      <c r="E123" s="21">
        <v>329780.52883869002</v>
      </c>
      <c r="F123" s="330">
        <f t="shared" si="36"/>
        <v>17468.149301530037</v>
      </c>
      <c r="G123" s="344">
        <f t="shared" si="37"/>
        <v>5.5931658320484912E-2</v>
      </c>
      <c r="H123" s="21">
        <v>346909.88859968999</v>
      </c>
      <c r="I123" s="330">
        <f t="shared" si="38"/>
        <v>17129.359760999971</v>
      </c>
      <c r="J123" s="344">
        <f t="shared" si="39"/>
        <v>5.1941695349086797E-2</v>
      </c>
      <c r="K123" s="21">
        <v>362122.40004469</v>
      </c>
      <c r="L123" s="330">
        <f t="shared" si="40"/>
        <v>15212.511445000011</v>
      </c>
      <c r="M123" s="344">
        <f t="shared" si="41"/>
        <v>4.3851478279865921E-2</v>
      </c>
      <c r="N123" s="21">
        <v>375557.26933868998</v>
      </c>
      <c r="O123" s="330">
        <f t="shared" si="42"/>
        <v>13434.869293999975</v>
      </c>
      <c r="P123" s="344">
        <f t="shared" si="43"/>
        <v>3.7100354168485464E-2</v>
      </c>
      <c r="Q123" s="21">
        <v>387385.15991468995</v>
      </c>
      <c r="R123" s="330">
        <f t="shared" si="44"/>
        <v>11827.890575999976</v>
      </c>
      <c r="S123" s="344">
        <f t="shared" si="45"/>
        <v>3.1494239471991668E-2</v>
      </c>
      <c r="T123" s="21">
        <v>397862.28212068998</v>
      </c>
      <c r="U123" s="330">
        <f t="shared" si="46"/>
        <v>10477.122206000029</v>
      </c>
      <c r="V123" s="344">
        <f t="shared" si="47"/>
        <v>2.7045750044496549E-2</v>
      </c>
      <c r="W123" s="134">
        <v>407625.74650069</v>
      </c>
      <c r="X123" s="440"/>
    </row>
    <row r="124" spans="3:24" hidden="1" outlineLevel="1" x14ac:dyDescent="0.2">
      <c r="C124" s="305" t="s">
        <v>906</v>
      </c>
      <c r="D124" s="21">
        <v>209258.44222378</v>
      </c>
      <c r="E124" s="21">
        <v>218808.37579319</v>
      </c>
      <c r="F124" s="330">
        <f t="shared" si="36"/>
        <v>9549.9335694100009</v>
      </c>
      <c r="G124" s="344">
        <f t="shared" si="37"/>
        <v>4.5637028871682729E-2</v>
      </c>
      <c r="H124" s="21">
        <v>227161.76183019002</v>
      </c>
      <c r="I124" s="330">
        <f t="shared" si="38"/>
        <v>8353.3860370000184</v>
      </c>
      <c r="J124" s="344">
        <f t="shared" si="39"/>
        <v>3.8176719728934626E-2</v>
      </c>
      <c r="K124" s="21">
        <v>234542.87539018999</v>
      </c>
      <c r="L124" s="330">
        <f t="shared" si="40"/>
        <v>7381.1135599999689</v>
      </c>
      <c r="M124" s="344">
        <f t="shared" si="41"/>
        <v>3.2492764189413027E-2</v>
      </c>
      <c r="N124" s="21">
        <v>241047.29415719002</v>
      </c>
      <c r="O124" s="330">
        <f t="shared" si="42"/>
        <v>6504.4187670000247</v>
      </c>
      <c r="P124" s="344">
        <f t="shared" si="43"/>
        <v>2.7732322954509489E-2</v>
      </c>
      <c r="Q124" s="21">
        <v>246770.23364918999</v>
      </c>
      <c r="R124" s="330">
        <f t="shared" si="44"/>
        <v>5722.9394919999759</v>
      </c>
      <c r="S124" s="344">
        <f t="shared" si="45"/>
        <v>2.3741977739306103E-2</v>
      </c>
      <c r="T124" s="21">
        <v>251881.01430019</v>
      </c>
      <c r="U124" s="330">
        <f t="shared" si="46"/>
        <v>5110.7806510000082</v>
      </c>
      <c r="V124" s="344">
        <f t="shared" si="47"/>
        <v>2.0710685301962004E-2</v>
      </c>
      <c r="W124" s="134">
        <v>256753.78917018999</v>
      </c>
      <c r="X124" s="440"/>
    </row>
    <row r="125" spans="3:24" ht="15" hidden="1" outlineLevel="1" thickBot="1" x14ac:dyDescent="0.25">
      <c r="C125" s="306" t="s">
        <v>907</v>
      </c>
      <c r="D125" s="299">
        <v>193575</v>
      </c>
      <c r="E125" s="299">
        <v>207872</v>
      </c>
      <c r="F125" s="343">
        <f t="shared" si="36"/>
        <v>14297</v>
      </c>
      <c r="G125" s="344">
        <f t="shared" si="37"/>
        <v>7.3857677902621724E-2</v>
      </c>
      <c r="H125" s="299">
        <v>221625</v>
      </c>
      <c r="I125" s="343">
        <f t="shared" si="38"/>
        <v>13753</v>
      </c>
      <c r="J125" s="344">
        <f t="shared" si="39"/>
        <v>6.6160906711822662E-2</v>
      </c>
      <c r="K125" s="299">
        <v>234356</v>
      </c>
      <c r="L125" s="343">
        <f t="shared" si="40"/>
        <v>12731</v>
      </c>
      <c r="M125" s="344">
        <f t="shared" si="41"/>
        <v>5.7443880428652005E-2</v>
      </c>
      <c r="N125" s="299">
        <v>246170</v>
      </c>
      <c r="O125" s="343">
        <f t="shared" si="42"/>
        <v>11814</v>
      </c>
      <c r="P125" s="344">
        <f t="shared" si="43"/>
        <v>5.0410486610114526E-2</v>
      </c>
      <c r="Q125" s="299">
        <v>257209</v>
      </c>
      <c r="R125" s="343">
        <f t="shared" si="44"/>
        <v>11039</v>
      </c>
      <c r="S125" s="344">
        <f t="shared" si="45"/>
        <v>4.4842994678474225E-2</v>
      </c>
      <c r="T125" s="299">
        <v>267689</v>
      </c>
      <c r="U125" s="330">
        <f t="shared" si="46"/>
        <v>10480</v>
      </c>
      <c r="V125" s="344">
        <f t="shared" si="47"/>
        <v>4.0745075016815117E-2</v>
      </c>
      <c r="W125" s="304">
        <v>278112</v>
      </c>
      <c r="X125" s="440"/>
    </row>
    <row r="126" spans="3:24" s="336" customFormat="1" ht="6" hidden="1" customHeight="1" outlineLevel="1" thickBot="1" x14ac:dyDescent="0.25">
      <c r="C126" s="331"/>
      <c r="D126" s="335"/>
      <c r="E126" s="335"/>
      <c r="F126" s="333"/>
      <c r="G126" s="333"/>
      <c r="H126" s="335"/>
      <c r="I126" s="333"/>
      <c r="J126" s="333"/>
      <c r="K126" s="335"/>
      <c r="L126" s="335"/>
      <c r="M126" s="335"/>
      <c r="N126" s="335"/>
      <c r="O126" s="335"/>
      <c r="P126" s="335"/>
      <c r="Q126" s="335"/>
      <c r="R126" s="335"/>
      <c r="S126" s="335"/>
      <c r="T126" s="335"/>
      <c r="U126" s="335"/>
      <c r="V126" s="335"/>
      <c r="W126" s="335"/>
      <c r="X126" s="440"/>
    </row>
    <row r="127" spans="3:24" ht="18.75" collapsed="1" x14ac:dyDescent="0.25">
      <c r="C127" s="285" t="s">
        <v>922</v>
      </c>
      <c r="D127" s="302">
        <f>SUM(D128:D139)</f>
        <v>1949.4111080540001</v>
      </c>
      <c r="E127" s="302">
        <f t="shared" ref="E127" si="48">SUM(E128:E139)</f>
        <v>3811.8388608139999</v>
      </c>
      <c r="F127" s="342">
        <f t="shared" ref="F127:F139" si="49">E127-D127</f>
        <v>1862.4277527599997</v>
      </c>
      <c r="G127" s="351">
        <f t="shared" ref="G127:G139" si="50">F127/D127</f>
        <v>0.95537967597772055</v>
      </c>
      <c r="H127" s="302">
        <f t="shared" ref="H127" si="51">SUM(H128:H139)</f>
        <v>5606.6824251279995</v>
      </c>
      <c r="I127" s="342">
        <f>H127-E127</f>
        <v>1794.8435643139997</v>
      </c>
      <c r="J127" s="351">
        <f>I127/E127</f>
        <v>0.47086029337838259</v>
      </c>
      <c r="K127" s="302">
        <f t="shared" ref="K127" si="52">SUM(K128:K139)</f>
        <v>10992.001502575</v>
      </c>
      <c r="L127" s="342">
        <f>K127-H127</f>
        <v>5385.3190774470004</v>
      </c>
      <c r="M127" s="351">
        <f>L127/H127</f>
        <v>0.96051794432142368</v>
      </c>
      <c r="N127" s="302">
        <f t="shared" ref="N127" si="53">SUM(N128:N139)</f>
        <v>19796.746104436999</v>
      </c>
      <c r="O127" s="342">
        <f>N127-K127</f>
        <v>8804.7446018619994</v>
      </c>
      <c r="P127" s="351">
        <f>O127/K127</f>
        <v>0.80101377349697311</v>
      </c>
      <c r="Q127" s="302">
        <f t="shared" ref="Q127" si="54">SUM(Q128:Q139)</f>
        <v>31874.160717532002</v>
      </c>
      <c r="R127" s="342">
        <f>Q127-N127</f>
        <v>12077.414613095003</v>
      </c>
      <c r="S127" s="351">
        <f>N127/R127</f>
        <v>1.6391543007037508</v>
      </c>
      <c r="T127" s="302">
        <f t="shared" ref="T127" si="55">SUM(T128:T139)</f>
        <v>47130.753345997007</v>
      </c>
      <c r="U127" s="342">
        <f>T127-Q127</f>
        <v>15256.592628465005</v>
      </c>
      <c r="V127" s="351">
        <f>U127/Q127</f>
        <v>0.4786508031903503</v>
      </c>
      <c r="W127" s="303">
        <f t="shared" ref="W127" si="56">SUM(W128:W139)</f>
        <v>65553.039589294</v>
      </c>
      <c r="X127" s="442">
        <f>(W127/E127)^(1/6)-1</f>
        <v>0.60660722912625564</v>
      </c>
    </row>
    <row r="128" spans="3:24" hidden="1" outlineLevel="1" x14ac:dyDescent="0.2">
      <c r="C128" s="305" t="s">
        <v>896</v>
      </c>
      <c r="D128" s="284">
        <v>204</v>
      </c>
      <c r="E128" s="284">
        <v>405</v>
      </c>
      <c r="F128" s="330">
        <f t="shared" si="49"/>
        <v>201</v>
      </c>
      <c r="G128" s="344">
        <f t="shared" si="50"/>
        <v>0.98529411764705888</v>
      </c>
      <c r="H128" s="284">
        <v>605</v>
      </c>
      <c r="I128" s="330">
        <f>H128-E128</f>
        <v>200</v>
      </c>
      <c r="J128" s="344">
        <f>I128/E128</f>
        <v>0.49382716049382713</v>
      </c>
      <c r="K128" s="284">
        <v>1202</v>
      </c>
      <c r="L128" s="330">
        <f>K128-H128</f>
        <v>597</v>
      </c>
      <c r="M128" s="344">
        <f>L128/H128</f>
        <v>0.98677685950413219</v>
      </c>
      <c r="N128" s="284">
        <v>2189</v>
      </c>
      <c r="O128" s="330">
        <f>N128-K128</f>
        <v>987</v>
      </c>
      <c r="P128" s="344">
        <f>O128/K128</f>
        <v>0.82113144758735446</v>
      </c>
      <c r="Q128" s="284">
        <v>3558</v>
      </c>
      <c r="R128" s="330">
        <f>Q128-N128</f>
        <v>1369</v>
      </c>
      <c r="S128" s="344">
        <f>R128/N128</f>
        <v>0.62539972590223847</v>
      </c>
      <c r="T128" s="284">
        <v>5308</v>
      </c>
      <c r="U128" s="330">
        <f>T128-Q128</f>
        <v>1750</v>
      </c>
      <c r="V128" s="344">
        <f>U128/Q128</f>
        <v>0.491849353569421</v>
      </c>
      <c r="W128" s="292">
        <v>7446</v>
      </c>
      <c r="X128" s="440"/>
    </row>
    <row r="129" spans="2:24" hidden="1" outlineLevel="1" x14ac:dyDescent="0.2">
      <c r="C129" s="305" t="s">
        <v>897</v>
      </c>
      <c r="D129" s="284">
        <v>109.50014734200001</v>
      </c>
      <c r="E129" s="284">
        <v>214.95163149999999</v>
      </c>
      <c r="F129" s="330">
        <f t="shared" si="49"/>
        <v>105.45148415799999</v>
      </c>
      <c r="G129" s="344">
        <f t="shared" si="50"/>
        <v>0.96302595674730096</v>
      </c>
      <c r="H129" s="284">
        <v>317.60323800099997</v>
      </c>
      <c r="I129" s="330">
        <f t="shared" ref="I129:I139" si="57">H129-E129</f>
        <v>102.65160650099997</v>
      </c>
      <c r="J129" s="344">
        <f t="shared" ref="J129:J139" si="58">I129/E129</f>
        <v>0.47755676839791739</v>
      </c>
      <c r="K129" s="284">
        <v>627.01229632900004</v>
      </c>
      <c r="L129" s="330">
        <f t="shared" ref="L129:L139" si="59">K129-H129</f>
        <v>309.40905832800007</v>
      </c>
      <c r="M129" s="344">
        <f t="shared" ref="M129:M139" si="60">L129/H129</f>
        <v>0.97419994920525943</v>
      </c>
      <c r="N129" s="284">
        <v>1135.005222904</v>
      </c>
      <c r="O129" s="330">
        <f t="shared" ref="O129:O139" si="61">N129-K129</f>
        <v>507.99292657499996</v>
      </c>
      <c r="P129" s="344">
        <f t="shared" ref="P129:P139" si="62">O129/K129</f>
        <v>0.81018016640051771</v>
      </c>
      <c r="Q129" s="284">
        <v>1835.9631621000001</v>
      </c>
      <c r="R129" s="330">
        <f t="shared" ref="R129:R139" si="63">Q129-N129</f>
        <v>700.9579391960001</v>
      </c>
      <c r="S129" s="344">
        <f t="shared" ref="S129:S139" si="64">R129/N129</f>
        <v>0.61758124548761473</v>
      </c>
      <c r="T129" s="284">
        <v>2726.5073632989997</v>
      </c>
      <c r="U129" s="330">
        <f t="shared" ref="U129:U139" si="65">T129-Q129</f>
        <v>890.54420119899964</v>
      </c>
      <c r="V129" s="344">
        <f t="shared" ref="V129:V139" si="66">U129/Q129</f>
        <v>0.48505559347954608</v>
      </c>
      <c r="W129" s="292">
        <v>3809.4695642080001</v>
      </c>
      <c r="X129" s="440"/>
    </row>
    <row r="130" spans="2:24" hidden="1" outlineLevel="1" x14ac:dyDescent="0.2">
      <c r="C130" s="305" t="s">
        <v>898</v>
      </c>
      <c r="D130" s="21">
        <v>115.210098327</v>
      </c>
      <c r="E130" s="21">
        <v>227.65194318900001</v>
      </c>
      <c r="F130" s="330">
        <f t="shared" si="49"/>
        <v>112.44184486200001</v>
      </c>
      <c r="G130" s="344">
        <f t="shared" si="50"/>
        <v>0.97597212826654423</v>
      </c>
      <c r="H130" s="21">
        <v>338.72174314199998</v>
      </c>
      <c r="I130" s="330">
        <f t="shared" si="57"/>
        <v>111.06979995299997</v>
      </c>
      <c r="J130" s="344">
        <f t="shared" si="58"/>
        <v>0.48789304583615251</v>
      </c>
      <c r="K130" s="21">
        <v>663.458182771</v>
      </c>
      <c r="L130" s="330">
        <f t="shared" si="59"/>
        <v>324.73643962900002</v>
      </c>
      <c r="M130" s="344">
        <f t="shared" si="60"/>
        <v>0.95871152709810836</v>
      </c>
      <c r="N130" s="21">
        <v>1194.2102063850002</v>
      </c>
      <c r="O130" s="330">
        <f t="shared" si="61"/>
        <v>530.75202361400022</v>
      </c>
      <c r="P130" s="344">
        <f t="shared" si="62"/>
        <v>0.79997811074883551</v>
      </c>
      <c r="Q130" s="21">
        <v>1930.2527378690002</v>
      </c>
      <c r="R130" s="330">
        <f t="shared" si="63"/>
        <v>736.04253148399994</v>
      </c>
      <c r="S130" s="344">
        <f t="shared" si="64"/>
        <v>0.61634252290648062</v>
      </c>
      <c r="T130" s="21">
        <v>2873.62289427</v>
      </c>
      <c r="U130" s="330">
        <f t="shared" si="65"/>
        <v>943.3701564009998</v>
      </c>
      <c r="V130" s="344">
        <f t="shared" si="66"/>
        <v>0.48872882700453041</v>
      </c>
      <c r="W130" s="134">
        <v>4033.2382492690003</v>
      </c>
      <c r="X130" s="440"/>
    </row>
    <row r="131" spans="2:24" hidden="1" outlineLevel="1" x14ac:dyDescent="0.2">
      <c r="C131" s="305" t="s">
        <v>899</v>
      </c>
      <c r="D131" s="21">
        <v>103.09170924700001</v>
      </c>
      <c r="E131" s="21">
        <v>200.640910193</v>
      </c>
      <c r="F131" s="330">
        <f t="shared" si="49"/>
        <v>97.549200945999985</v>
      </c>
      <c r="G131" s="344">
        <f t="shared" si="50"/>
        <v>0.94623710925462889</v>
      </c>
      <c r="H131" s="21">
        <v>293.80988230700001</v>
      </c>
      <c r="I131" s="330">
        <f t="shared" si="57"/>
        <v>93.168972114000013</v>
      </c>
      <c r="J131" s="344">
        <f t="shared" si="58"/>
        <v>0.46435680552076419</v>
      </c>
      <c r="K131" s="21">
        <v>590.76709495499995</v>
      </c>
      <c r="L131" s="330">
        <f t="shared" si="59"/>
        <v>296.95721264799994</v>
      </c>
      <c r="M131" s="344">
        <f t="shared" si="60"/>
        <v>1.0107121323363497</v>
      </c>
      <c r="N131" s="21">
        <v>1077.6891323330001</v>
      </c>
      <c r="O131" s="330">
        <f t="shared" si="61"/>
        <v>486.92203737800014</v>
      </c>
      <c r="P131" s="344">
        <f t="shared" si="62"/>
        <v>0.82421997016453685</v>
      </c>
      <c r="Q131" s="21">
        <v>1747.4099217160001</v>
      </c>
      <c r="R131" s="330">
        <f t="shared" si="63"/>
        <v>669.72078938300001</v>
      </c>
      <c r="S131" s="344">
        <f t="shared" si="64"/>
        <v>0.62144153568030969</v>
      </c>
      <c r="T131" s="21">
        <v>2594.9571027100001</v>
      </c>
      <c r="U131" s="330">
        <f t="shared" si="65"/>
        <v>847.54718099399997</v>
      </c>
      <c r="V131" s="344">
        <f t="shared" si="66"/>
        <v>0.48503054175272597</v>
      </c>
      <c r="W131" s="134">
        <v>3620.2909161139996</v>
      </c>
      <c r="X131" s="440"/>
    </row>
    <row r="132" spans="2:24" hidden="1" outlineLevel="1" x14ac:dyDescent="0.2">
      <c r="C132" s="305" t="s">
        <v>900</v>
      </c>
      <c r="D132" s="284">
        <v>202.078493735</v>
      </c>
      <c r="E132" s="284">
        <v>395.80951708200001</v>
      </c>
      <c r="F132" s="330">
        <f t="shared" si="49"/>
        <v>193.73102334700002</v>
      </c>
      <c r="G132" s="344">
        <f t="shared" si="50"/>
        <v>0.95869194077155673</v>
      </c>
      <c r="H132" s="284">
        <v>583.01550069100006</v>
      </c>
      <c r="I132" s="330">
        <f t="shared" si="57"/>
        <v>187.20598360900004</v>
      </c>
      <c r="J132" s="344">
        <f t="shared" si="58"/>
        <v>0.47296988963056313</v>
      </c>
      <c r="K132" s="284">
        <v>809.09591097299995</v>
      </c>
      <c r="L132" s="330">
        <f t="shared" si="59"/>
        <v>226.08041028199989</v>
      </c>
      <c r="M132" s="344">
        <f t="shared" si="60"/>
        <v>0.38777770061695699</v>
      </c>
      <c r="N132" s="284">
        <v>1076.6818553820001</v>
      </c>
      <c r="O132" s="330">
        <f t="shared" si="61"/>
        <v>267.58594440900015</v>
      </c>
      <c r="P132" s="344">
        <f t="shared" si="62"/>
        <v>0.33072215639701791</v>
      </c>
      <c r="Q132" s="284">
        <v>1391.513892938</v>
      </c>
      <c r="R132" s="330">
        <f t="shared" si="63"/>
        <v>314.83203755599993</v>
      </c>
      <c r="S132" s="344">
        <f t="shared" si="64"/>
        <v>0.29240953210296228</v>
      </c>
      <c r="T132" s="284">
        <v>1761.3272281750001</v>
      </c>
      <c r="U132" s="330">
        <f t="shared" si="65"/>
        <v>369.81333523700005</v>
      </c>
      <c r="V132" s="344">
        <f t="shared" si="66"/>
        <v>0.26576330794383046</v>
      </c>
      <c r="W132" s="292">
        <v>2200.9923303740002</v>
      </c>
      <c r="X132" s="440"/>
    </row>
    <row r="133" spans="2:24" hidden="1" outlineLevel="1" x14ac:dyDescent="0.2">
      <c r="C133" s="305" t="s">
        <v>901</v>
      </c>
      <c r="D133" s="21">
        <v>297.63822943700001</v>
      </c>
      <c r="E133" s="21">
        <v>576.19922782000003</v>
      </c>
      <c r="F133" s="330">
        <f t="shared" si="49"/>
        <v>278.56099838300003</v>
      </c>
      <c r="G133" s="344">
        <f t="shared" si="50"/>
        <v>0.93590463466307516</v>
      </c>
      <c r="H133" s="21">
        <v>837.226628549</v>
      </c>
      <c r="I133" s="330">
        <f t="shared" si="57"/>
        <v>261.02740072899996</v>
      </c>
      <c r="J133" s="344">
        <f t="shared" si="58"/>
        <v>0.45301588083790839</v>
      </c>
      <c r="K133" s="21">
        <v>1781.6096430590001</v>
      </c>
      <c r="L133" s="330">
        <f t="shared" si="59"/>
        <v>944.38301451000007</v>
      </c>
      <c r="M133" s="344">
        <f t="shared" si="60"/>
        <v>1.1279897011239515</v>
      </c>
      <c r="N133" s="21">
        <v>3336.0752838469998</v>
      </c>
      <c r="O133" s="330">
        <f t="shared" si="61"/>
        <v>1554.4656407879997</v>
      </c>
      <c r="P133" s="344">
        <f t="shared" si="62"/>
        <v>0.87250630172780319</v>
      </c>
      <c r="Q133" s="21">
        <v>5449.3633666839996</v>
      </c>
      <c r="R133" s="330">
        <f t="shared" si="63"/>
        <v>2113.2880828369998</v>
      </c>
      <c r="S133" s="344">
        <f t="shared" si="64"/>
        <v>0.63346534566212154</v>
      </c>
      <c r="T133" s="21">
        <v>8075.8577671949997</v>
      </c>
      <c r="U133" s="330">
        <f t="shared" si="65"/>
        <v>2626.4944005110001</v>
      </c>
      <c r="V133" s="344">
        <f t="shared" si="66"/>
        <v>0.48198188004285208</v>
      </c>
      <c r="W133" s="134">
        <v>11180.589038986001</v>
      </c>
      <c r="X133" s="440"/>
    </row>
    <row r="134" spans="2:24" hidden="1" outlineLevel="1" x14ac:dyDescent="0.2">
      <c r="C134" s="305" t="s">
        <v>902</v>
      </c>
      <c r="D134" s="21">
        <v>224.21665809299998</v>
      </c>
      <c r="E134" s="21">
        <v>431.95485402499997</v>
      </c>
      <c r="F134" s="330">
        <f t="shared" si="49"/>
        <v>207.738195932</v>
      </c>
      <c r="G134" s="344">
        <f t="shared" si="50"/>
        <v>0.9265065214103535</v>
      </c>
      <c r="H134" s="21">
        <v>624.25852758499991</v>
      </c>
      <c r="I134" s="330">
        <f t="shared" si="57"/>
        <v>192.30367355999994</v>
      </c>
      <c r="J134" s="344">
        <f t="shared" si="58"/>
        <v>0.44519391729967711</v>
      </c>
      <c r="K134" s="21">
        <v>1304.9069695580001</v>
      </c>
      <c r="L134" s="330">
        <f t="shared" si="59"/>
        <v>680.64844197300022</v>
      </c>
      <c r="M134" s="344">
        <f t="shared" si="60"/>
        <v>1.0903310277652909</v>
      </c>
      <c r="N134" s="21">
        <v>2419.2688316250001</v>
      </c>
      <c r="O134" s="330">
        <f t="shared" si="61"/>
        <v>1114.3618620669999</v>
      </c>
      <c r="P134" s="344">
        <f t="shared" si="62"/>
        <v>0.8539780138077262</v>
      </c>
      <c r="Q134" s="21">
        <v>3929.0351375979999</v>
      </c>
      <c r="R134" s="330">
        <f t="shared" si="63"/>
        <v>1509.7663059729998</v>
      </c>
      <c r="S134" s="344">
        <f t="shared" si="64"/>
        <v>0.62405892484420755</v>
      </c>
      <c r="T134" s="21">
        <v>5800.0180300980001</v>
      </c>
      <c r="U134" s="330">
        <f t="shared" si="65"/>
        <v>1870.9828925000002</v>
      </c>
      <c r="V134" s="344">
        <f t="shared" si="66"/>
        <v>0.47619398324949014</v>
      </c>
      <c r="W134" s="134">
        <v>8004.5316823100002</v>
      </c>
      <c r="X134" s="440"/>
    </row>
    <row r="135" spans="2:24" hidden="1" outlineLevel="1" x14ac:dyDescent="0.2">
      <c r="C135" s="305" t="s">
        <v>903</v>
      </c>
      <c r="D135" s="21">
        <v>107.35993688900001</v>
      </c>
      <c r="E135" s="21">
        <v>211.778569205</v>
      </c>
      <c r="F135" s="330">
        <f t="shared" si="49"/>
        <v>104.41863231599999</v>
      </c>
      <c r="G135" s="344">
        <f t="shared" si="50"/>
        <v>0.97260333176200486</v>
      </c>
      <c r="H135" s="21">
        <v>314.34271517999997</v>
      </c>
      <c r="I135" s="330">
        <f t="shared" si="57"/>
        <v>102.56414597499997</v>
      </c>
      <c r="J135" s="344">
        <f t="shared" si="58"/>
        <v>0.48429898435907687</v>
      </c>
      <c r="K135" s="21">
        <v>629.03878497200003</v>
      </c>
      <c r="L135" s="330">
        <f t="shared" si="59"/>
        <v>314.69606979200006</v>
      </c>
      <c r="M135" s="344">
        <f t="shared" si="60"/>
        <v>1.0011241062538947</v>
      </c>
      <c r="N135" s="21">
        <v>1152.275182269</v>
      </c>
      <c r="O135" s="330">
        <f t="shared" si="61"/>
        <v>523.23639729699994</v>
      </c>
      <c r="P135" s="344">
        <f t="shared" si="62"/>
        <v>0.83180307764375838</v>
      </c>
      <c r="Q135" s="21">
        <v>1879.6680374130001</v>
      </c>
      <c r="R135" s="330">
        <f t="shared" si="63"/>
        <v>727.39285514400012</v>
      </c>
      <c r="S135" s="344">
        <f t="shared" si="64"/>
        <v>0.63126661611478618</v>
      </c>
      <c r="T135" s="21">
        <v>2809.3918270679997</v>
      </c>
      <c r="U135" s="330">
        <f t="shared" si="65"/>
        <v>929.72378965499956</v>
      </c>
      <c r="V135" s="344">
        <f t="shared" si="66"/>
        <v>0.49462126883563162</v>
      </c>
      <c r="W135" s="134">
        <v>3945.5956164019999</v>
      </c>
      <c r="X135" s="440"/>
    </row>
    <row r="136" spans="2:24" hidden="1" outlineLevel="1" x14ac:dyDescent="0.2">
      <c r="C136" s="305" t="s">
        <v>904</v>
      </c>
      <c r="D136" s="284">
        <v>216.90253568</v>
      </c>
      <c r="E136" s="284">
        <v>422.06519313299998</v>
      </c>
      <c r="F136" s="330">
        <f t="shared" si="49"/>
        <v>205.16265745299998</v>
      </c>
      <c r="G136" s="344">
        <f t="shared" si="50"/>
        <v>0.94587486868147974</v>
      </c>
      <c r="H136" s="284">
        <v>618.28382118100001</v>
      </c>
      <c r="I136" s="330">
        <f t="shared" si="57"/>
        <v>196.21862804800003</v>
      </c>
      <c r="J136" s="344">
        <f t="shared" si="58"/>
        <v>0.46490123146963264</v>
      </c>
      <c r="K136" s="284">
        <v>1242.6881835290001</v>
      </c>
      <c r="L136" s="330">
        <f t="shared" si="59"/>
        <v>624.40436234800006</v>
      </c>
      <c r="M136" s="344">
        <f t="shared" si="60"/>
        <v>1.0098992419942496</v>
      </c>
      <c r="N136" s="284">
        <v>2289.0272877990001</v>
      </c>
      <c r="O136" s="330">
        <f t="shared" si="61"/>
        <v>1046.33910427</v>
      </c>
      <c r="P136" s="344">
        <f t="shared" si="62"/>
        <v>0.84199650253259373</v>
      </c>
      <c r="Q136" s="284">
        <v>3744.9106091880003</v>
      </c>
      <c r="R136" s="330">
        <f t="shared" si="63"/>
        <v>1455.8833213890002</v>
      </c>
      <c r="S136" s="344">
        <f t="shared" si="64"/>
        <v>0.63602707103981082</v>
      </c>
      <c r="T136" s="284">
        <v>5602.945004315</v>
      </c>
      <c r="U136" s="330">
        <f t="shared" si="65"/>
        <v>1858.0343951269997</v>
      </c>
      <c r="V136" s="344">
        <f t="shared" si="66"/>
        <v>0.49614919794570816</v>
      </c>
      <c r="W136" s="292">
        <v>7866.7860328030001</v>
      </c>
      <c r="X136" s="374"/>
    </row>
    <row r="137" spans="2:24" hidden="1" outlineLevel="1" x14ac:dyDescent="0.2">
      <c r="C137" s="305" t="s">
        <v>905</v>
      </c>
      <c r="D137" s="21">
        <v>159.246168727</v>
      </c>
      <c r="E137" s="21">
        <v>314.39297817300002</v>
      </c>
      <c r="F137" s="330">
        <f t="shared" si="49"/>
        <v>155.14680944600002</v>
      </c>
      <c r="G137" s="344">
        <f t="shared" si="50"/>
        <v>0.97425772115103371</v>
      </c>
      <c r="H137" s="21">
        <v>467.19285720599999</v>
      </c>
      <c r="I137" s="330">
        <f t="shared" si="57"/>
        <v>152.79987903299997</v>
      </c>
      <c r="J137" s="344">
        <f t="shared" si="58"/>
        <v>0.48601555900182752</v>
      </c>
      <c r="K137" s="21">
        <v>939.35892575000003</v>
      </c>
      <c r="L137" s="330">
        <f t="shared" si="59"/>
        <v>472.16606854400004</v>
      </c>
      <c r="M137" s="344">
        <f t="shared" si="60"/>
        <v>1.0106448787931859</v>
      </c>
      <c r="N137" s="21">
        <v>1724.1279608770001</v>
      </c>
      <c r="O137" s="330">
        <f t="shared" si="61"/>
        <v>784.76903512700005</v>
      </c>
      <c r="P137" s="344">
        <f t="shared" si="62"/>
        <v>0.83543043411274043</v>
      </c>
      <c r="Q137" s="21">
        <v>2808.4773422030003</v>
      </c>
      <c r="R137" s="330">
        <f t="shared" si="63"/>
        <v>1084.3493813260002</v>
      </c>
      <c r="S137" s="344">
        <f t="shared" si="64"/>
        <v>0.62892627805562173</v>
      </c>
      <c r="T137" s="21">
        <v>4183.0917505750003</v>
      </c>
      <c r="U137" s="330">
        <f t="shared" si="65"/>
        <v>1374.6144083720001</v>
      </c>
      <c r="V137" s="344">
        <f t="shared" si="66"/>
        <v>0.4894518420055109</v>
      </c>
      <c r="W137" s="134">
        <v>5846.9566943050004</v>
      </c>
      <c r="X137" s="374"/>
    </row>
    <row r="138" spans="2:24" hidden="1" outlineLevel="1" x14ac:dyDescent="0.2">
      <c r="C138" s="305" t="s">
        <v>906</v>
      </c>
      <c r="D138" s="21">
        <v>129.16713057699999</v>
      </c>
      <c r="E138" s="21">
        <v>251.39403649400001</v>
      </c>
      <c r="F138" s="330">
        <f t="shared" si="49"/>
        <v>122.22690591700001</v>
      </c>
      <c r="G138" s="344">
        <f t="shared" si="50"/>
        <v>0.94626942141551462</v>
      </c>
      <c r="H138" s="21">
        <v>368.22751128600004</v>
      </c>
      <c r="I138" s="330">
        <f t="shared" si="57"/>
        <v>116.83347479200003</v>
      </c>
      <c r="J138" s="344">
        <f t="shared" si="58"/>
        <v>0.46474242755073664</v>
      </c>
      <c r="K138" s="21">
        <v>746.065510679</v>
      </c>
      <c r="L138" s="330">
        <f t="shared" si="59"/>
        <v>377.83799939299996</v>
      </c>
      <c r="M138" s="344">
        <f t="shared" si="60"/>
        <v>1.0260993212414689</v>
      </c>
      <c r="N138" s="21">
        <v>1381.385141016</v>
      </c>
      <c r="O138" s="330">
        <f t="shared" si="61"/>
        <v>635.31963033700004</v>
      </c>
      <c r="P138" s="344">
        <f t="shared" si="62"/>
        <v>0.8515601126753477</v>
      </c>
      <c r="Q138" s="21">
        <v>2265.5665098230002</v>
      </c>
      <c r="R138" s="330">
        <f t="shared" si="63"/>
        <v>884.18136880700013</v>
      </c>
      <c r="S138" s="344">
        <f t="shared" si="64"/>
        <v>0.6400686836378523</v>
      </c>
      <c r="T138" s="21">
        <v>3393.0343782919999</v>
      </c>
      <c r="U138" s="330">
        <f t="shared" si="65"/>
        <v>1127.4678684689998</v>
      </c>
      <c r="V138" s="344">
        <f t="shared" si="66"/>
        <v>0.49765383782843986</v>
      </c>
      <c r="W138" s="134">
        <v>4764.5894645230001</v>
      </c>
      <c r="X138" s="374"/>
    </row>
    <row r="139" spans="2:24" ht="15" hidden="1" outlineLevel="1" thickBot="1" x14ac:dyDescent="0.25">
      <c r="C139" s="306" t="s">
        <v>907</v>
      </c>
      <c r="D139" s="299">
        <v>81</v>
      </c>
      <c r="E139" s="299">
        <v>160</v>
      </c>
      <c r="F139" s="343">
        <f t="shared" si="49"/>
        <v>79</v>
      </c>
      <c r="G139" s="344">
        <f t="shared" si="50"/>
        <v>0.97530864197530864</v>
      </c>
      <c r="H139" s="299">
        <v>239</v>
      </c>
      <c r="I139" s="343">
        <f t="shared" si="57"/>
        <v>79</v>
      </c>
      <c r="J139" s="344">
        <f t="shared" si="58"/>
        <v>0.49375000000000002</v>
      </c>
      <c r="K139" s="299">
        <v>456</v>
      </c>
      <c r="L139" s="343">
        <f t="shared" si="59"/>
        <v>217</v>
      </c>
      <c r="M139" s="344">
        <f t="shared" si="60"/>
        <v>0.90794979079497906</v>
      </c>
      <c r="N139" s="299">
        <v>822</v>
      </c>
      <c r="O139" s="343">
        <f t="shared" si="61"/>
        <v>366</v>
      </c>
      <c r="P139" s="344">
        <f t="shared" si="62"/>
        <v>0.80263157894736847</v>
      </c>
      <c r="Q139" s="299">
        <v>1334</v>
      </c>
      <c r="R139" s="343">
        <f t="shared" si="63"/>
        <v>512</v>
      </c>
      <c r="S139" s="344">
        <f t="shared" si="64"/>
        <v>0.62287104622871048</v>
      </c>
      <c r="T139" s="299">
        <v>2002</v>
      </c>
      <c r="U139" s="330">
        <f t="shared" si="65"/>
        <v>668</v>
      </c>
      <c r="V139" s="344">
        <f t="shared" si="66"/>
        <v>0.50074962518740629</v>
      </c>
      <c r="W139" s="304">
        <v>2834</v>
      </c>
      <c r="X139" s="374"/>
    </row>
    <row r="140" spans="2:24" collapsed="1" x14ac:dyDescent="0.2"/>
    <row r="144" spans="2:24" ht="18" x14ac:dyDescent="0.25">
      <c r="B144" s="432" t="s">
        <v>923</v>
      </c>
      <c r="C144" s="1217" t="s">
        <v>924</v>
      </c>
      <c r="D144" s="1217"/>
      <c r="E144" s="1217"/>
      <c r="F144" s="1217"/>
      <c r="G144" s="1217"/>
      <c r="H144" s="1217"/>
      <c r="I144" s="1217"/>
      <c r="J144" s="1217"/>
      <c r="K144" s="1217"/>
      <c r="L144" s="1217"/>
    </row>
    <row r="145" spans="2:10" ht="18" x14ac:dyDescent="0.2">
      <c r="D145" s="349">
        <v>2025</v>
      </c>
      <c r="E145" s="349">
        <v>2026</v>
      </c>
      <c r="F145" s="349">
        <v>2027</v>
      </c>
      <c r="G145" s="349">
        <v>2028</v>
      </c>
      <c r="H145" s="349">
        <v>2029</v>
      </c>
      <c r="I145" s="349">
        <v>2030</v>
      </c>
    </row>
    <row r="146" spans="2:10" ht="15" x14ac:dyDescent="0.25">
      <c r="C146" s="85" t="s">
        <v>925</v>
      </c>
      <c r="D146" s="889">
        <v>500000</v>
      </c>
      <c r="E146" s="15"/>
      <c r="F146" s="15"/>
      <c r="G146" s="15"/>
      <c r="H146" s="15"/>
      <c r="I146" s="15"/>
      <c r="J146" s="890" t="s">
        <v>926</v>
      </c>
    </row>
    <row r="147" spans="2:10" ht="15" x14ac:dyDescent="0.25">
      <c r="C147" s="85" t="s">
        <v>927</v>
      </c>
      <c r="D147" s="21">
        <v>10000</v>
      </c>
      <c r="E147" s="21">
        <v>10000</v>
      </c>
      <c r="F147" s="21">
        <v>10000</v>
      </c>
      <c r="G147" s="21">
        <v>10000</v>
      </c>
      <c r="H147" s="21">
        <v>10000</v>
      </c>
      <c r="I147" s="21">
        <v>10000</v>
      </c>
      <c r="J147" s="890" t="s">
        <v>928</v>
      </c>
    </row>
    <row r="150" spans="2:10" ht="36" x14ac:dyDescent="0.25">
      <c r="B150" s="432" t="s">
        <v>929</v>
      </c>
      <c r="C150" s="887" t="s">
        <v>930</v>
      </c>
    </row>
    <row r="151" spans="2:10" ht="15" x14ac:dyDescent="0.2">
      <c r="D151" s="20">
        <v>2024</v>
      </c>
      <c r="E151" s="20">
        <v>2025</v>
      </c>
      <c r="F151" s="20">
        <v>2026</v>
      </c>
      <c r="G151" s="20">
        <v>2027</v>
      </c>
      <c r="H151" s="20">
        <v>2028</v>
      </c>
      <c r="I151" s="20">
        <v>2029</v>
      </c>
      <c r="J151" s="20">
        <v>2030</v>
      </c>
    </row>
    <row r="152" spans="2:10" ht="15" x14ac:dyDescent="0.25">
      <c r="C152" s="85" t="s">
        <v>581</v>
      </c>
      <c r="D152" s="15">
        <v>3299</v>
      </c>
      <c r="E152" s="230">
        <f>D152*1.2</f>
        <v>3958.7999999999997</v>
      </c>
      <c r="F152" s="230">
        <f>E152*1.2</f>
        <v>4750.5599999999995</v>
      </c>
      <c r="G152" s="230">
        <f t="shared" ref="G152:J152" si="67">F152*1.2</f>
        <v>5700.6719999999996</v>
      </c>
      <c r="H152" s="230">
        <f t="shared" si="67"/>
        <v>6840.8063999999995</v>
      </c>
      <c r="I152" s="230">
        <f t="shared" si="67"/>
        <v>8208.9676799999997</v>
      </c>
      <c r="J152" s="230">
        <f t="shared" si="67"/>
        <v>9850.761215999999</v>
      </c>
    </row>
    <row r="153" spans="2:10" ht="15" x14ac:dyDescent="0.25">
      <c r="C153" s="85" t="s">
        <v>931</v>
      </c>
      <c r="D153" s="15">
        <v>2197</v>
      </c>
      <c r="E153" s="230">
        <f>D153*1.05</f>
        <v>2306.85</v>
      </c>
      <c r="F153" s="230">
        <f t="shared" ref="F153:J155" si="68">E153*1.05</f>
        <v>2422.1925000000001</v>
      </c>
      <c r="G153" s="230">
        <f t="shared" si="68"/>
        <v>2543.3021250000002</v>
      </c>
      <c r="H153" s="230">
        <f t="shared" si="68"/>
        <v>2670.4672312500002</v>
      </c>
      <c r="I153" s="230">
        <f t="shared" si="68"/>
        <v>2803.9905928125004</v>
      </c>
      <c r="J153" s="230">
        <f t="shared" si="68"/>
        <v>2944.1901224531257</v>
      </c>
    </row>
    <row r="154" spans="2:10" ht="15" x14ac:dyDescent="0.25">
      <c r="C154" s="85" t="s">
        <v>583</v>
      </c>
      <c r="D154" s="15">
        <v>888</v>
      </c>
      <c r="E154" s="230">
        <f>D154*1.05</f>
        <v>932.40000000000009</v>
      </c>
      <c r="F154" s="230">
        <f t="shared" si="68"/>
        <v>979.0200000000001</v>
      </c>
      <c r="G154" s="230">
        <f t="shared" si="68"/>
        <v>1027.9710000000002</v>
      </c>
      <c r="H154" s="230">
        <f t="shared" si="68"/>
        <v>1079.3695500000003</v>
      </c>
      <c r="I154" s="230">
        <f t="shared" si="68"/>
        <v>1133.3380275000004</v>
      </c>
      <c r="J154" s="230">
        <f t="shared" si="68"/>
        <v>1190.0049288750006</v>
      </c>
    </row>
    <row r="155" spans="2:10" ht="15" x14ac:dyDescent="0.25">
      <c r="C155" s="85" t="s">
        <v>584</v>
      </c>
      <c r="D155" s="15">
        <v>532</v>
      </c>
      <c r="E155" s="230">
        <f>D155*1.05</f>
        <v>558.6</v>
      </c>
      <c r="F155" s="230">
        <f t="shared" si="68"/>
        <v>586.53000000000009</v>
      </c>
      <c r="G155" s="230">
        <f t="shared" si="68"/>
        <v>615.8565000000001</v>
      </c>
      <c r="H155" s="230">
        <f t="shared" si="68"/>
        <v>646.64932500000009</v>
      </c>
      <c r="I155" s="230">
        <f t="shared" si="68"/>
        <v>678.98179125000013</v>
      </c>
      <c r="J155" s="230">
        <f t="shared" si="68"/>
        <v>712.93088081250016</v>
      </c>
    </row>
    <row r="157" spans="2:10" ht="36" x14ac:dyDescent="0.25">
      <c r="B157" t="s">
        <v>3714</v>
      </c>
      <c r="C157" s="887" t="s">
        <v>3715</v>
      </c>
    </row>
    <row r="158" spans="2:10" ht="15" x14ac:dyDescent="0.2">
      <c r="D158" s="20">
        <v>2030</v>
      </c>
      <c r="E158" s="20">
        <v>2035</v>
      </c>
    </row>
    <row r="159" spans="2:10" ht="15" x14ac:dyDescent="0.25">
      <c r="C159" s="85" t="s">
        <v>3716</v>
      </c>
      <c r="D159" s="15">
        <v>14</v>
      </c>
      <c r="E159" s="230">
        <v>28</v>
      </c>
    </row>
    <row r="165" spans="2:7" ht="18" x14ac:dyDescent="0.25">
      <c r="B165" s="432" t="s">
        <v>3710</v>
      </c>
      <c r="C165" s="887" t="s">
        <v>3709</v>
      </c>
      <c r="D165" s="1022"/>
      <c r="E165" s="267"/>
      <c r="F165" s="267"/>
      <c r="G165" s="267"/>
    </row>
    <row r="166" spans="2:7" ht="18" x14ac:dyDescent="0.25">
      <c r="B166" s="432"/>
      <c r="C166" s="887"/>
      <c r="D166" s="1022"/>
      <c r="E166" s="267"/>
      <c r="F166" s="267"/>
      <c r="G166" s="267"/>
    </row>
    <row r="167" spans="2:7" ht="15" x14ac:dyDescent="0.25">
      <c r="C167" s="1023" t="s">
        <v>3701</v>
      </c>
      <c r="D167" s="1025">
        <v>0.4</v>
      </c>
      <c r="E167" s="267"/>
      <c r="F167" s="267"/>
      <c r="G167" s="267"/>
    </row>
    <row r="168" spans="2:7" ht="15" x14ac:dyDescent="0.25">
      <c r="C168" s="1023" t="s">
        <v>3702</v>
      </c>
      <c r="D168" s="1025">
        <v>0.5</v>
      </c>
      <c r="E168" s="1024" t="s">
        <v>3703</v>
      </c>
      <c r="F168" s="267"/>
      <c r="G168" s="267"/>
    </row>
    <row r="169" spans="2:7" ht="15" x14ac:dyDescent="0.25">
      <c r="C169" s="1023" t="s">
        <v>3704</v>
      </c>
      <c r="D169" s="1025">
        <v>0.6</v>
      </c>
      <c r="E169" s="1024" t="s">
        <v>3705</v>
      </c>
      <c r="F169" s="267"/>
      <c r="G169" s="267"/>
    </row>
    <row r="170" spans="2:7" ht="15" x14ac:dyDescent="0.25">
      <c r="C170" s="1023" t="s">
        <v>3706</v>
      </c>
      <c r="D170" s="1025">
        <v>0.7</v>
      </c>
      <c r="E170" s="1024" t="s">
        <v>3705</v>
      </c>
      <c r="F170" s="267"/>
      <c r="G170" s="267"/>
    </row>
    <row r="171" spans="2:7" ht="15" x14ac:dyDescent="0.25">
      <c r="C171" s="1023" t="s">
        <v>3707</v>
      </c>
      <c r="D171" s="1025">
        <v>0.8</v>
      </c>
      <c r="E171" s="1024" t="s">
        <v>3705</v>
      </c>
      <c r="F171" s="267"/>
      <c r="G171" s="267"/>
    </row>
    <row r="172" spans="2:7" ht="15" x14ac:dyDescent="0.25">
      <c r="C172" s="1023" t="s">
        <v>3708</v>
      </c>
      <c r="D172" s="1025">
        <v>1</v>
      </c>
      <c r="E172" s="1024" t="s">
        <v>3703</v>
      </c>
      <c r="F172" s="267"/>
      <c r="G172" s="267"/>
    </row>
  </sheetData>
  <mergeCells count="10">
    <mergeCell ref="C144:L144"/>
    <mergeCell ref="O83:P83"/>
    <mergeCell ref="R83:S83"/>
    <mergeCell ref="C79:L79"/>
    <mergeCell ref="M79:V79"/>
    <mergeCell ref="C28:L28"/>
    <mergeCell ref="C75:L75"/>
    <mergeCell ref="L83:M83"/>
    <mergeCell ref="I83:J83"/>
    <mergeCell ref="F83:G8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78F75-3FA0-4570-AA75-D74589217117}">
  <sheetPr>
    <tabColor theme="5" tint="0.79998168889431442"/>
  </sheetPr>
  <dimension ref="A1"/>
  <sheetViews>
    <sheetView workbookViewId="0"/>
  </sheetViews>
  <sheetFormatPr baseColWidth="10" defaultColWidth="11" defaultRowHeight="14.25" x14ac:dyDescent="0.2"/>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412B2-4698-4DBA-8A94-3380639302A0}">
  <sheetPr>
    <tabColor theme="2" tint="-9.9978637043366805E-2"/>
  </sheetPr>
  <dimension ref="A1"/>
  <sheetViews>
    <sheetView workbookViewId="0"/>
  </sheetViews>
  <sheetFormatPr baseColWidth="10" defaultColWidth="11" defaultRowHeight="14.25" x14ac:dyDescent="0.2"/>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491C3-67DC-4164-9CFD-EB5F3FFC7C0B}">
  <sheetPr>
    <tabColor theme="4" tint="0.79998168889431442"/>
  </sheetPr>
  <dimension ref="A1:J52"/>
  <sheetViews>
    <sheetView workbookViewId="0">
      <selection activeCell="D5" sqref="D5:K6"/>
    </sheetView>
  </sheetViews>
  <sheetFormatPr baseColWidth="10" defaultColWidth="11" defaultRowHeight="14.25" x14ac:dyDescent="0.2"/>
  <cols>
    <col min="1" max="1" width="20.375" bestFit="1" customWidth="1"/>
    <col min="2" max="2" width="22.75" customWidth="1"/>
    <col min="3" max="10" width="11.5" bestFit="1" customWidth="1"/>
  </cols>
  <sheetData>
    <row r="1" spans="1:10" x14ac:dyDescent="0.2">
      <c r="A1" t="s">
        <v>932</v>
      </c>
    </row>
    <row r="4" spans="1:10" ht="15.75" thickBot="1" x14ac:dyDescent="0.3">
      <c r="A4" s="156" t="s">
        <v>933</v>
      </c>
      <c r="B4" s="156" t="s">
        <v>934</v>
      </c>
      <c r="C4" s="157">
        <v>2023</v>
      </c>
      <c r="D4" s="157">
        <v>2024</v>
      </c>
      <c r="E4" s="157">
        <v>2025</v>
      </c>
      <c r="F4" s="157">
        <v>2026</v>
      </c>
      <c r="G4" s="157">
        <v>2027</v>
      </c>
      <c r="H4" s="157">
        <v>2028</v>
      </c>
      <c r="I4" s="157">
        <v>2029</v>
      </c>
      <c r="J4" s="157">
        <v>2030</v>
      </c>
    </row>
    <row r="5" spans="1:10" ht="15" x14ac:dyDescent="0.25">
      <c r="A5" s="1222" t="s">
        <v>935</v>
      </c>
      <c r="B5" s="158" t="s">
        <v>936</v>
      </c>
      <c r="C5" s="159">
        <v>556617</v>
      </c>
      <c r="D5" s="159">
        <v>521445</v>
      </c>
      <c r="E5" s="159">
        <v>487587</v>
      </c>
      <c r="F5" s="159">
        <v>455999</v>
      </c>
      <c r="G5" s="159">
        <v>426538</v>
      </c>
      <c r="H5" s="159">
        <v>399081</v>
      </c>
      <c r="I5" s="159">
        <v>373538</v>
      </c>
      <c r="J5" s="160">
        <v>349941</v>
      </c>
    </row>
    <row r="6" spans="1:10" ht="15" x14ac:dyDescent="0.25">
      <c r="A6" s="1223"/>
      <c r="B6" s="161" t="s">
        <v>937</v>
      </c>
      <c r="C6" s="162">
        <v>6599</v>
      </c>
      <c r="D6" s="162">
        <v>12596</v>
      </c>
      <c r="E6" s="162">
        <v>19800</v>
      </c>
      <c r="F6" s="162">
        <v>27244</v>
      </c>
      <c r="G6" s="162">
        <v>35076</v>
      </c>
      <c r="H6" s="162">
        <v>43482</v>
      </c>
      <c r="I6" s="162">
        <v>52727</v>
      </c>
      <c r="J6" s="163">
        <v>63313</v>
      </c>
    </row>
    <row r="7" spans="1:10" ht="15" x14ac:dyDescent="0.25">
      <c r="A7" s="1223"/>
      <c r="B7" s="161" t="s">
        <v>938</v>
      </c>
      <c r="C7" s="162">
        <v>448885</v>
      </c>
      <c r="D7" s="162">
        <v>476323</v>
      </c>
      <c r="E7" s="162">
        <v>502864</v>
      </c>
      <c r="F7" s="162">
        <v>526922</v>
      </c>
      <c r="G7" s="162">
        <v>548726</v>
      </c>
      <c r="H7" s="162">
        <v>568552</v>
      </c>
      <c r="I7" s="162">
        <v>586820</v>
      </c>
      <c r="J7" s="163">
        <v>604556</v>
      </c>
    </row>
    <row r="8" spans="1:10" ht="15" thickBot="1" x14ac:dyDescent="0.25">
      <c r="A8" s="1224"/>
      <c r="B8" s="164" t="s">
        <v>939</v>
      </c>
      <c r="C8" s="165">
        <v>204</v>
      </c>
      <c r="D8" s="165">
        <v>405</v>
      </c>
      <c r="E8" s="165">
        <v>605</v>
      </c>
      <c r="F8" s="165">
        <v>1202</v>
      </c>
      <c r="G8" s="165">
        <v>2189</v>
      </c>
      <c r="H8" s="165">
        <v>3558</v>
      </c>
      <c r="I8" s="165">
        <v>5308</v>
      </c>
      <c r="J8" s="166">
        <v>7446</v>
      </c>
    </row>
    <row r="9" spans="1:10" ht="15" x14ac:dyDescent="0.25">
      <c r="A9" s="1222" t="s">
        <v>940</v>
      </c>
      <c r="B9" s="158" t="s">
        <v>936</v>
      </c>
      <c r="C9" s="159">
        <v>229445</v>
      </c>
      <c r="D9" s="159">
        <v>215112</v>
      </c>
      <c r="E9" s="159">
        <v>201268</v>
      </c>
      <c r="F9" s="159">
        <v>188334</v>
      </c>
      <c r="G9" s="159">
        <v>176250</v>
      </c>
      <c r="H9" s="159">
        <v>164969</v>
      </c>
      <c r="I9" s="159">
        <v>154452</v>
      </c>
      <c r="J9" s="160">
        <v>144696</v>
      </c>
    </row>
    <row r="10" spans="1:10" ht="15" x14ac:dyDescent="0.25">
      <c r="A10" s="1223"/>
      <c r="B10" s="161" t="s">
        <v>937</v>
      </c>
      <c r="C10" s="162">
        <v>4262</v>
      </c>
      <c r="D10" s="162">
        <v>7778</v>
      </c>
      <c r="E10" s="162">
        <v>12195</v>
      </c>
      <c r="F10" s="162">
        <v>17089</v>
      </c>
      <c r="G10" s="162">
        <v>22497</v>
      </c>
      <c r="H10" s="162">
        <v>28479</v>
      </c>
      <c r="I10" s="162">
        <v>35136</v>
      </c>
      <c r="J10" s="163">
        <v>42693</v>
      </c>
    </row>
    <row r="11" spans="1:10" ht="15" x14ac:dyDescent="0.25">
      <c r="A11" s="1223"/>
      <c r="B11" s="161" t="s">
        <v>938</v>
      </c>
      <c r="C11" s="162">
        <v>193575</v>
      </c>
      <c r="D11" s="162">
        <v>207872</v>
      </c>
      <c r="E11" s="162">
        <v>221625</v>
      </c>
      <c r="F11" s="162">
        <v>234356</v>
      </c>
      <c r="G11" s="162">
        <v>246170</v>
      </c>
      <c r="H11" s="162">
        <v>257209</v>
      </c>
      <c r="I11" s="162">
        <v>267689</v>
      </c>
      <c r="J11" s="163">
        <v>278112</v>
      </c>
    </row>
    <row r="12" spans="1:10" ht="15" thickBot="1" x14ac:dyDescent="0.25">
      <c r="A12" s="1224"/>
      <c r="B12" s="164" t="s">
        <v>939</v>
      </c>
      <c r="C12" s="167">
        <v>81</v>
      </c>
      <c r="D12" s="167">
        <v>160</v>
      </c>
      <c r="E12" s="167">
        <v>239</v>
      </c>
      <c r="F12" s="167">
        <v>456</v>
      </c>
      <c r="G12" s="167">
        <v>822</v>
      </c>
      <c r="H12" s="167">
        <v>1334</v>
      </c>
      <c r="I12" s="167">
        <v>2002</v>
      </c>
      <c r="J12" s="168">
        <v>2834</v>
      </c>
    </row>
    <row r="13" spans="1:10" ht="15" x14ac:dyDescent="0.25">
      <c r="A13" s="1222" t="s">
        <v>941</v>
      </c>
      <c r="B13" s="158" t="s">
        <v>936</v>
      </c>
      <c r="C13" s="169">
        <v>374323.43678500003</v>
      </c>
      <c r="D13" s="169">
        <v>350634.94028700003</v>
      </c>
      <c r="E13" s="169">
        <v>327749.98429579998</v>
      </c>
      <c r="F13" s="169">
        <v>306387.60313860001</v>
      </c>
      <c r="G13" s="169">
        <v>286452.29512349999</v>
      </c>
      <c r="H13" s="169">
        <v>267861.70639589999</v>
      </c>
      <c r="I13" s="169">
        <v>250555.22395670001</v>
      </c>
      <c r="J13" s="170">
        <v>234557.5065514</v>
      </c>
    </row>
    <row r="14" spans="1:10" ht="15" x14ac:dyDescent="0.25">
      <c r="A14" s="1223"/>
      <c r="B14" s="161" t="s">
        <v>937</v>
      </c>
      <c r="C14" s="171">
        <v>5592.6700025219998</v>
      </c>
      <c r="D14" s="171">
        <v>8670.2958653710011</v>
      </c>
      <c r="E14" s="171">
        <v>11588.135574423999</v>
      </c>
      <c r="F14" s="171">
        <v>15017.358848936999</v>
      </c>
      <c r="G14" s="171">
        <v>19015.277823459001</v>
      </c>
      <c r="H14" s="171">
        <v>23665.769813651001</v>
      </c>
      <c r="I14" s="171">
        <v>29107.240316878997</v>
      </c>
      <c r="J14" s="172">
        <v>35636.212925833999</v>
      </c>
    </row>
    <row r="15" spans="1:10" ht="15" x14ac:dyDescent="0.25">
      <c r="A15" s="1223"/>
      <c r="B15" s="161" t="s">
        <v>938</v>
      </c>
      <c r="C15" s="171">
        <v>312312.37953715998</v>
      </c>
      <c r="D15" s="171">
        <v>329780.52883869002</v>
      </c>
      <c r="E15" s="171">
        <v>346909.88859968999</v>
      </c>
      <c r="F15" s="171">
        <v>362122.40004469</v>
      </c>
      <c r="G15" s="171">
        <v>375557.26933868998</v>
      </c>
      <c r="H15" s="171">
        <v>387385.15991468995</v>
      </c>
      <c r="I15" s="171">
        <v>397862.28212068998</v>
      </c>
      <c r="J15" s="172">
        <v>407625.74650069</v>
      </c>
    </row>
    <row r="16" spans="1:10" ht="15" thickBot="1" x14ac:dyDescent="0.25">
      <c r="A16" s="1224"/>
      <c r="B16" s="164" t="s">
        <v>939</v>
      </c>
      <c r="C16" s="167">
        <v>159.246168727</v>
      </c>
      <c r="D16" s="167">
        <v>314.39297817300002</v>
      </c>
      <c r="E16" s="167">
        <v>467.19285720599999</v>
      </c>
      <c r="F16" s="167">
        <v>939.35892575000003</v>
      </c>
      <c r="G16" s="167">
        <v>1724.1279608770001</v>
      </c>
      <c r="H16" s="167">
        <v>2808.4773422030003</v>
      </c>
      <c r="I16" s="167">
        <v>4183.0917505750003</v>
      </c>
      <c r="J16" s="168">
        <v>5846.9566943050004</v>
      </c>
    </row>
    <row r="17" spans="1:10" ht="15" x14ac:dyDescent="0.25">
      <c r="A17" s="1222" t="s">
        <v>942</v>
      </c>
      <c r="B17" s="158" t="s">
        <v>936</v>
      </c>
      <c r="C17" s="173">
        <v>252552.00907299999</v>
      </c>
      <c r="D17" s="173">
        <v>236552.79329999999</v>
      </c>
      <c r="E17" s="173">
        <v>221035.00824739999</v>
      </c>
      <c r="F17" s="173">
        <v>206554.74440680002</v>
      </c>
      <c r="G17" s="173">
        <v>193050.9001953</v>
      </c>
      <c r="H17" s="173">
        <v>180460.77076109999</v>
      </c>
      <c r="I17" s="173">
        <v>168747.44130999999</v>
      </c>
      <c r="J17" s="174">
        <v>157909.8762655</v>
      </c>
    </row>
    <row r="18" spans="1:10" ht="15" x14ac:dyDescent="0.25">
      <c r="A18" s="1223"/>
      <c r="B18" s="161" t="s">
        <v>937</v>
      </c>
      <c r="C18" s="175">
        <v>5001.6878258489996</v>
      </c>
      <c r="D18" s="175">
        <v>9374.0850012080009</v>
      </c>
      <c r="E18" s="175">
        <v>14626.82050109</v>
      </c>
      <c r="F18" s="175">
        <v>20094.134129193</v>
      </c>
      <c r="G18" s="175">
        <v>25841.749180692001</v>
      </c>
      <c r="H18" s="175">
        <v>31948.313170285997</v>
      </c>
      <c r="I18" s="175">
        <v>38525.075083039999</v>
      </c>
      <c r="J18" s="176">
        <v>45786.739134092997</v>
      </c>
    </row>
    <row r="19" spans="1:10" ht="15" x14ac:dyDescent="0.25">
      <c r="A19" s="1223"/>
      <c r="B19" s="161" t="s">
        <v>938</v>
      </c>
      <c r="C19" s="175">
        <v>209258.44222378</v>
      </c>
      <c r="D19" s="175">
        <v>218808.37579319</v>
      </c>
      <c r="E19" s="175">
        <v>227161.76183019002</v>
      </c>
      <c r="F19" s="175">
        <v>234542.87539018999</v>
      </c>
      <c r="G19" s="175">
        <v>241047.29415719002</v>
      </c>
      <c r="H19" s="175">
        <v>246770.23364918999</v>
      </c>
      <c r="I19" s="175">
        <v>251881.01430019</v>
      </c>
      <c r="J19" s="176">
        <v>256753.78917018999</v>
      </c>
    </row>
    <row r="20" spans="1:10" ht="15" thickBot="1" x14ac:dyDescent="0.25">
      <c r="A20" s="1224"/>
      <c r="B20" s="164" t="s">
        <v>939</v>
      </c>
      <c r="C20" s="177">
        <v>129.16713057699999</v>
      </c>
      <c r="D20" s="177">
        <v>251.39403649400001</v>
      </c>
      <c r="E20" s="177">
        <v>368.22751128600004</v>
      </c>
      <c r="F20" s="177">
        <v>746.065510679</v>
      </c>
      <c r="G20" s="177">
        <v>1381.385141016</v>
      </c>
      <c r="H20" s="177">
        <v>2265.5665098230002</v>
      </c>
      <c r="I20" s="177">
        <v>3393.0343782919999</v>
      </c>
      <c r="J20" s="178">
        <v>4764.5894645230001</v>
      </c>
    </row>
    <row r="21" spans="1:10" ht="15" x14ac:dyDescent="0.25">
      <c r="A21" s="1222" t="s">
        <v>943</v>
      </c>
      <c r="B21" s="158" t="s">
        <v>936</v>
      </c>
      <c r="C21" s="179">
        <v>220647.72248199998</v>
      </c>
      <c r="D21" s="179">
        <v>206770.04642</v>
      </c>
      <c r="E21" s="179">
        <v>193314.38219800001</v>
      </c>
      <c r="F21" s="179">
        <v>180770.07691800001</v>
      </c>
      <c r="G21" s="179">
        <v>169082.52948500001</v>
      </c>
      <c r="H21" s="179">
        <v>158206.51405210001</v>
      </c>
      <c r="I21" s="179">
        <v>148114.11809510001</v>
      </c>
      <c r="J21" s="180">
        <v>138829.316005</v>
      </c>
    </row>
    <row r="22" spans="1:10" ht="15" x14ac:dyDescent="0.25">
      <c r="A22" s="1223"/>
      <c r="B22" s="161" t="s">
        <v>937</v>
      </c>
      <c r="C22" s="175">
        <v>3030.7164751350001</v>
      </c>
      <c r="D22" s="175">
        <v>6006.702911722</v>
      </c>
      <c r="E22" s="175">
        <v>9523.9572601020009</v>
      </c>
      <c r="F22" s="175">
        <v>13058.477950357001</v>
      </c>
      <c r="G22" s="175">
        <v>16689.395407455999</v>
      </c>
      <c r="H22" s="175">
        <v>20511.885247553</v>
      </c>
      <c r="I22" s="175">
        <v>24657.741769922002</v>
      </c>
      <c r="J22" s="176">
        <v>29373.228292609998</v>
      </c>
    </row>
    <row r="23" spans="1:10" ht="15" x14ac:dyDescent="0.25">
      <c r="A23" s="1223"/>
      <c r="B23" s="161" t="s">
        <v>938</v>
      </c>
      <c r="C23" s="175">
        <v>182420.03734504999</v>
      </c>
      <c r="D23" s="175">
        <v>193043.22790285002</v>
      </c>
      <c r="E23" s="175">
        <v>202763.44955784999</v>
      </c>
      <c r="F23" s="175">
        <v>211470.19113585001</v>
      </c>
      <c r="G23" s="175">
        <v>219253.74743485003</v>
      </c>
      <c r="H23" s="175">
        <v>226227.26548185002</v>
      </c>
      <c r="I23" s="175">
        <v>232569.89460785</v>
      </c>
      <c r="J23" s="176">
        <v>238710.42740084999</v>
      </c>
    </row>
    <row r="24" spans="1:10" ht="15" thickBot="1" x14ac:dyDescent="0.25">
      <c r="A24" s="1224"/>
      <c r="B24" s="164" t="s">
        <v>939</v>
      </c>
      <c r="C24" s="177">
        <v>109.50014734200001</v>
      </c>
      <c r="D24" s="177">
        <v>214.95163149999999</v>
      </c>
      <c r="E24" s="177">
        <v>317.60323800099997</v>
      </c>
      <c r="F24" s="177">
        <v>627.01229632900004</v>
      </c>
      <c r="G24" s="177">
        <v>1135.005222904</v>
      </c>
      <c r="H24" s="177">
        <v>1835.9631621000001</v>
      </c>
      <c r="I24" s="177">
        <v>2726.5073632989997</v>
      </c>
      <c r="J24" s="178">
        <v>3809.4695642080001</v>
      </c>
    </row>
    <row r="25" spans="1:10" ht="15" x14ac:dyDescent="0.25">
      <c r="A25" s="1222" t="s">
        <v>944</v>
      </c>
      <c r="B25" s="158" t="s">
        <v>936</v>
      </c>
      <c r="C25" s="173">
        <v>225153.3364109</v>
      </c>
      <c r="D25" s="173">
        <v>211079.75166040001</v>
      </c>
      <c r="E25" s="173">
        <v>197425.0478159</v>
      </c>
      <c r="F25" s="173">
        <v>184687.47331959999</v>
      </c>
      <c r="G25" s="173">
        <v>172812.50574240001</v>
      </c>
      <c r="H25" s="173">
        <v>161755.7305527</v>
      </c>
      <c r="I25" s="173">
        <v>151569.497764</v>
      </c>
      <c r="J25" s="174">
        <v>142128.11970790001</v>
      </c>
    </row>
    <row r="26" spans="1:10" ht="15" x14ac:dyDescent="0.25">
      <c r="A26" s="1223"/>
      <c r="B26" s="161" t="s">
        <v>937</v>
      </c>
      <c r="C26" s="175">
        <v>4073.500862464</v>
      </c>
      <c r="D26" s="175">
        <v>7657.4555120320001</v>
      </c>
      <c r="E26" s="175">
        <v>12094.421619616</v>
      </c>
      <c r="F26" s="175">
        <v>16794.002380264999</v>
      </c>
      <c r="G26" s="175">
        <v>21815.13998914</v>
      </c>
      <c r="H26" s="175">
        <v>27234.554879653999</v>
      </c>
      <c r="I26" s="175">
        <v>33171.504574842998</v>
      </c>
      <c r="J26" s="176">
        <v>39860.327206759001</v>
      </c>
    </row>
    <row r="27" spans="1:10" ht="15" x14ac:dyDescent="0.25">
      <c r="A27" s="1223"/>
      <c r="B27" s="161" t="s">
        <v>938</v>
      </c>
      <c r="C27" s="175">
        <v>187053.67505153001</v>
      </c>
      <c r="D27" s="175">
        <v>198311.68548767001</v>
      </c>
      <c r="E27" s="175">
        <v>208739.39827667002</v>
      </c>
      <c r="F27" s="175">
        <v>218081.01703266997</v>
      </c>
      <c r="G27" s="175">
        <v>226429.34482166998</v>
      </c>
      <c r="H27" s="175">
        <v>233899.48996467001</v>
      </c>
      <c r="I27" s="175">
        <v>240812.53356166999</v>
      </c>
      <c r="J27" s="176">
        <v>247313.97657166998</v>
      </c>
    </row>
    <row r="28" spans="1:10" ht="15" thickBot="1" x14ac:dyDescent="0.25">
      <c r="A28" s="1224"/>
      <c r="B28" s="164" t="s">
        <v>939</v>
      </c>
      <c r="C28" s="177">
        <v>115.210098327</v>
      </c>
      <c r="D28" s="177">
        <v>227.65194318900001</v>
      </c>
      <c r="E28" s="177">
        <v>338.72174314199998</v>
      </c>
      <c r="F28" s="177">
        <v>663.458182771</v>
      </c>
      <c r="G28" s="177">
        <v>1194.2102063850002</v>
      </c>
      <c r="H28" s="177">
        <v>1930.2527378690002</v>
      </c>
      <c r="I28" s="177">
        <v>2873.62289427</v>
      </c>
      <c r="J28" s="178">
        <v>4033.2382492690003</v>
      </c>
    </row>
    <row r="29" spans="1:10" ht="15" x14ac:dyDescent="0.25">
      <c r="A29" s="1222" t="s">
        <v>945</v>
      </c>
      <c r="B29" s="158" t="s">
        <v>936</v>
      </c>
      <c r="C29" s="181">
        <v>191163.88175520001</v>
      </c>
      <c r="D29" s="181">
        <v>179021.765518</v>
      </c>
      <c r="E29" s="181">
        <v>167257.1938911</v>
      </c>
      <c r="F29" s="181">
        <v>156282.55708309999</v>
      </c>
      <c r="G29" s="181">
        <v>146051.3176521</v>
      </c>
      <c r="H29" s="181">
        <v>136565.9262097</v>
      </c>
      <c r="I29" s="181">
        <v>127701.2546153</v>
      </c>
      <c r="J29" s="182">
        <v>119519.82229720001</v>
      </c>
    </row>
    <row r="30" spans="1:10" ht="15" x14ac:dyDescent="0.25">
      <c r="A30" s="1223"/>
      <c r="B30" s="161" t="s">
        <v>937</v>
      </c>
      <c r="C30" s="183">
        <v>3511.2500589199999</v>
      </c>
      <c r="D30" s="183">
        <v>6571.2166715429994</v>
      </c>
      <c r="E30" s="183">
        <v>10211.182622154</v>
      </c>
      <c r="F30" s="183">
        <v>13949.333675941001</v>
      </c>
      <c r="G30" s="183">
        <v>17840.176910951999</v>
      </c>
      <c r="H30" s="183">
        <v>21948.860383088002</v>
      </c>
      <c r="I30" s="183">
        <v>26361.814995201999</v>
      </c>
      <c r="J30" s="184">
        <v>31245.451683275001</v>
      </c>
    </row>
    <row r="31" spans="1:10" ht="15" x14ac:dyDescent="0.25">
      <c r="A31" s="1223"/>
      <c r="B31" s="161" t="s">
        <v>938</v>
      </c>
      <c r="C31" s="183">
        <v>159336.10651521999</v>
      </c>
      <c r="D31" s="183">
        <v>166520.64117995001</v>
      </c>
      <c r="E31" s="183">
        <v>172837.93156995001</v>
      </c>
      <c r="F31" s="183">
        <v>178408.03553295002</v>
      </c>
      <c r="G31" s="183">
        <v>183304.09067695</v>
      </c>
      <c r="H31" s="183">
        <v>187689.43248795002</v>
      </c>
      <c r="I31" s="183">
        <v>191512.14353394997</v>
      </c>
      <c r="J31" s="184">
        <v>195147.13881994999</v>
      </c>
    </row>
    <row r="32" spans="1:10" ht="15" thickBot="1" x14ac:dyDescent="0.25">
      <c r="A32" s="1224"/>
      <c r="B32" s="164" t="s">
        <v>939</v>
      </c>
      <c r="C32" s="185">
        <v>103.09170924700001</v>
      </c>
      <c r="D32" s="185">
        <v>200.640910193</v>
      </c>
      <c r="E32" s="185">
        <v>293.80988230700001</v>
      </c>
      <c r="F32" s="185">
        <v>590.76709495499995</v>
      </c>
      <c r="G32" s="185">
        <v>1077.6891323330001</v>
      </c>
      <c r="H32" s="185">
        <v>1747.4099217160001</v>
      </c>
      <c r="I32" s="185">
        <v>2594.9571027100001</v>
      </c>
      <c r="J32" s="186">
        <v>3620.2909161139996</v>
      </c>
    </row>
    <row r="33" spans="1:10" x14ac:dyDescent="0.2">
      <c r="A33" s="1222" t="s">
        <v>946</v>
      </c>
      <c r="B33" s="187" t="s">
        <v>936</v>
      </c>
      <c r="C33" s="181">
        <v>497630.20072600001</v>
      </c>
      <c r="D33" s="181">
        <v>465874.83722300001</v>
      </c>
      <c r="E33" s="181">
        <v>435320.292021</v>
      </c>
      <c r="F33" s="181">
        <v>406815.782366</v>
      </c>
      <c r="G33" s="181">
        <v>380235.23172799998</v>
      </c>
      <c r="H33" s="181">
        <v>355470.73128199996</v>
      </c>
      <c r="I33" s="181">
        <v>332445.59829899995</v>
      </c>
      <c r="J33" s="182">
        <v>311172.46897099999</v>
      </c>
    </row>
    <row r="34" spans="1:10" x14ac:dyDescent="0.2">
      <c r="A34" s="1223"/>
      <c r="B34" s="188" t="s">
        <v>937</v>
      </c>
      <c r="C34" s="183">
        <v>6268.6870111420003</v>
      </c>
      <c r="D34" s="183">
        <v>13019.257854719999</v>
      </c>
      <c r="E34" s="183">
        <v>21212.551880252999</v>
      </c>
      <c r="F34" s="183">
        <v>30471.886694692002</v>
      </c>
      <c r="G34" s="183">
        <v>40833.935445498995</v>
      </c>
      <c r="H34" s="183">
        <v>52372.348491759003</v>
      </c>
      <c r="I34" s="183">
        <v>65234.302872304004</v>
      </c>
      <c r="J34" s="184">
        <v>79775.806930645005</v>
      </c>
    </row>
    <row r="35" spans="1:10" x14ac:dyDescent="0.2">
      <c r="A35" s="1223"/>
      <c r="B35" s="188" t="s">
        <v>938</v>
      </c>
      <c r="C35" s="183">
        <v>404137.14091397001</v>
      </c>
      <c r="D35" s="183">
        <v>423707.92503034999</v>
      </c>
      <c r="E35" s="183">
        <v>441256.42741334997</v>
      </c>
      <c r="F35" s="183">
        <v>456247.95115235</v>
      </c>
      <c r="G35" s="183">
        <v>468916.99795835</v>
      </c>
      <c r="H35" s="183">
        <v>479534.11032335</v>
      </c>
      <c r="I35" s="183">
        <v>488479.11533035</v>
      </c>
      <c r="J35" s="184">
        <v>496553.01529635</v>
      </c>
    </row>
    <row r="36" spans="1:10" ht="15" thickBot="1" x14ac:dyDescent="0.25">
      <c r="A36" s="1224"/>
      <c r="B36" s="189" t="s">
        <v>939</v>
      </c>
      <c r="C36" s="185">
        <v>202.078493735</v>
      </c>
      <c r="D36" s="185">
        <v>395.80951708200001</v>
      </c>
      <c r="E36" s="185">
        <v>583.01550069100006</v>
      </c>
      <c r="F36" s="185">
        <v>809.09591097299995</v>
      </c>
      <c r="G36" s="185">
        <v>1076.6818553820001</v>
      </c>
      <c r="H36" s="185">
        <v>1391.513892938</v>
      </c>
      <c r="I36" s="185">
        <v>1761.3272281750001</v>
      </c>
      <c r="J36" s="186">
        <v>2200.9923303740002</v>
      </c>
    </row>
    <row r="37" spans="1:10" x14ac:dyDescent="0.2">
      <c r="A37" s="1222" t="s">
        <v>947</v>
      </c>
      <c r="B37" s="187" t="s">
        <v>936</v>
      </c>
      <c r="C37" s="181">
        <v>623373.64327200002</v>
      </c>
      <c r="D37" s="181">
        <v>582732.66321899998</v>
      </c>
      <c r="E37" s="181">
        <v>543613.48446299997</v>
      </c>
      <c r="F37" s="181">
        <v>507149.340623</v>
      </c>
      <c r="G37" s="181">
        <v>473167.22061600001</v>
      </c>
      <c r="H37" s="181">
        <v>441523.55644300004</v>
      </c>
      <c r="I37" s="181">
        <v>412069.10585200001</v>
      </c>
      <c r="J37" s="182">
        <v>384762.92231599998</v>
      </c>
    </row>
    <row r="38" spans="1:10" x14ac:dyDescent="0.2">
      <c r="A38" s="1223"/>
      <c r="B38" s="188" t="s">
        <v>937</v>
      </c>
      <c r="C38" s="183">
        <v>8421.5216627940008</v>
      </c>
      <c r="D38" s="183">
        <v>15680.120868795</v>
      </c>
      <c r="E38" s="183">
        <v>23514.097173025002</v>
      </c>
      <c r="F38" s="183">
        <v>30745.621729602</v>
      </c>
      <c r="G38" s="183">
        <v>37596.947569949996</v>
      </c>
      <c r="H38" s="183">
        <v>44298.660339444003</v>
      </c>
      <c r="I38" s="183">
        <v>51114.453268384998</v>
      </c>
      <c r="J38" s="184">
        <v>58436.361090028004</v>
      </c>
    </row>
    <row r="39" spans="1:10" x14ac:dyDescent="0.2">
      <c r="A39" s="1223"/>
      <c r="B39" s="188" t="s">
        <v>938</v>
      </c>
      <c r="C39" s="183">
        <v>509222.779248762</v>
      </c>
      <c r="D39" s="183">
        <v>520732.71721372003</v>
      </c>
      <c r="E39" s="183">
        <v>530550.10419771995</v>
      </c>
      <c r="F39" s="183">
        <v>538589.29750771995</v>
      </c>
      <c r="G39" s="183">
        <v>545028.96507772</v>
      </c>
      <c r="H39" s="183">
        <v>550078.60850871995</v>
      </c>
      <c r="I39" s="183">
        <v>553974.28935272002</v>
      </c>
      <c r="J39" s="184">
        <v>557267.49374972004</v>
      </c>
    </row>
    <row r="40" spans="1:10" ht="15" thickBot="1" x14ac:dyDescent="0.25">
      <c r="A40" s="1224"/>
      <c r="B40" s="189" t="s">
        <v>939</v>
      </c>
      <c r="C40" s="185">
        <v>297.63822943700001</v>
      </c>
      <c r="D40" s="185">
        <v>576.19922782000003</v>
      </c>
      <c r="E40" s="185">
        <v>837.226628549</v>
      </c>
      <c r="F40" s="185">
        <v>1781.6096430590001</v>
      </c>
      <c r="G40" s="185">
        <v>3336.0752838469998</v>
      </c>
      <c r="H40" s="185">
        <v>5449.3633666839996</v>
      </c>
      <c r="I40" s="185">
        <v>8075.8577671949997</v>
      </c>
      <c r="J40" s="186">
        <v>11180.589038986001</v>
      </c>
    </row>
    <row r="41" spans="1:10" x14ac:dyDescent="0.2">
      <c r="A41" s="1222" t="s">
        <v>948</v>
      </c>
      <c r="B41" s="187" t="s">
        <v>936</v>
      </c>
      <c r="C41" s="181">
        <v>718061.1325699999</v>
      </c>
      <c r="D41" s="181">
        <v>671520.82819599996</v>
      </c>
      <c r="E41" s="181">
        <v>627028.86580200004</v>
      </c>
      <c r="F41" s="181">
        <v>585503.28271299996</v>
      </c>
      <c r="G41" s="181">
        <v>546743.902703</v>
      </c>
      <c r="H41" s="181">
        <v>510567.29288199998</v>
      </c>
      <c r="I41" s="181">
        <v>476810.83834400005</v>
      </c>
      <c r="J41" s="182">
        <v>445353.60724499996</v>
      </c>
    </row>
    <row r="42" spans="1:10" x14ac:dyDescent="0.2">
      <c r="A42" s="1223"/>
      <c r="B42" s="188" t="s">
        <v>937</v>
      </c>
      <c r="C42" s="183">
        <v>7344.4519411800002</v>
      </c>
      <c r="D42" s="183">
        <v>13605.229464066</v>
      </c>
      <c r="E42" s="183">
        <v>20405.029738211997</v>
      </c>
      <c r="F42" s="183">
        <v>27023.579000015001</v>
      </c>
      <c r="G42" s="183">
        <v>33636.888702894998</v>
      </c>
      <c r="H42" s="183">
        <v>40440.244946273</v>
      </c>
      <c r="I42" s="183">
        <v>47676.773110423994</v>
      </c>
      <c r="J42" s="184">
        <v>55724.061606458999</v>
      </c>
    </row>
    <row r="43" spans="1:10" x14ac:dyDescent="0.2">
      <c r="A43" s="1223"/>
      <c r="B43" s="188" t="s">
        <v>938</v>
      </c>
      <c r="C43" s="183">
        <v>571012.70979308302</v>
      </c>
      <c r="D43" s="183">
        <v>596232.37972239999</v>
      </c>
      <c r="E43" s="183">
        <v>620667.5271224</v>
      </c>
      <c r="F43" s="183">
        <v>642944.27968239994</v>
      </c>
      <c r="G43" s="183">
        <v>663304.01136239991</v>
      </c>
      <c r="H43" s="183">
        <v>682022.01979240007</v>
      </c>
      <c r="I43" s="183">
        <v>699475.27782239998</v>
      </c>
      <c r="J43" s="184">
        <v>716406.94344239996</v>
      </c>
    </row>
    <row r="44" spans="1:10" ht="15" thickBot="1" x14ac:dyDescent="0.25">
      <c r="A44" s="1224"/>
      <c r="B44" s="189" t="s">
        <v>939</v>
      </c>
      <c r="C44" s="185">
        <v>224.21665809299998</v>
      </c>
      <c r="D44" s="185">
        <v>431.95485402499997</v>
      </c>
      <c r="E44" s="185">
        <v>624.25852758499991</v>
      </c>
      <c r="F44" s="185">
        <v>1304.9069695580001</v>
      </c>
      <c r="G44" s="185">
        <v>2419.2688316250001</v>
      </c>
      <c r="H44" s="185">
        <v>3929.0351375979999</v>
      </c>
      <c r="I44" s="185">
        <v>5800.0180300980001</v>
      </c>
      <c r="J44" s="186">
        <v>8004.5316823100002</v>
      </c>
    </row>
    <row r="45" spans="1:10" x14ac:dyDescent="0.2">
      <c r="A45" s="1222" t="s">
        <v>949</v>
      </c>
      <c r="B45" s="187" t="s">
        <v>936</v>
      </c>
      <c r="C45" s="181">
        <v>211167.66306599998</v>
      </c>
      <c r="D45" s="181">
        <v>197913.988878</v>
      </c>
      <c r="E45" s="181">
        <v>185033.75875000001</v>
      </c>
      <c r="F45" s="181">
        <v>173017.32886900002</v>
      </c>
      <c r="G45" s="181">
        <v>161812.25073099998</v>
      </c>
      <c r="H45" s="181">
        <v>151374.56086899998</v>
      </c>
      <c r="I45" s="181">
        <v>141740.21137599999</v>
      </c>
      <c r="J45" s="182">
        <v>132789.6518929</v>
      </c>
    </row>
    <row r="46" spans="1:10" x14ac:dyDescent="0.2">
      <c r="A46" s="1223"/>
      <c r="B46" s="188" t="s">
        <v>937</v>
      </c>
      <c r="C46" s="183">
        <v>3919.332677465</v>
      </c>
      <c r="D46" s="183">
        <v>7280.9931397170003</v>
      </c>
      <c r="E46" s="183">
        <v>11365.108379978999</v>
      </c>
      <c r="F46" s="183">
        <v>15626.388570236</v>
      </c>
      <c r="G46" s="183">
        <v>20127.255253837</v>
      </c>
      <c r="H46" s="183">
        <v>24944.819817062998</v>
      </c>
      <c r="I46" s="183">
        <v>30192.699068958002</v>
      </c>
      <c r="J46" s="184">
        <v>36084.638257485996</v>
      </c>
    </row>
    <row r="47" spans="1:10" x14ac:dyDescent="0.2">
      <c r="A47" s="1223"/>
      <c r="B47" s="188" t="s">
        <v>938</v>
      </c>
      <c r="C47" s="183">
        <v>176055.63046074999</v>
      </c>
      <c r="D47" s="183">
        <v>185637.21715799</v>
      </c>
      <c r="E47" s="183">
        <v>194476.58631598999</v>
      </c>
      <c r="F47" s="183">
        <v>202400.09719299001</v>
      </c>
      <c r="G47" s="183">
        <v>209491.18154599</v>
      </c>
      <c r="H47" s="183">
        <v>215854.44962399002</v>
      </c>
      <c r="I47" s="183">
        <v>221780.94857899001</v>
      </c>
      <c r="J47" s="184">
        <v>227415.31560698999</v>
      </c>
    </row>
    <row r="48" spans="1:10" ht="15" thickBot="1" x14ac:dyDescent="0.25">
      <c r="A48" s="1224"/>
      <c r="B48" s="189" t="s">
        <v>939</v>
      </c>
      <c r="C48" s="185">
        <v>107.35993688900001</v>
      </c>
      <c r="D48" s="185">
        <v>211.778569205</v>
      </c>
      <c r="E48" s="185">
        <v>314.34271517999997</v>
      </c>
      <c r="F48" s="185">
        <v>629.03878497200003</v>
      </c>
      <c r="G48" s="185">
        <v>1152.275182269</v>
      </c>
      <c r="H48" s="185">
        <v>1879.6680374130001</v>
      </c>
      <c r="I48" s="185">
        <v>2809.3918270679997</v>
      </c>
      <c r="J48" s="186">
        <v>3945.5956164019999</v>
      </c>
    </row>
    <row r="49" spans="1:10" x14ac:dyDescent="0.2">
      <c r="A49" s="1222" t="s">
        <v>950</v>
      </c>
      <c r="B49" s="187" t="s">
        <v>936</v>
      </c>
      <c r="C49" s="181">
        <v>434660.29790299997</v>
      </c>
      <c r="D49" s="181">
        <v>407141.41594700003</v>
      </c>
      <c r="E49" s="181">
        <v>380478.728734</v>
      </c>
      <c r="F49" s="181">
        <v>355598.71944999998</v>
      </c>
      <c r="G49" s="181">
        <v>332391.26776199997</v>
      </c>
      <c r="H49" s="181">
        <v>310774.42476800003</v>
      </c>
      <c r="I49" s="181">
        <v>290666.936208</v>
      </c>
      <c r="J49" s="182">
        <v>272063.78401810001</v>
      </c>
    </row>
    <row r="50" spans="1:10" x14ac:dyDescent="0.2">
      <c r="A50" s="1223"/>
      <c r="B50" s="188" t="s">
        <v>937</v>
      </c>
      <c r="C50" s="183">
        <v>8176.3609406159994</v>
      </c>
      <c r="D50" s="183">
        <v>15464.731333714</v>
      </c>
      <c r="E50" s="183">
        <v>24232.680078714002</v>
      </c>
      <c r="F50" s="183">
        <v>33367.127992431</v>
      </c>
      <c r="G50" s="183">
        <v>42982.372459762002</v>
      </c>
      <c r="H50" s="183">
        <v>53217.969875769995</v>
      </c>
      <c r="I50" s="183">
        <v>64272.774110658007</v>
      </c>
      <c r="J50" s="184">
        <v>76532.629894850004</v>
      </c>
    </row>
    <row r="51" spans="1:10" x14ac:dyDescent="0.2">
      <c r="A51" s="1223"/>
      <c r="B51" s="188" t="s">
        <v>938</v>
      </c>
      <c r="C51" s="183">
        <v>367979.73202969</v>
      </c>
      <c r="D51" s="183">
        <v>385629.66589817998</v>
      </c>
      <c r="E51" s="183">
        <v>401188.78049218003</v>
      </c>
      <c r="F51" s="183">
        <v>414962.32333817997</v>
      </c>
      <c r="G51" s="183">
        <v>427110.53604718007</v>
      </c>
      <c r="H51" s="183">
        <v>437849.05053218</v>
      </c>
      <c r="I51" s="183">
        <v>447447.09627018002</v>
      </c>
      <c r="J51" s="184">
        <v>456553.30661317997</v>
      </c>
    </row>
    <row r="52" spans="1:10" ht="15" thickBot="1" x14ac:dyDescent="0.25">
      <c r="A52" s="1224"/>
      <c r="B52" s="189" t="s">
        <v>939</v>
      </c>
      <c r="C52" s="185">
        <v>216.90253568</v>
      </c>
      <c r="D52" s="185">
        <v>422.06519313299998</v>
      </c>
      <c r="E52" s="185">
        <v>618.28382118100001</v>
      </c>
      <c r="F52" s="185">
        <v>1242.6881835290001</v>
      </c>
      <c r="G52" s="185">
        <v>2289.0272877990001</v>
      </c>
      <c r="H52" s="185">
        <v>3744.9106091880003</v>
      </c>
      <c r="I52" s="185">
        <v>5602.945004315</v>
      </c>
      <c r="J52" s="186">
        <v>7866.7860328030001</v>
      </c>
    </row>
  </sheetData>
  <mergeCells count="12">
    <mergeCell ref="A49:A52"/>
    <mergeCell ref="A5:A8"/>
    <mergeCell ref="A9:A12"/>
    <mergeCell ref="A13:A16"/>
    <mergeCell ref="A17:A20"/>
    <mergeCell ref="A21:A24"/>
    <mergeCell ref="A25:A28"/>
    <mergeCell ref="A29:A32"/>
    <mergeCell ref="A33:A36"/>
    <mergeCell ref="A37:A40"/>
    <mergeCell ref="A41:A44"/>
    <mergeCell ref="A45:A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3651D-E478-4EEB-B10B-D29496E52718}">
  <sheetPr>
    <tabColor theme="0" tint="-0.14999847407452621"/>
  </sheetPr>
  <dimension ref="A1:B86"/>
  <sheetViews>
    <sheetView workbookViewId="0">
      <selection activeCell="C78" sqref="C78"/>
    </sheetView>
  </sheetViews>
  <sheetFormatPr baseColWidth="10" defaultColWidth="10.5" defaultRowHeight="14.25" x14ac:dyDescent="0.2"/>
  <cols>
    <col min="1" max="1" width="17.625" customWidth="1"/>
    <col min="2" max="2" width="42.375" bestFit="1" customWidth="1"/>
  </cols>
  <sheetData>
    <row r="1" spans="1:2" s="46" customFormat="1" ht="15.75" x14ac:dyDescent="0.25">
      <c r="A1" s="46" t="s">
        <v>951</v>
      </c>
      <c r="B1" s="46" t="s">
        <v>952</v>
      </c>
    </row>
    <row r="2" spans="1:2" x14ac:dyDescent="0.2">
      <c r="A2" t="s">
        <v>953</v>
      </c>
      <c r="B2" t="s">
        <v>954</v>
      </c>
    </row>
    <row r="3" spans="1:2" x14ac:dyDescent="0.2">
      <c r="A3" t="s">
        <v>953</v>
      </c>
      <c r="B3" t="s">
        <v>955</v>
      </c>
    </row>
    <row r="4" spans="1:2" x14ac:dyDescent="0.2">
      <c r="A4" t="s">
        <v>953</v>
      </c>
      <c r="B4" t="s">
        <v>939</v>
      </c>
    </row>
    <row r="5" spans="1:2" x14ac:dyDescent="0.2">
      <c r="A5" t="s">
        <v>953</v>
      </c>
      <c r="B5" t="s">
        <v>956</v>
      </c>
    </row>
    <row r="6" spans="1:2" x14ac:dyDescent="0.2">
      <c r="A6" t="s">
        <v>953</v>
      </c>
      <c r="B6" t="s">
        <v>957</v>
      </c>
    </row>
    <row r="7" spans="1:2" x14ac:dyDescent="0.2">
      <c r="A7" t="s">
        <v>953</v>
      </c>
      <c r="B7" t="s">
        <v>958</v>
      </c>
    </row>
    <row r="8" spans="1:2" x14ac:dyDescent="0.2">
      <c r="A8" t="s">
        <v>953</v>
      </c>
      <c r="B8" t="s">
        <v>959</v>
      </c>
    </row>
    <row r="9" spans="1:2" x14ac:dyDescent="0.2">
      <c r="A9" t="s">
        <v>953</v>
      </c>
      <c r="B9" t="s">
        <v>960</v>
      </c>
    </row>
    <row r="10" spans="1:2" x14ac:dyDescent="0.2">
      <c r="A10" t="s">
        <v>953</v>
      </c>
      <c r="B10" t="s">
        <v>961</v>
      </c>
    </row>
    <row r="11" spans="1:2" x14ac:dyDescent="0.2">
      <c r="A11" t="s">
        <v>953</v>
      </c>
      <c r="B11" t="s">
        <v>962</v>
      </c>
    </row>
    <row r="12" spans="1:2" x14ac:dyDescent="0.2">
      <c r="A12" t="s">
        <v>953</v>
      </c>
      <c r="B12" t="s">
        <v>963</v>
      </c>
    </row>
    <row r="13" spans="1:2" x14ac:dyDescent="0.2">
      <c r="A13" t="s">
        <v>953</v>
      </c>
      <c r="B13" t="s">
        <v>964</v>
      </c>
    </row>
    <row r="14" spans="1:2" x14ac:dyDescent="0.2">
      <c r="A14" t="s">
        <v>953</v>
      </c>
      <c r="B14" t="s">
        <v>965</v>
      </c>
    </row>
    <row r="15" spans="1:2" x14ac:dyDescent="0.2">
      <c r="A15" t="s">
        <v>953</v>
      </c>
      <c r="B15" t="s">
        <v>966</v>
      </c>
    </row>
    <row r="16" spans="1:2" x14ac:dyDescent="0.2">
      <c r="A16" t="s">
        <v>953</v>
      </c>
      <c r="B16" t="s">
        <v>967</v>
      </c>
    </row>
    <row r="17" spans="1:2" x14ac:dyDescent="0.2">
      <c r="A17" t="s">
        <v>953</v>
      </c>
      <c r="B17" t="s">
        <v>968</v>
      </c>
    </row>
    <row r="18" spans="1:2" x14ac:dyDescent="0.2">
      <c r="A18" t="s">
        <v>953</v>
      </c>
      <c r="B18" t="s">
        <v>969</v>
      </c>
    </row>
    <row r="19" spans="1:2" x14ac:dyDescent="0.2">
      <c r="A19" t="s">
        <v>970</v>
      </c>
      <c r="B19" t="s">
        <v>971</v>
      </c>
    </row>
    <row r="20" spans="1:2" x14ac:dyDescent="0.2">
      <c r="A20" t="s">
        <v>970</v>
      </c>
      <c r="B20" t="s">
        <v>939</v>
      </c>
    </row>
    <row r="21" spans="1:2" x14ac:dyDescent="0.2">
      <c r="A21" t="s">
        <v>970</v>
      </c>
      <c r="B21" t="s">
        <v>972</v>
      </c>
    </row>
    <row r="22" spans="1:2" x14ac:dyDescent="0.2">
      <c r="A22" t="s">
        <v>970</v>
      </c>
      <c r="B22" t="s">
        <v>973</v>
      </c>
    </row>
    <row r="23" spans="1:2" x14ac:dyDescent="0.2">
      <c r="A23" t="s">
        <v>970</v>
      </c>
      <c r="B23" t="s">
        <v>974</v>
      </c>
    </row>
    <row r="24" spans="1:2" x14ac:dyDescent="0.2">
      <c r="A24" t="s">
        <v>970</v>
      </c>
      <c r="B24" t="s">
        <v>975</v>
      </c>
    </row>
    <row r="25" spans="1:2" x14ac:dyDescent="0.2">
      <c r="A25" t="s">
        <v>970</v>
      </c>
      <c r="B25" t="s">
        <v>976</v>
      </c>
    </row>
    <row r="26" spans="1:2" x14ac:dyDescent="0.2">
      <c r="A26" t="s">
        <v>970</v>
      </c>
      <c r="B26" t="s">
        <v>977</v>
      </c>
    </row>
    <row r="27" spans="1:2" x14ac:dyDescent="0.2">
      <c r="A27" t="s">
        <v>970</v>
      </c>
      <c r="B27" t="s">
        <v>978</v>
      </c>
    </row>
    <row r="28" spans="1:2" x14ac:dyDescent="0.2">
      <c r="A28" t="s">
        <v>970</v>
      </c>
      <c r="B28" t="s">
        <v>979</v>
      </c>
    </row>
    <row r="29" spans="1:2" x14ac:dyDescent="0.2">
      <c r="A29" t="s">
        <v>970</v>
      </c>
      <c r="B29" t="s">
        <v>980</v>
      </c>
    </row>
    <row r="30" spans="1:2" x14ac:dyDescent="0.2">
      <c r="A30" t="s">
        <v>970</v>
      </c>
      <c r="B30" t="s">
        <v>981</v>
      </c>
    </row>
    <row r="31" spans="1:2" x14ac:dyDescent="0.2">
      <c r="A31" t="s">
        <v>970</v>
      </c>
      <c r="B31" t="s">
        <v>982</v>
      </c>
    </row>
    <row r="32" spans="1:2" x14ac:dyDescent="0.2">
      <c r="A32" t="s">
        <v>970</v>
      </c>
      <c r="B32" t="s">
        <v>983</v>
      </c>
    </row>
    <row r="33" spans="1:2" x14ac:dyDescent="0.2">
      <c r="A33" t="s">
        <v>970</v>
      </c>
      <c r="B33" t="s">
        <v>984</v>
      </c>
    </row>
    <row r="34" spans="1:2" x14ac:dyDescent="0.2">
      <c r="A34" t="s">
        <v>416</v>
      </c>
      <c r="B34" t="s">
        <v>939</v>
      </c>
    </row>
    <row r="35" spans="1:2" x14ac:dyDescent="0.2">
      <c r="A35" t="s">
        <v>416</v>
      </c>
      <c r="B35" t="s">
        <v>985</v>
      </c>
    </row>
    <row r="36" spans="1:2" x14ac:dyDescent="0.2">
      <c r="A36" t="s">
        <v>416</v>
      </c>
      <c r="B36" t="s">
        <v>976</v>
      </c>
    </row>
    <row r="37" spans="1:2" x14ac:dyDescent="0.2">
      <c r="A37" t="s">
        <v>416</v>
      </c>
      <c r="B37" t="s">
        <v>986</v>
      </c>
    </row>
    <row r="38" spans="1:2" x14ac:dyDescent="0.2">
      <c r="A38" t="s">
        <v>416</v>
      </c>
      <c r="B38" t="s">
        <v>987</v>
      </c>
    </row>
    <row r="39" spans="1:2" x14ac:dyDescent="0.2">
      <c r="A39" t="s">
        <v>416</v>
      </c>
      <c r="B39" t="s">
        <v>988</v>
      </c>
    </row>
    <row r="40" spans="1:2" x14ac:dyDescent="0.2">
      <c r="A40" t="s">
        <v>416</v>
      </c>
      <c r="B40" t="s">
        <v>989</v>
      </c>
    </row>
    <row r="41" spans="1:2" x14ac:dyDescent="0.2">
      <c r="A41" t="s">
        <v>416</v>
      </c>
      <c r="B41" t="s">
        <v>990</v>
      </c>
    </row>
    <row r="42" spans="1:2" x14ac:dyDescent="0.2">
      <c r="A42" t="s">
        <v>416</v>
      </c>
      <c r="B42" t="s">
        <v>991</v>
      </c>
    </row>
    <row r="43" spans="1:2" x14ac:dyDescent="0.2">
      <c r="A43" t="s">
        <v>416</v>
      </c>
      <c r="B43" t="s">
        <v>992</v>
      </c>
    </row>
    <row r="44" spans="1:2" x14ac:dyDescent="0.2">
      <c r="A44" t="s">
        <v>416</v>
      </c>
      <c r="B44" t="s">
        <v>993</v>
      </c>
    </row>
    <row r="45" spans="1:2" x14ac:dyDescent="0.2">
      <c r="A45" t="s">
        <v>416</v>
      </c>
      <c r="B45" t="s">
        <v>994</v>
      </c>
    </row>
    <row r="46" spans="1:2" x14ac:dyDescent="0.2">
      <c r="A46" t="s">
        <v>416</v>
      </c>
      <c r="B46" t="s">
        <v>995</v>
      </c>
    </row>
    <row r="47" spans="1:2" x14ac:dyDescent="0.2">
      <c r="A47" t="s">
        <v>416</v>
      </c>
      <c r="B47" t="s">
        <v>996</v>
      </c>
    </row>
    <row r="48" spans="1:2" x14ac:dyDescent="0.2">
      <c r="A48" t="s">
        <v>416</v>
      </c>
      <c r="B48" t="s">
        <v>997</v>
      </c>
    </row>
    <row r="49" spans="1:2" x14ac:dyDescent="0.2">
      <c r="A49" t="s">
        <v>416</v>
      </c>
      <c r="B49" t="s">
        <v>998</v>
      </c>
    </row>
    <row r="50" spans="1:2" x14ac:dyDescent="0.2">
      <c r="A50" t="s">
        <v>416</v>
      </c>
      <c r="B50" t="s">
        <v>999</v>
      </c>
    </row>
    <row r="51" spans="1:2" x14ac:dyDescent="0.2">
      <c r="A51" t="s">
        <v>416</v>
      </c>
      <c r="B51" t="s">
        <v>1000</v>
      </c>
    </row>
    <row r="52" spans="1:2" x14ac:dyDescent="0.2">
      <c r="A52" t="s">
        <v>416</v>
      </c>
      <c r="B52" t="s">
        <v>1001</v>
      </c>
    </row>
    <row r="53" spans="1:2" x14ac:dyDescent="0.2">
      <c r="A53" t="s">
        <v>416</v>
      </c>
      <c r="B53" t="s">
        <v>1002</v>
      </c>
    </row>
    <row r="54" spans="1:2" x14ac:dyDescent="0.2">
      <c r="A54" t="s">
        <v>416</v>
      </c>
      <c r="B54" t="s">
        <v>1003</v>
      </c>
    </row>
    <row r="55" spans="1:2" x14ac:dyDescent="0.2">
      <c r="A55" t="s">
        <v>416</v>
      </c>
      <c r="B55" t="s">
        <v>1004</v>
      </c>
    </row>
    <row r="56" spans="1:2" x14ac:dyDescent="0.2">
      <c r="A56" t="s">
        <v>1005</v>
      </c>
      <c r="B56" t="s">
        <v>1006</v>
      </c>
    </row>
    <row r="57" spans="1:2" x14ac:dyDescent="0.2">
      <c r="A57" t="s">
        <v>1005</v>
      </c>
      <c r="B57" t="s">
        <v>1007</v>
      </c>
    </row>
    <row r="58" spans="1:2" x14ac:dyDescent="0.2">
      <c r="A58" t="s">
        <v>1005</v>
      </c>
      <c r="B58" t="s">
        <v>1008</v>
      </c>
    </row>
    <row r="59" spans="1:2" x14ac:dyDescent="0.2">
      <c r="A59" t="s">
        <v>1005</v>
      </c>
      <c r="B59" t="s">
        <v>1009</v>
      </c>
    </row>
    <row r="60" spans="1:2" x14ac:dyDescent="0.2">
      <c r="A60" t="s">
        <v>1005</v>
      </c>
      <c r="B60" t="s">
        <v>1010</v>
      </c>
    </row>
    <row r="61" spans="1:2" x14ac:dyDescent="0.2">
      <c r="A61" t="s">
        <v>1005</v>
      </c>
      <c r="B61" t="s">
        <v>1011</v>
      </c>
    </row>
    <row r="62" spans="1:2" x14ac:dyDescent="0.2">
      <c r="A62" t="s">
        <v>1005</v>
      </c>
      <c r="B62" t="s">
        <v>1012</v>
      </c>
    </row>
    <row r="63" spans="1:2" x14ac:dyDescent="0.2">
      <c r="A63" t="s">
        <v>1005</v>
      </c>
      <c r="B63" t="s">
        <v>1013</v>
      </c>
    </row>
    <row r="64" spans="1:2" x14ac:dyDescent="0.2">
      <c r="A64" t="s">
        <v>1005</v>
      </c>
      <c r="B64" t="s">
        <v>1014</v>
      </c>
    </row>
    <row r="65" spans="1:2" x14ac:dyDescent="0.2">
      <c r="A65" t="s">
        <v>1005</v>
      </c>
      <c r="B65" t="s">
        <v>1015</v>
      </c>
    </row>
    <row r="66" spans="1:2" x14ac:dyDescent="0.2">
      <c r="A66" t="s">
        <v>1005</v>
      </c>
      <c r="B66" t="s">
        <v>1016</v>
      </c>
    </row>
    <row r="67" spans="1:2" x14ac:dyDescent="0.2">
      <c r="A67" t="s">
        <v>1005</v>
      </c>
      <c r="B67" t="s">
        <v>1017</v>
      </c>
    </row>
    <row r="68" spans="1:2" x14ac:dyDescent="0.2">
      <c r="A68" t="s">
        <v>1005</v>
      </c>
      <c r="B68" t="s">
        <v>1018</v>
      </c>
    </row>
    <row r="69" spans="1:2" x14ac:dyDescent="0.2">
      <c r="A69" t="s">
        <v>1005</v>
      </c>
      <c r="B69" t="s">
        <v>1019</v>
      </c>
    </row>
    <row r="70" spans="1:2" x14ac:dyDescent="0.2">
      <c r="A70" t="s">
        <v>1005</v>
      </c>
      <c r="B70" t="s">
        <v>1020</v>
      </c>
    </row>
    <row r="71" spans="1:2" x14ac:dyDescent="0.2">
      <c r="A71" t="s">
        <v>1005</v>
      </c>
      <c r="B71" t="s">
        <v>1021</v>
      </c>
    </row>
    <row r="72" spans="1:2" x14ac:dyDescent="0.2">
      <c r="A72" t="s">
        <v>1005</v>
      </c>
      <c r="B72" t="s">
        <v>1022</v>
      </c>
    </row>
    <row r="73" spans="1:2" x14ac:dyDescent="0.2">
      <c r="A73" t="s">
        <v>1005</v>
      </c>
      <c r="B73" t="s">
        <v>1023</v>
      </c>
    </row>
    <row r="74" spans="1:2" x14ac:dyDescent="0.2">
      <c r="A74" t="s">
        <v>1005</v>
      </c>
      <c r="B74" t="s">
        <v>1024</v>
      </c>
    </row>
    <row r="75" spans="1:2" x14ac:dyDescent="0.2">
      <c r="A75" t="s">
        <v>1005</v>
      </c>
      <c r="B75" t="s">
        <v>1025</v>
      </c>
    </row>
    <row r="76" spans="1:2" x14ac:dyDescent="0.2">
      <c r="A76" t="s">
        <v>1005</v>
      </c>
      <c r="B76" t="s">
        <v>1026</v>
      </c>
    </row>
    <row r="77" spans="1:2" x14ac:dyDescent="0.2">
      <c r="A77" t="s">
        <v>1005</v>
      </c>
      <c r="B77" t="s">
        <v>1027</v>
      </c>
    </row>
    <row r="78" spans="1:2" x14ac:dyDescent="0.2">
      <c r="A78" t="s">
        <v>1005</v>
      </c>
      <c r="B78" t="s">
        <v>1028</v>
      </c>
    </row>
    <row r="79" spans="1:2" x14ac:dyDescent="0.2">
      <c r="A79" t="s">
        <v>1005</v>
      </c>
      <c r="B79" t="s">
        <v>1029</v>
      </c>
    </row>
    <row r="80" spans="1:2" x14ac:dyDescent="0.2">
      <c r="A80" t="s">
        <v>1005</v>
      </c>
      <c r="B80" t="s">
        <v>1030</v>
      </c>
    </row>
    <row r="81" spans="1:2" x14ac:dyDescent="0.2">
      <c r="A81" t="s">
        <v>1005</v>
      </c>
      <c r="B81" t="s">
        <v>1031</v>
      </c>
    </row>
    <row r="82" spans="1:2" x14ac:dyDescent="0.2">
      <c r="A82" t="s">
        <v>1005</v>
      </c>
      <c r="B82" t="s">
        <v>1032</v>
      </c>
    </row>
    <row r="83" spans="1:2" x14ac:dyDescent="0.2">
      <c r="A83" t="s">
        <v>1005</v>
      </c>
      <c r="B83" t="s">
        <v>1033</v>
      </c>
    </row>
    <row r="84" spans="1:2" x14ac:dyDescent="0.2">
      <c r="A84" t="s">
        <v>1005</v>
      </c>
      <c r="B84" t="s">
        <v>1034</v>
      </c>
    </row>
    <row r="85" spans="1:2" x14ac:dyDescent="0.2">
      <c r="A85" t="s">
        <v>1005</v>
      </c>
      <c r="B85" t="s">
        <v>1035</v>
      </c>
    </row>
    <row r="86" spans="1:2" x14ac:dyDescent="0.2">
      <c r="A86" t="s">
        <v>1005</v>
      </c>
      <c r="B86" t="s">
        <v>1036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75179-3B01-4C74-8867-FF058A38F257}">
  <sheetPr>
    <tabColor theme="0" tint="-0.14999847407452621"/>
  </sheetPr>
  <dimension ref="A1:B57"/>
  <sheetViews>
    <sheetView topLeftCell="B37" workbookViewId="0">
      <selection activeCell="C83" sqref="C83"/>
    </sheetView>
  </sheetViews>
  <sheetFormatPr baseColWidth="10" defaultColWidth="11" defaultRowHeight="14.25" x14ac:dyDescent="0.2"/>
  <cols>
    <col min="2" max="2" width="43.75" bestFit="1" customWidth="1"/>
  </cols>
  <sheetData>
    <row r="1" spans="1:2" s="46" customFormat="1" ht="15.75" x14ac:dyDescent="0.25">
      <c r="A1" s="46" t="s">
        <v>951</v>
      </c>
      <c r="B1" s="46" t="s">
        <v>952</v>
      </c>
    </row>
    <row r="2" spans="1:2" x14ac:dyDescent="0.2">
      <c r="A2" t="s">
        <v>1037</v>
      </c>
      <c r="B2" t="s">
        <v>1038</v>
      </c>
    </row>
    <row r="3" spans="1:2" x14ac:dyDescent="0.2">
      <c r="A3" t="s">
        <v>1037</v>
      </c>
      <c r="B3" t="s">
        <v>1039</v>
      </c>
    </row>
    <row r="4" spans="1:2" x14ac:dyDescent="0.2">
      <c r="A4" t="s">
        <v>1037</v>
      </c>
      <c r="B4" t="s">
        <v>1040</v>
      </c>
    </row>
    <row r="5" spans="1:2" x14ac:dyDescent="0.2">
      <c r="A5" t="s">
        <v>1037</v>
      </c>
      <c r="B5" t="s">
        <v>1041</v>
      </c>
    </row>
    <row r="6" spans="1:2" x14ac:dyDescent="0.2">
      <c r="A6" t="s">
        <v>1037</v>
      </c>
      <c r="B6" t="s">
        <v>1041</v>
      </c>
    </row>
    <row r="7" spans="1:2" x14ac:dyDescent="0.2">
      <c r="A7" t="s">
        <v>1037</v>
      </c>
      <c r="B7" t="s">
        <v>1042</v>
      </c>
    </row>
    <row r="8" spans="1:2" x14ac:dyDescent="0.2">
      <c r="A8" t="s">
        <v>1037</v>
      </c>
      <c r="B8" t="s">
        <v>1042</v>
      </c>
    </row>
    <row r="9" spans="1:2" x14ac:dyDescent="0.2">
      <c r="A9" t="s">
        <v>1037</v>
      </c>
      <c r="B9" t="s">
        <v>1042</v>
      </c>
    </row>
    <row r="10" spans="1:2" x14ac:dyDescent="0.2">
      <c r="A10" t="s">
        <v>1037</v>
      </c>
      <c r="B10" t="s">
        <v>1042</v>
      </c>
    </row>
    <row r="11" spans="1:2" x14ac:dyDescent="0.2">
      <c r="A11" t="s">
        <v>1037</v>
      </c>
      <c r="B11" t="s">
        <v>1043</v>
      </c>
    </row>
    <row r="12" spans="1:2" x14ac:dyDescent="0.2">
      <c r="A12" t="s">
        <v>1037</v>
      </c>
      <c r="B12" t="s">
        <v>1043</v>
      </c>
    </row>
    <row r="13" spans="1:2" x14ac:dyDescent="0.2">
      <c r="A13" t="s">
        <v>1037</v>
      </c>
      <c r="B13" t="s">
        <v>1043</v>
      </c>
    </row>
    <row r="14" spans="1:2" x14ac:dyDescent="0.2">
      <c r="A14" t="s">
        <v>1037</v>
      </c>
      <c r="B14" t="s">
        <v>1044</v>
      </c>
    </row>
    <row r="15" spans="1:2" x14ac:dyDescent="0.2">
      <c r="A15" t="s">
        <v>1037</v>
      </c>
      <c r="B15" t="s">
        <v>1044</v>
      </c>
    </row>
    <row r="16" spans="1:2" x14ac:dyDescent="0.2">
      <c r="A16" t="s">
        <v>1037</v>
      </c>
      <c r="B16" t="s">
        <v>1045</v>
      </c>
    </row>
    <row r="17" spans="1:2" x14ac:dyDescent="0.2">
      <c r="A17" t="s">
        <v>1037</v>
      </c>
      <c r="B17" t="s">
        <v>1046</v>
      </c>
    </row>
    <row r="18" spans="1:2" x14ac:dyDescent="0.2">
      <c r="A18" t="s">
        <v>1037</v>
      </c>
      <c r="B18" t="s">
        <v>1047</v>
      </c>
    </row>
    <row r="19" spans="1:2" x14ac:dyDescent="0.2">
      <c r="A19" t="s">
        <v>1037</v>
      </c>
      <c r="B19" t="s">
        <v>1048</v>
      </c>
    </row>
    <row r="20" spans="1:2" x14ac:dyDescent="0.2">
      <c r="A20" t="s">
        <v>1037</v>
      </c>
      <c r="B20" t="s">
        <v>1049</v>
      </c>
    </row>
    <row r="21" spans="1:2" x14ac:dyDescent="0.2">
      <c r="A21" t="s">
        <v>1037</v>
      </c>
      <c r="B21" t="s">
        <v>1050</v>
      </c>
    </row>
    <row r="22" spans="1:2" x14ac:dyDescent="0.2">
      <c r="A22" t="s">
        <v>1037</v>
      </c>
      <c r="B22" t="s">
        <v>1051</v>
      </c>
    </row>
    <row r="23" spans="1:2" x14ac:dyDescent="0.2">
      <c r="A23" t="s">
        <v>1037</v>
      </c>
      <c r="B23" t="s">
        <v>1052</v>
      </c>
    </row>
    <row r="24" spans="1:2" x14ac:dyDescent="0.2">
      <c r="A24" t="s">
        <v>1037</v>
      </c>
      <c r="B24" t="s">
        <v>1053</v>
      </c>
    </row>
    <row r="25" spans="1:2" x14ac:dyDescent="0.2">
      <c r="A25" t="s">
        <v>1037</v>
      </c>
      <c r="B25" t="s">
        <v>1054</v>
      </c>
    </row>
    <row r="26" spans="1:2" x14ac:dyDescent="0.2">
      <c r="A26" t="s">
        <v>1037</v>
      </c>
      <c r="B26" t="s">
        <v>1055</v>
      </c>
    </row>
    <row r="27" spans="1:2" x14ac:dyDescent="0.2">
      <c r="A27" t="s">
        <v>1037</v>
      </c>
      <c r="B27" t="s">
        <v>1044</v>
      </c>
    </row>
    <row r="28" spans="1:2" x14ac:dyDescent="0.2">
      <c r="A28" t="s">
        <v>1037</v>
      </c>
      <c r="B28" t="s">
        <v>1056</v>
      </c>
    </row>
    <row r="29" spans="1:2" x14ac:dyDescent="0.2">
      <c r="A29" t="s">
        <v>1037</v>
      </c>
      <c r="B29" t="s">
        <v>1057</v>
      </c>
    </row>
    <row r="30" spans="1:2" x14ac:dyDescent="0.2">
      <c r="A30" t="s">
        <v>1037</v>
      </c>
      <c r="B30" t="s">
        <v>1058</v>
      </c>
    </row>
    <row r="31" spans="1:2" x14ac:dyDescent="0.2">
      <c r="A31" t="s">
        <v>1037</v>
      </c>
      <c r="B31" t="s">
        <v>1038</v>
      </c>
    </row>
    <row r="32" spans="1:2" x14ac:dyDescent="0.2">
      <c r="A32" t="s">
        <v>1037</v>
      </c>
      <c r="B32" t="s">
        <v>1059</v>
      </c>
    </row>
    <row r="33" spans="1:2" x14ac:dyDescent="0.2">
      <c r="A33" t="s">
        <v>1037</v>
      </c>
      <c r="B33" t="s">
        <v>1060</v>
      </c>
    </row>
    <row r="34" spans="1:2" x14ac:dyDescent="0.2">
      <c r="A34" t="s">
        <v>1037</v>
      </c>
      <c r="B34" t="s">
        <v>1061</v>
      </c>
    </row>
    <row r="35" spans="1:2" x14ac:dyDescent="0.2">
      <c r="A35" t="s">
        <v>1037</v>
      </c>
      <c r="B35" t="s">
        <v>1062</v>
      </c>
    </row>
    <row r="36" spans="1:2" x14ac:dyDescent="0.2">
      <c r="A36" t="s">
        <v>1037</v>
      </c>
      <c r="B36" t="s">
        <v>1063</v>
      </c>
    </row>
    <row r="37" spans="1:2" x14ac:dyDescent="0.2">
      <c r="A37" t="s">
        <v>1037</v>
      </c>
      <c r="B37" t="s">
        <v>1064</v>
      </c>
    </row>
    <row r="38" spans="1:2" x14ac:dyDescent="0.2">
      <c r="A38" t="s">
        <v>1037</v>
      </c>
      <c r="B38" t="s">
        <v>1065</v>
      </c>
    </row>
    <row r="39" spans="1:2" x14ac:dyDescent="0.2">
      <c r="A39" t="s">
        <v>1037</v>
      </c>
      <c r="B39" t="s">
        <v>1066</v>
      </c>
    </row>
    <row r="40" spans="1:2" x14ac:dyDescent="0.2">
      <c r="A40" t="s">
        <v>1037</v>
      </c>
      <c r="B40" t="s">
        <v>1067</v>
      </c>
    </row>
    <row r="41" spans="1:2" x14ac:dyDescent="0.2">
      <c r="A41" t="s">
        <v>1037</v>
      </c>
      <c r="B41" t="s">
        <v>1068</v>
      </c>
    </row>
    <row r="42" spans="1:2" x14ac:dyDescent="0.2">
      <c r="A42" t="s">
        <v>1037</v>
      </c>
      <c r="B42" t="s">
        <v>1069</v>
      </c>
    </row>
    <row r="43" spans="1:2" x14ac:dyDescent="0.2">
      <c r="A43" t="s">
        <v>1037</v>
      </c>
      <c r="B43" t="s">
        <v>1070</v>
      </c>
    </row>
    <row r="44" spans="1:2" x14ac:dyDescent="0.2">
      <c r="A44" t="s">
        <v>1037</v>
      </c>
      <c r="B44" t="s">
        <v>1071</v>
      </c>
    </row>
    <row r="45" spans="1:2" x14ac:dyDescent="0.2">
      <c r="A45" t="s">
        <v>1037</v>
      </c>
      <c r="B45" t="s">
        <v>1072</v>
      </c>
    </row>
    <row r="46" spans="1:2" x14ac:dyDescent="0.2">
      <c r="A46" t="s">
        <v>1037</v>
      </c>
      <c r="B46" t="s">
        <v>1073</v>
      </c>
    </row>
    <row r="47" spans="1:2" x14ac:dyDescent="0.2">
      <c r="A47" t="s">
        <v>1037</v>
      </c>
      <c r="B47" t="s">
        <v>1074</v>
      </c>
    </row>
    <row r="48" spans="1:2" x14ac:dyDescent="0.2">
      <c r="A48" t="s">
        <v>1037</v>
      </c>
      <c r="B48" t="s">
        <v>1075</v>
      </c>
    </row>
    <row r="49" spans="1:2" x14ac:dyDescent="0.2">
      <c r="A49" t="s">
        <v>1037</v>
      </c>
      <c r="B49" t="s">
        <v>1076</v>
      </c>
    </row>
    <row r="50" spans="1:2" x14ac:dyDescent="0.2">
      <c r="A50" t="s">
        <v>1037</v>
      </c>
      <c r="B50" t="s">
        <v>1077</v>
      </c>
    </row>
    <row r="51" spans="1:2" x14ac:dyDescent="0.2">
      <c r="A51" t="s">
        <v>1037</v>
      </c>
      <c r="B51" t="s">
        <v>1078</v>
      </c>
    </row>
    <row r="52" spans="1:2" x14ac:dyDescent="0.2">
      <c r="A52" t="s">
        <v>1037</v>
      </c>
      <c r="B52" t="s">
        <v>1079</v>
      </c>
    </row>
    <row r="53" spans="1:2" x14ac:dyDescent="0.2">
      <c r="A53" t="s">
        <v>1037</v>
      </c>
      <c r="B53" t="s">
        <v>1080</v>
      </c>
    </row>
    <row r="54" spans="1:2" x14ac:dyDescent="0.2">
      <c r="A54" t="s">
        <v>1037</v>
      </c>
      <c r="B54" t="s">
        <v>1081</v>
      </c>
    </row>
    <row r="55" spans="1:2" x14ac:dyDescent="0.2">
      <c r="A55" t="s">
        <v>1037</v>
      </c>
      <c r="B55" t="s">
        <v>1082</v>
      </c>
    </row>
    <row r="56" spans="1:2" x14ac:dyDescent="0.2">
      <c r="A56" t="s">
        <v>1037</v>
      </c>
      <c r="B56" t="s">
        <v>1066</v>
      </c>
    </row>
    <row r="57" spans="1:2" x14ac:dyDescent="0.2">
      <c r="A57" t="s">
        <v>1037</v>
      </c>
      <c r="B57" t="s">
        <v>1083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3E161-6DCD-48A1-AB96-2BB682346FF8}">
  <sheetPr>
    <tabColor theme="4" tint="0.79998168889431442"/>
  </sheetPr>
  <dimension ref="A1:E1060"/>
  <sheetViews>
    <sheetView workbookViewId="0">
      <selection activeCell="C73" sqref="C73"/>
    </sheetView>
  </sheetViews>
  <sheetFormatPr baseColWidth="10" defaultColWidth="10.5" defaultRowHeight="14.25" x14ac:dyDescent="0.2"/>
  <cols>
    <col min="1" max="1" width="27.125" customWidth="1"/>
    <col min="2" max="2" width="10.5" customWidth="1"/>
    <col min="3" max="3" width="67.5" customWidth="1"/>
    <col min="4" max="4" width="146.125" bestFit="1" customWidth="1"/>
  </cols>
  <sheetData>
    <row r="1" spans="1:5" x14ac:dyDescent="0.2">
      <c r="A1" t="s">
        <v>1084</v>
      </c>
      <c r="B1" t="s">
        <v>1085</v>
      </c>
      <c r="C1" t="s">
        <v>1086</v>
      </c>
      <c r="D1" t="s">
        <v>1087</v>
      </c>
      <c r="E1" t="s">
        <v>1088</v>
      </c>
    </row>
    <row r="2" spans="1:5" x14ac:dyDescent="0.2">
      <c r="A2" t="s">
        <v>1089</v>
      </c>
      <c r="B2" t="s">
        <v>1090</v>
      </c>
      <c r="C2" t="s">
        <v>1091</v>
      </c>
      <c r="D2" t="s">
        <v>1092</v>
      </c>
      <c r="E2" t="s">
        <v>1093</v>
      </c>
    </row>
    <row r="3" spans="1:5" x14ac:dyDescent="0.2">
      <c r="A3" t="s">
        <v>1094</v>
      </c>
      <c r="B3" t="s">
        <v>1095</v>
      </c>
      <c r="C3" t="s">
        <v>1091</v>
      </c>
      <c r="D3" t="s">
        <v>1092</v>
      </c>
      <c r="E3" t="s">
        <v>1093</v>
      </c>
    </row>
    <row r="4" spans="1:5" x14ac:dyDescent="0.2">
      <c r="A4" t="s">
        <v>1096</v>
      </c>
      <c r="B4" t="s">
        <v>1097</v>
      </c>
      <c r="C4" t="s">
        <v>1091</v>
      </c>
      <c r="D4" t="s">
        <v>1092</v>
      </c>
      <c r="E4" t="s">
        <v>1093</v>
      </c>
    </row>
    <row r="5" spans="1:5" x14ac:dyDescent="0.2">
      <c r="A5" t="s">
        <v>1098</v>
      </c>
      <c r="B5" t="s">
        <v>1097</v>
      </c>
      <c r="C5" t="s">
        <v>1091</v>
      </c>
      <c r="D5" t="s">
        <v>1092</v>
      </c>
      <c r="E5" t="s">
        <v>1093</v>
      </c>
    </row>
    <row r="6" spans="1:5" x14ac:dyDescent="0.2">
      <c r="A6" t="s">
        <v>1099</v>
      </c>
      <c r="B6" t="s">
        <v>1100</v>
      </c>
      <c r="C6" t="s">
        <v>1101</v>
      </c>
      <c r="D6" t="s">
        <v>1102</v>
      </c>
      <c r="E6" t="s">
        <v>1103</v>
      </c>
    </row>
    <row r="7" spans="1:5" x14ac:dyDescent="0.2">
      <c r="A7" t="s">
        <v>1104</v>
      </c>
      <c r="B7" t="s">
        <v>1105</v>
      </c>
      <c r="C7" t="s">
        <v>1106</v>
      </c>
      <c r="D7" t="s">
        <v>1102</v>
      </c>
      <c r="E7" t="s">
        <v>1103</v>
      </c>
    </row>
    <row r="8" spans="1:5" x14ac:dyDescent="0.2">
      <c r="A8" t="s">
        <v>1107</v>
      </c>
      <c r="B8" t="s">
        <v>1108</v>
      </c>
      <c r="C8" t="s">
        <v>1109</v>
      </c>
      <c r="D8" t="s">
        <v>1110</v>
      </c>
      <c r="E8" t="s">
        <v>1111</v>
      </c>
    </row>
    <row r="9" spans="1:5" x14ac:dyDescent="0.2">
      <c r="A9" t="s">
        <v>1112</v>
      </c>
      <c r="B9" t="s">
        <v>1113</v>
      </c>
      <c r="C9" t="s">
        <v>1109</v>
      </c>
      <c r="D9" t="s">
        <v>1110</v>
      </c>
      <c r="E9" t="s">
        <v>1111</v>
      </c>
    </row>
    <row r="10" spans="1:5" x14ac:dyDescent="0.2">
      <c r="A10" t="s">
        <v>1114</v>
      </c>
      <c r="B10" t="s">
        <v>1115</v>
      </c>
      <c r="C10" t="s">
        <v>1109</v>
      </c>
      <c r="D10" t="s">
        <v>1110</v>
      </c>
      <c r="E10" t="s">
        <v>1111</v>
      </c>
    </row>
    <row r="11" spans="1:5" x14ac:dyDescent="0.2">
      <c r="A11" t="s">
        <v>1116</v>
      </c>
      <c r="B11" t="s">
        <v>1117</v>
      </c>
      <c r="C11" t="s">
        <v>1109</v>
      </c>
      <c r="D11" t="s">
        <v>1110</v>
      </c>
      <c r="E11" t="s">
        <v>1111</v>
      </c>
    </row>
    <row r="12" spans="1:5" x14ac:dyDescent="0.2">
      <c r="A12" t="s">
        <v>1118</v>
      </c>
      <c r="B12" t="s">
        <v>1119</v>
      </c>
      <c r="C12" t="s">
        <v>1120</v>
      </c>
      <c r="D12" t="s">
        <v>1121</v>
      </c>
      <c r="E12" t="s">
        <v>1122</v>
      </c>
    </row>
    <row r="13" spans="1:5" x14ac:dyDescent="0.2">
      <c r="A13" t="s">
        <v>1123</v>
      </c>
      <c r="B13" t="s">
        <v>1124</v>
      </c>
      <c r="C13" t="s">
        <v>1120</v>
      </c>
      <c r="D13" t="s">
        <v>1121</v>
      </c>
      <c r="E13" t="s">
        <v>1122</v>
      </c>
    </row>
    <row r="14" spans="1:5" x14ac:dyDescent="0.2">
      <c r="A14" t="s">
        <v>1125</v>
      </c>
      <c r="B14" t="s">
        <v>1126</v>
      </c>
      <c r="C14" t="s">
        <v>1120</v>
      </c>
      <c r="D14" t="s">
        <v>1121</v>
      </c>
      <c r="E14" t="s">
        <v>1122</v>
      </c>
    </row>
    <row r="15" spans="1:5" x14ac:dyDescent="0.2">
      <c r="A15" t="s">
        <v>1127</v>
      </c>
      <c r="B15" t="s">
        <v>1128</v>
      </c>
      <c r="C15" t="s">
        <v>1120</v>
      </c>
      <c r="D15" t="s">
        <v>1121</v>
      </c>
      <c r="E15" t="s">
        <v>1122</v>
      </c>
    </row>
    <row r="16" spans="1:5" x14ac:dyDescent="0.2">
      <c r="A16" s="275" t="s">
        <v>1129</v>
      </c>
      <c r="B16" s="275">
        <v>0.16900000000000001</v>
      </c>
      <c r="C16" s="275" t="s">
        <v>1130</v>
      </c>
      <c r="D16" s="275" t="s">
        <v>1131</v>
      </c>
      <c r="E16" s="275" t="s">
        <v>1132</v>
      </c>
    </row>
    <row r="17" spans="1:5" x14ac:dyDescent="0.2">
      <c r="A17" s="275" t="s">
        <v>1133</v>
      </c>
      <c r="B17" s="275">
        <v>2E-3</v>
      </c>
      <c r="C17" s="275" t="s">
        <v>1130</v>
      </c>
      <c r="D17" s="275" t="s">
        <v>1131</v>
      </c>
      <c r="E17" s="275" t="s">
        <v>1134</v>
      </c>
    </row>
    <row r="18" spans="1:5" x14ac:dyDescent="0.2">
      <c r="A18" s="275" t="s">
        <v>1135</v>
      </c>
      <c r="B18" s="275" t="s">
        <v>1136</v>
      </c>
      <c r="C18" s="275" t="s">
        <v>1137</v>
      </c>
      <c r="D18" s="275" t="s">
        <v>1131</v>
      </c>
      <c r="E18" s="275" t="s">
        <v>1138</v>
      </c>
    </row>
    <row r="19" spans="1:5" x14ac:dyDescent="0.2">
      <c r="A19" s="275" t="s">
        <v>1139</v>
      </c>
      <c r="B19" s="275" t="s">
        <v>1140</v>
      </c>
      <c r="C19" s="275" t="s">
        <v>1137</v>
      </c>
      <c r="D19" s="275" t="s">
        <v>1131</v>
      </c>
      <c r="E19" s="275" t="s">
        <v>1141</v>
      </c>
    </row>
    <row r="20" spans="1:5" x14ac:dyDescent="0.2">
      <c r="A20" s="275" t="s">
        <v>1142</v>
      </c>
      <c r="B20" s="275" t="s">
        <v>1143</v>
      </c>
      <c r="C20" s="275" t="s">
        <v>1144</v>
      </c>
      <c r="D20" s="275" t="s">
        <v>1145</v>
      </c>
      <c r="E20" s="275" t="s">
        <v>1146</v>
      </c>
    </row>
    <row r="21" spans="1:5" x14ac:dyDescent="0.2">
      <c r="A21" s="275" t="s">
        <v>1147</v>
      </c>
      <c r="B21" s="275" t="s">
        <v>1148</v>
      </c>
      <c r="C21" s="275" t="s">
        <v>1149</v>
      </c>
      <c r="D21" s="275" t="s">
        <v>1150</v>
      </c>
      <c r="E21" s="275" t="s">
        <v>1151</v>
      </c>
    </row>
    <row r="22" spans="1:5" x14ac:dyDescent="0.2">
      <c r="A22" t="s">
        <v>1152</v>
      </c>
      <c r="B22" t="s">
        <v>1153</v>
      </c>
      <c r="C22" t="s">
        <v>1154</v>
      </c>
      <c r="D22" t="s">
        <v>1145</v>
      </c>
      <c r="E22" t="s">
        <v>1155</v>
      </c>
    </row>
    <row r="23" spans="1:5" x14ac:dyDescent="0.2">
      <c r="A23" t="s">
        <v>1156</v>
      </c>
      <c r="B23" t="s">
        <v>1157</v>
      </c>
      <c r="C23" t="s">
        <v>1158</v>
      </c>
      <c r="D23" t="s">
        <v>1150</v>
      </c>
      <c r="E23" t="s">
        <v>1159</v>
      </c>
    </row>
    <row r="24" spans="1:5" x14ac:dyDescent="0.2">
      <c r="A24" t="s">
        <v>1160</v>
      </c>
      <c r="B24" t="s">
        <v>1161</v>
      </c>
      <c r="C24" t="s">
        <v>1162</v>
      </c>
      <c r="D24" t="s">
        <v>1163</v>
      </c>
      <c r="E24" t="s">
        <v>1164</v>
      </c>
    </row>
    <row r="25" spans="1:5" x14ac:dyDescent="0.2">
      <c r="A25" t="s">
        <v>1165</v>
      </c>
      <c r="B25" t="s">
        <v>1166</v>
      </c>
      <c r="C25" t="s">
        <v>1167</v>
      </c>
      <c r="D25" t="s">
        <v>1163</v>
      </c>
      <c r="E25" t="s">
        <v>1168</v>
      </c>
    </row>
    <row r="26" spans="1:5" x14ac:dyDescent="0.2">
      <c r="A26" t="s">
        <v>1169</v>
      </c>
      <c r="B26" t="s">
        <v>1170</v>
      </c>
      <c r="C26" t="s">
        <v>1171</v>
      </c>
      <c r="D26" t="s">
        <v>1163</v>
      </c>
      <c r="E26" t="s">
        <v>1172</v>
      </c>
    </row>
    <row r="27" spans="1:5" x14ac:dyDescent="0.2">
      <c r="A27" t="s">
        <v>1173</v>
      </c>
      <c r="B27" t="s">
        <v>1174</v>
      </c>
      <c r="C27" t="s">
        <v>1175</v>
      </c>
      <c r="D27" t="s">
        <v>1176</v>
      </c>
      <c r="E27" t="s">
        <v>1177</v>
      </c>
    </row>
    <row r="28" spans="1:5" x14ac:dyDescent="0.2">
      <c r="A28" t="s">
        <v>1178</v>
      </c>
      <c r="B28" t="s">
        <v>1179</v>
      </c>
      <c r="C28" t="s">
        <v>1180</v>
      </c>
      <c r="D28" t="s">
        <v>1177</v>
      </c>
      <c r="E28" t="s">
        <v>1181</v>
      </c>
    </row>
    <row r="29" spans="1:5" x14ac:dyDescent="0.2">
      <c r="A29" t="s">
        <v>1182</v>
      </c>
      <c r="B29" t="s">
        <v>1183</v>
      </c>
      <c r="C29" t="s">
        <v>1184</v>
      </c>
      <c r="D29" t="s">
        <v>1177</v>
      </c>
      <c r="E29" t="s">
        <v>1181</v>
      </c>
    </row>
    <row r="30" spans="1:5" x14ac:dyDescent="0.2">
      <c r="A30" t="s">
        <v>1185</v>
      </c>
      <c r="B30" t="s">
        <v>1183</v>
      </c>
      <c r="C30" t="s">
        <v>1186</v>
      </c>
      <c r="D30" t="s">
        <v>1177</v>
      </c>
      <c r="E30" t="s">
        <v>1181</v>
      </c>
    </row>
    <row r="31" spans="1:5" x14ac:dyDescent="0.2">
      <c r="A31" t="s">
        <v>1187</v>
      </c>
      <c r="B31" t="s">
        <v>1188</v>
      </c>
      <c r="C31" t="s">
        <v>1189</v>
      </c>
      <c r="D31" t="s">
        <v>1177</v>
      </c>
      <c r="E31" t="s">
        <v>1181</v>
      </c>
    </row>
    <row r="32" spans="1:5" x14ac:dyDescent="0.2">
      <c r="A32" t="s">
        <v>1190</v>
      </c>
      <c r="B32" t="s">
        <v>1188</v>
      </c>
      <c r="C32" t="s">
        <v>1191</v>
      </c>
      <c r="D32" t="s">
        <v>1177</v>
      </c>
      <c r="E32" t="s">
        <v>1181</v>
      </c>
    </row>
    <row r="33" spans="1:5" x14ac:dyDescent="0.2">
      <c r="A33" t="s">
        <v>1192</v>
      </c>
      <c r="B33" t="s">
        <v>1188</v>
      </c>
      <c r="C33" t="s">
        <v>1193</v>
      </c>
      <c r="D33" t="s">
        <v>1177</v>
      </c>
      <c r="E33" t="s">
        <v>1181</v>
      </c>
    </row>
    <row r="34" spans="1:5" x14ac:dyDescent="0.2">
      <c r="A34" t="s">
        <v>1194</v>
      </c>
      <c r="B34" t="s">
        <v>1119</v>
      </c>
      <c r="C34" t="s">
        <v>1195</v>
      </c>
      <c r="D34" t="s">
        <v>1177</v>
      </c>
      <c r="E34" t="s">
        <v>1196</v>
      </c>
    </row>
    <row r="35" spans="1:5" x14ac:dyDescent="0.2">
      <c r="A35" t="s">
        <v>1197</v>
      </c>
      <c r="B35" t="s">
        <v>1119</v>
      </c>
      <c r="C35" t="s">
        <v>1195</v>
      </c>
      <c r="D35" t="s">
        <v>1177</v>
      </c>
      <c r="E35" t="s">
        <v>1196</v>
      </c>
    </row>
    <row r="36" spans="1:5" x14ac:dyDescent="0.2">
      <c r="A36" t="s">
        <v>1198</v>
      </c>
      <c r="B36" t="s">
        <v>1199</v>
      </c>
      <c r="C36" t="s">
        <v>1195</v>
      </c>
      <c r="D36" t="s">
        <v>1177</v>
      </c>
      <c r="E36" t="s">
        <v>1196</v>
      </c>
    </row>
    <row r="37" spans="1:5" x14ac:dyDescent="0.2">
      <c r="A37" t="s">
        <v>1200</v>
      </c>
      <c r="B37" t="s">
        <v>1201</v>
      </c>
      <c r="C37" t="s">
        <v>1195</v>
      </c>
      <c r="D37" t="s">
        <v>1177</v>
      </c>
      <c r="E37" t="s">
        <v>1196</v>
      </c>
    </row>
    <row r="38" spans="1:5" x14ac:dyDescent="0.2">
      <c r="A38" t="s">
        <v>1202</v>
      </c>
      <c r="B38" t="s">
        <v>1119</v>
      </c>
      <c r="C38" t="s">
        <v>1195</v>
      </c>
      <c r="D38" t="s">
        <v>1177</v>
      </c>
      <c r="E38" t="s">
        <v>1196</v>
      </c>
    </row>
    <row r="39" spans="1:5" x14ac:dyDescent="0.2">
      <c r="A39" t="s">
        <v>1203</v>
      </c>
      <c r="B39" t="s">
        <v>1119</v>
      </c>
      <c r="C39" t="s">
        <v>1195</v>
      </c>
      <c r="D39" t="s">
        <v>1177</v>
      </c>
      <c r="E39" t="s">
        <v>1196</v>
      </c>
    </row>
    <row r="40" spans="1:5" x14ac:dyDescent="0.2">
      <c r="A40" t="s">
        <v>1204</v>
      </c>
      <c r="B40" t="s">
        <v>1205</v>
      </c>
      <c r="C40" t="s">
        <v>1206</v>
      </c>
      <c r="D40" t="s">
        <v>1207</v>
      </c>
      <c r="E40" t="s">
        <v>1208</v>
      </c>
    </row>
    <row r="41" spans="1:5" x14ac:dyDescent="0.2">
      <c r="A41" t="s">
        <v>1209</v>
      </c>
      <c r="B41" t="s">
        <v>1210</v>
      </c>
      <c r="C41" t="s">
        <v>1206</v>
      </c>
      <c r="D41" t="s">
        <v>1207</v>
      </c>
      <c r="E41" t="s">
        <v>1208</v>
      </c>
    </row>
    <row r="42" spans="1:5" x14ac:dyDescent="0.2">
      <c r="A42" t="s">
        <v>1211</v>
      </c>
      <c r="B42" t="s">
        <v>1212</v>
      </c>
      <c r="C42" t="s">
        <v>1206</v>
      </c>
      <c r="D42" t="s">
        <v>1207</v>
      </c>
      <c r="E42" t="s">
        <v>1208</v>
      </c>
    </row>
    <row r="43" spans="1:5" x14ac:dyDescent="0.2">
      <c r="A43" t="s">
        <v>1213</v>
      </c>
      <c r="B43" t="s">
        <v>1214</v>
      </c>
      <c r="C43" t="s">
        <v>1206</v>
      </c>
      <c r="D43" t="s">
        <v>1207</v>
      </c>
      <c r="E43" t="s">
        <v>1208</v>
      </c>
    </row>
    <row r="44" spans="1:5" x14ac:dyDescent="0.2">
      <c r="A44" t="s">
        <v>1215</v>
      </c>
      <c r="B44" t="s">
        <v>1216</v>
      </c>
      <c r="C44" t="s">
        <v>1206</v>
      </c>
      <c r="D44" t="s">
        <v>1207</v>
      </c>
      <c r="E44" t="s">
        <v>1208</v>
      </c>
    </row>
    <row r="45" spans="1:5" x14ac:dyDescent="0.2">
      <c r="A45" t="s">
        <v>1217</v>
      </c>
      <c r="B45" t="s">
        <v>1216</v>
      </c>
      <c r="C45" t="s">
        <v>1206</v>
      </c>
      <c r="D45" t="s">
        <v>1207</v>
      </c>
      <c r="E45" t="s">
        <v>1208</v>
      </c>
    </row>
    <row r="46" spans="1:5" x14ac:dyDescent="0.2">
      <c r="A46" t="s">
        <v>1218</v>
      </c>
      <c r="B46" t="s">
        <v>1219</v>
      </c>
      <c r="C46" t="s">
        <v>1220</v>
      </c>
      <c r="D46" t="s">
        <v>1207</v>
      </c>
      <c r="E46" t="s">
        <v>1208</v>
      </c>
    </row>
    <row r="47" spans="1:5" x14ac:dyDescent="0.2">
      <c r="A47" t="s">
        <v>1221</v>
      </c>
      <c r="B47" t="s">
        <v>1222</v>
      </c>
      <c r="C47" t="s">
        <v>1220</v>
      </c>
      <c r="D47" t="s">
        <v>1207</v>
      </c>
      <c r="E47" t="s">
        <v>1208</v>
      </c>
    </row>
    <row r="48" spans="1:5" x14ac:dyDescent="0.2">
      <c r="A48" t="s">
        <v>1223</v>
      </c>
      <c r="B48" t="s">
        <v>1224</v>
      </c>
      <c r="C48" t="s">
        <v>1220</v>
      </c>
      <c r="D48" t="s">
        <v>1207</v>
      </c>
      <c r="E48" t="s">
        <v>1208</v>
      </c>
    </row>
    <row r="49" spans="1:5" x14ac:dyDescent="0.2">
      <c r="A49" t="s">
        <v>1225</v>
      </c>
      <c r="B49" t="s">
        <v>1226</v>
      </c>
      <c r="C49" t="s">
        <v>1220</v>
      </c>
      <c r="D49" t="s">
        <v>1207</v>
      </c>
      <c r="E49" t="s">
        <v>1208</v>
      </c>
    </row>
    <row r="50" spans="1:5" x14ac:dyDescent="0.2">
      <c r="A50" t="s">
        <v>1227</v>
      </c>
      <c r="B50" t="s">
        <v>1228</v>
      </c>
      <c r="C50" t="s">
        <v>1220</v>
      </c>
      <c r="D50" t="s">
        <v>1207</v>
      </c>
      <c r="E50" t="s">
        <v>1208</v>
      </c>
    </row>
    <row r="51" spans="1:5" x14ac:dyDescent="0.2">
      <c r="A51" t="s">
        <v>1229</v>
      </c>
      <c r="B51" t="s">
        <v>1228</v>
      </c>
      <c r="C51" t="s">
        <v>1220</v>
      </c>
      <c r="D51" t="s">
        <v>1207</v>
      </c>
      <c r="E51" t="s">
        <v>1208</v>
      </c>
    </row>
    <row r="52" spans="1:5" x14ac:dyDescent="0.2">
      <c r="A52" t="s">
        <v>1230</v>
      </c>
      <c r="B52" t="s">
        <v>1231</v>
      </c>
      <c r="C52" t="s">
        <v>1232</v>
      </c>
      <c r="D52" t="s">
        <v>1207</v>
      </c>
      <c r="E52" t="s">
        <v>1208</v>
      </c>
    </row>
    <row r="53" spans="1:5" x14ac:dyDescent="0.2">
      <c r="A53" t="s">
        <v>1233</v>
      </c>
      <c r="B53" t="s">
        <v>1234</v>
      </c>
      <c r="C53" t="s">
        <v>1232</v>
      </c>
      <c r="D53" t="s">
        <v>1207</v>
      </c>
      <c r="E53" t="s">
        <v>1208</v>
      </c>
    </row>
    <row r="54" spans="1:5" x14ac:dyDescent="0.2">
      <c r="A54" t="s">
        <v>1235</v>
      </c>
      <c r="B54" t="s">
        <v>1236</v>
      </c>
      <c r="C54" t="s">
        <v>1232</v>
      </c>
      <c r="D54" t="s">
        <v>1207</v>
      </c>
      <c r="E54" t="s">
        <v>1208</v>
      </c>
    </row>
    <row r="55" spans="1:5" x14ac:dyDescent="0.2">
      <c r="A55" t="s">
        <v>1237</v>
      </c>
      <c r="B55" t="s">
        <v>1238</v>
      </c>
      <c r="C55" t="s">
        <v>1232</v>
      </c>
      <c r="D55" t="s">
        <v>1207</v>
      </c>
      <c r="E55" t="s">
        <v>1208</v>
      </c>
    </row>
    <row r="56" spans="1:5" x14ac:dyDescent="0.2">
      <c r="A56" t="s">
        <v>1239</v>
      </c>
      <c r="B56" t="s">
        <v>1240</v>
      </c>
      <c r="C56" t="s">
        <v>1232</v>
      </c>
      <c r="D56" t="s">
        <v>1207</v>
      </c>
      <c r="E56" t="s">
        <v>1208</v>
      </c>
    </row>
    <row r="57" spans="1:5" x14ac:dyDescent="0.2">
      <c r="A57" t="s">
        <v>1241</v>
      </c>
      <c r="B57" t="s">
        <v>1240</v>
      </c>
      <c r="C57" t="s">
        <v>1232</v>
      </c>
      <c r="D57" t="s">
        <v>1207</v>
      </c>
      <c r="E57" t="s">
        <v>1208</v>
      </c>
    </row>
    <row r="58" spans="1:5" x14ac:dyDescent="0.2">
      <c r="A58" t="s">
        <v>1242</v>
      </c>
      <c r="B58" t="s">
        <v>1179</v>
      </c>
      <c r="C58" t="s">
        <v>1243</v>
      </c>
      <c r="D58" t="s">
        <v>1207</v>
      </c>
      <c r="E58" t="s">
        <v>1208</v>
      </c>
    </row>
    <row r="59" spans="1:5" x14ac:dyDescent="0.2">
      <c r="A59" t="s">
        <v>1244</v>
      </c>
      <c r="B59" t="s">
        <v>1245</v>
      </c>
      <c r="C59" t="s">
        <v>1243</v>
      </c>
      <c r="D59" t="s">
        <v>1207</v>
      </c>
      <c r="E59" t="s">
        <v>1208</v>
      </c>
    </row>
    <row r="60" spans="1:5" x14ac:dyDescent="0.2">
      <c r="A60" t="s">
        <v>1246</v>
      </c>
      <c r="B60" t="s">
        <v>1247</v>
      </c>
      <c r="C60" t="s">
        <v>1243</v>
      </c>
      <c r="D60" t="s">
        <v>1207</v>
      </c>
      <c r="E60" t="s">
        <v>1208</v>
      </c>
    </row>
    <row r="61" spans="1:5" x14ac:dyDescent="0.2">
      <c r="A61" t="s">
        <v>1248</v>
      </c>
      <c r="B61" t="s">
        <v>1249</v>
      </c>
      <c r="C61" t="s">
        <v>1243</v>
      </c>
      <c r="D61" t="s">
        <v>1207</v>
      </c>
      <c r="E61" t="s">
        <v>1208</v>
      </c>
    </row>
    <row r="62" spans="1:5" x14ac:dyDescent="0.2">
      <c r="A62" t="s">
        <v>1250</v>
      </c>
      <c r="B62" t="s">
        <v>1251</v>
      </c>
      <c r="C62" t="s">
        <v>1243</v>
      </c>
      <c r="D62" t="s">
        <v>1207</v>
      </c>
      <c r="E62" t="s">
        <v>1208</v>
      </c>
    </row>
    <row r="63" spans="1:5" x14ac:dyDescent="0.2">
      <c r="A63" t="s">
        <v>1252</v>
      </c>
      <c r="B63" t="s">
        <v>1251</v>
      </c>
      <c r="C63" t="s">
        <v>1243</v>
      </c>
      <c r="D63" t="s">
        <v>1207</v>
      </c>
      <c r="E63" t="s">
        <v>1208</v>
      </c>
    </row>
    <row r="64" spans="1:5" x14ac:dyDescent="0.2">
      <c r="A64" t="s">
        <v>1253</v>
      </c>
      <c r="B64" t="s">
        <v>1254</v>
      </c>
      <c r="C64" t="s">
        <v>1255</v>
      </c>
      <c r="D64" t="s">
        <v>1207</v>
      </c>
      <c r="E64" t="s">
        <v>1208</v>
      </c>
    </row>
    <row r="65" spans="1:5" x14ac:dyDescent="0.2">
      <c r="A65" t="s">
        <v>1256</v>
      </c>
      <c r="B65" t="s">
        <v>1205</v>
      </c>
      <c r="C65" t="s">
        <v>1255</v>
      </c>
      <c r="D65" t="s">
        <v>1207</v>
      </c>
      <c r="E65" t="s">
        <v>1208</v>
      </c>
    </row>
    <row r="66" spans="1:5" x14ac:dyDescent="0.2">
      <c r="A66" t="s">
        <v>1257</v>
      </c>
      <c r="B66" t="s">
        <v>1258</v>
      </c>
      <c r="C66" t="s">
        <v>1255</v>
      </c>
      <c r="D66" t="s">
        <v>1207</v>
      </c>
      <c r="E66" t="s">
        <v>1208</v>
      </c>
    </row>
    <row r="67" spans="1:5" x14ac:dyDescent="0.2">
      <c r="A67" t="s">
        <v>1259</v>
      </c>
      <c r="B67" t="s">
        <v>1260</v>
      </c>
      <c r="C67" t="s">
        <v>1255</v>
      </c>
      <c r="D67" t="s">
        <v>1207</v>
      </c>
      <c r="E67" t="s">
        <v>1208</v>
      </c>
    </row>
    <row r="68" spans="1:5" x14ac:dyDescent="0.2">
      <c r="A68" t="s">
        <v>1261</v>
      </c>
      <c r="B68" t="s">
        <v>1262</v>
      </c>
      <c r="C68" t="s">
        <v>1255</v>
      </c>
      <c r="D68" t="s">
        <v>1207</v>
      </c>
      <c r="E68" t="s">
        <v>1208</v>
      </c>
    </row>
    <row r="69" spans="1:5" x14ac:dyDescent="0.2">
      <c r="A69" t="s">
        <v>1263</v>
      </c>
      <c r="B69" t="s">
        <v>1262</v>
      </c>
      <c r="C69" t="s">
        <v>1255</v>
      </c>
      <c r="D69" t="s">
        <v>1207</v>
      </c>
      <c r="E69" t="s">
        <v>1208</v>
      </c>
    </row>
    <row r="70" spans="1:5" x14ac:dyDescent="0.2">
      <c r="A70" t="s">
        <v>1264</v>
      </c>
      <c r="B70" t="s">
        <v>1265</v>
      </c>
      <c r="C70" t="s">
        <v>1266</v>
      </c>
      <c r="D70" t="s">
        <v>1207</v>
      </c>
      <c r="E70" t="s">
        <v>1208</v>
      </c>
    </row>
    <row r="71" spans="1:5" x14ac:dyDescent="0.2">
      <c r="A71" t="s">
        <v>1267</v>
      </c>
      <c r="B71" t="s">
        <v>1268</v>
      </c>
      <c r="C71" t="s">
        <v>1266</v>
      </c>
      <c r="D71" t="s">
        <v>1207</v>
      </c>
      <c r="E71" t="s">
        <v>1208</v>
      </c>
    </row>
    <row r="72" spans="1:5" x14ac:dyDescent="0.2">
      <c r="A72" t="s">
        <v>1269</v>
      </c>
      <c r="B72" t="s">
        <v>1270</v>
      </c>
      <c r="C72" t="s">
        <v>1266</v>
      </c>
      <c r="D72" t="s">
        <v>1207</v>
      </c>
      <c r="E72" t="s">
        <v>1208</v>
      </c>
    </row>
    <row r="73" spans="1:5" x14ac:dyDescent="0.2">
      <c r="A73" t="s">
        <v>1271</v>
      </c>
      <c r="B73" t="s">
        <v>1272</v>
      </c>
      <c r="C73" t="s">
        <v>1266</v>
      </c>
      <c r="D73" t="s">
        <v>1207</v>
      </c>
      <c r="E73" t="s">
        <v>1208</v>
      </c>
    </row>
    <row r="74" spans="1:5" x14ac:dyDescent="0.2">
      <c r="A74" t="s">
        <v>1273</v>
      </c>
      <c r="B74" t="s">
        <v>1274</v>
      </c>
      <c r="C74" t="s">
        <v>1266</v>
      </c>
      <c r="D74" t="s">
        <v>1207</v>
      </c>
      <c r="E74" t="s">
        <v>1208</v>
      </c>
    </row>
    <row r="75" spans="1:5" x14ac:dyDescent="0.2">
      <c r="A75" t="s">
        <v>1275</v>
      </c>
      <c r="B75" t="s">
        <v>1274</v>
      </c>
      <c r="C75" t="s">
        <v>1266</v>
      </c>
      <c r="D75" t="s">
        <v>1207</v>
      </c>
      <c r="E75" t="s">
        <v>1208</v>
      </c>
    </row>
    <row r="76" spans="1:5" x14ac:dyDescent="0.2">
      <c r="A76" t="s">
        <v>1276</v>
      </c>
      <c r="B76" t="s">
        <v>1277</v>
      </c>
      <c r="C76" t="s">
        <v>1278</v>
      </c>
      <c r="D76" t="s">
        <v>1177</v>
      </c>
      <c r="E76" t="s">
        <v>1279</v>
      </c>
    </row>
    <row r="77" spans="1:5" x14ac:dyDescent="0.2">
      <c r="A77" t="s">
        <v>1280</v>
      </c>
      <c r="B77" t="s">
        <v>1281</v>
      </c>
      <c r="C77" t="s">
        <v>1282</v>
      </c>
      <c r="D77" t="s">
        <v>1177</v>
      </c>
      <c r="E77" t="s">
        <v>1283</v>
      </c>
    </row>
    <row r="78" spans="1:5" x14ac:dyDescent="0.2">
      <c r="A78" t="s">
        <v>1284</v>
      </c>
      <c r="B78" t="s">
        <v>1285</v>
      </c>
      <c r="C78" t="s">
        <v>1286</v>
      </c>
      <c r="D78" t="s">
        <v>1177</v>
      </c>
      <c r="E78" t="s">
        <v>1287</v>
      </c>
    </row>
    <row r="79" spans="1:5" x14ac:dyDescent="0.2">
      <c r="A79" t="s">
        <v>1288</v>
      </c>
      <c r="B79" t="s">
        <v>1289</v>
      </c>
      <c r="C79" t="s">
        <v>1290</v>
      </c>
      <c r="D79" t="s">
        <v>1177</v>
      </c>
      <c r="E79" t="s">
        <v>1291</v>
      </c>
    </row>
    <row r="80" spans="1:5" x14ac:dyDescent="0.2">
      <c r="A80" s="275" t="s">
        <v>1292</v>
      </c>
      <c r="B80" s="275" t="s">
        <v>1293</v>
      </c>
      <c r="C80" s="275" t="s">
        <v>1294</v>
      </c>
      <c r="D80" t="s">
        <v>1177</v>
      </c>
      <c r="E80" t="s">
        <v>1295</v>
      </c>
    </row>
    <row r="81" spans="1:5" x14ac:dyDescent="0.2">
      <c r="A81" s="275" t="s">
        <v>1296</v>
      </c>
      <c r="B81" s="275" t="s">
        <v>1297</v>
      </c>
      <c r="C81" s="275" t="s">
        <v>1298</v>
      </c>
      <c r="D81" t="s">
        <v>1177</v>
      </c>
      <c r="E81" t="s">
        <v>1295</v>
      </c>
    </row>
    <row r="82" spans="1:5" x14ac:dyDescent="0.2">
      <c r="A82" t="s">
        <v>1299</v>
      </c>
      <c r="B82" t="s">
        <v>1300</v>
      </c>
      <c r="C82" t="s">
        <v>1301</v>
      </c>
      <c r="D82" t="s">
        <v>1207</v>
      </c>
      <c r="E82" t="s">
        <v>1302</v>
      </c>
    </row>
    <row r="83" spans="1:5" x14ac:dyDescent="0.2">
      <c r="A83" t="s">
        <v>1303</v>
      </c>
      <c r="B83" t="s">
        <v>1304</v>
      </c>
      <c r="C83" t="s">
        <v>1305</v>
      </c>
      <c r="D83" t="s">
        <v>1207</v>
      </c>
      <c r="E83" t="s">
        <v>1302</v>
      </c>
    </row>
    <row r="84" spans="1:5" x14ac:dyDescent="0.2">
      <c r="A84" t="s">
        <v>1306</v>
      </c>
      <c r="B84" t="s">
        <v>1307</v>
      </c>
      <c r="C84" t="s">
        <v>1308</v>
      </c>
      <c r="D84" t="s">
        <v>1207</v>
      </c>
      <c r="E84" t="s">
        <v>1302</v>
      </c>
    </row>
    <row r="85" spans="1:5" x14ac:dyDescent="0.2">
      <c r="A85" t="s">
        <v>1309</v>
      </c>
      <c r="B85" t="s">
        <v>1310</v>
      </c>
      <c r="C85" t="s">
        <v>1311</v>
      </c>
      <c r="D85" t="s">
        <v>1207</v>
      </c>
      <c r="E85" t="s">
        <v>1302</v>
      </c>
    </row>
    <row r="86" spans="1:5" x14ac:dyDescent="0.2">
      <c r="A86" t="s">
        <v>1312</v>
      </c>
      <c r="B86" t="s">
        <v>1313</v>
      </c>
      <c r="C86" t="s">
        <v>1314</v>
      </c>
      <c r="D86" t="s">
        <v>1207</v>
      </c>
      <c r="E86" t="s">
        <v>1302</v>
      </c>
    </row>
    <row r="87" spans="1:5" x14ac:dyDescent="0.2">
      <c r="A87" t="s">
        <v>1315</v>
      </c>
      <c r="B87" t="s">
        <v>1313</v>
      </c>
      <c r="C87" t="s">
        <v>1316</v>
      </c>
      <c r="D87" t="s">
        <v>1207</v>
      </c>
      <c r="E87" t="s">
        <v>1302</v>
      </c>
    </row>
    <row r="88" spans="1:5" x14ac:dyDescent="0.2">
      <c r="A88" t="s">
        <v>1317</v>
      </c>
      <c r="B88" t="s">
        <v>1318</v>
      </c>
      <c r="C88" t="s">
        <v>1319</v>
      </c>
      <c r="D88" t="s">
        <v>1177</v>
      </c>
      <c r="E88" t="s">
        <v>1177</v>
      </c>
    </row>
    <row r="89" spans="1:5" x14ac:dyDescent="0.2">
      <c r="A89" t="s">
        <v>1320</v>
      </c>
      <c r="B89" t="s">
        <v>1095</v>
      </c>
      <c r="C89" t="s">
        <v>1321</v>
      </c>
      <c r="D89" t="s">
        <v>1177</v>
      </c>
      <c r="E89" t="s">
        <v>1177</v>
      </c>
    </row>
    <row r="90" spans="1:5" x14ac:dyDescent="0.2">
      <c r="A90" t="s">
        <v>1322</v>
      </c>
      <c r="B90" t="s">
        <v>1323</v>
      </c>
      <c r="C90" t="s">
        <v>1324</v>
      </c>
      <c r="D90" t="s">
        <v>1177</v>
      </c>
      <c r="E90" t="s">
        <v>1177</v>
      </c>
    </row>
    <row r="91" spans="1:5" x14ac:dyDescent="0.2">
      <c r="A91" t="s">
        <v>1325</v>
      </c>
      <c r="B91" t="s">
        <v>1326</v>
      </c>
      <c r="C91" t="s">
        <v>1327</v>
      </c>
      <c r="D91" t="s">
        <v>1177</v>
      </c>
      <c r="E91" t="s">
        <v>1328</v>
      </c>
    </row>
    <row r="92" spans="1:5" x14ac:dyDescent="0.2">
      <c r="A92" t="s">
        <v>1329</v>
      </c>
      <c r="B92" t="s">
        <v>1330</v>
      </c>
      <c r="C92" t="s">
        <v>1331</v>
      </c>
      <c r="D92" t="s">
        <v>1177</v>
      </c>
      <c r="E92" t="s">
        <v>1328</v>
      </c>
    </row>
    <row r="93" spans="1:5" x14ac:dyDescent="0.2">
      <c r="A93" t="s">
        <v>1332</v>
      </c>
      <c r="B93" t="s">
        <v>1333</v>
      </c>
      <c r="C93" t="s">
        <v>1334</v>
      </c>
      <c r="D93" t="s">
        <v>1177</v>
      </c>
      <c r="E93" t="s">
        <v>1328</v>
      </c>
    </row>
    <row r="94" spans="1:5" x14ac:dyDescent="0.2">
      <c r="A94" t="s">
        <v>1335</v>
      </c>
      <c r="B94" t="s">
        <v>1333</v>
      </c>
      <c r="C94" t="s">
        <v>1336</v>
      </c>
      <c r="D94" t="s">
        <v>1177</v>
      </c>
      <c r="E94" t="s">
        <v>1328</v>
      </c>
    </row>
    <row r="95" spans="1:5" x14ac:dyDescent="0.2">
      <c r="A95" t="s">
        <v>1337</v>
      </c>
      <c r="B95" t="s">
        <v>1333</v>
      </c>
      <c r="C95" t="s">
        <v>1338</v>
      </c>
      <c r="D95" t="s">
        <v>1177</v>
      </c>
      <c r="E95" t="s">
        <v>1328</v>
      </c>
    </row>
    <row r="96" spans="1:5" x14ac:dyDescent="0.2">
      <c r="A96" t="s">
        <v>1339</v>
      </c>
      <c r="B96" t="s">
        <v>1333</v>
      </c>
      <c r="C96" t="s">
        <v>1340</v>
      </c>
      <c r="D96" t="s">
        <v>1177</v>
      </c>
      <c r="E96" t="s">
        <v>1328</v>
      </c>
    </row>
    <row r="97" spans="1:5" x14ac:dyDescent="0.2">
      <c r="A97" t="s">
        <v>1341</v>
      </c>
      <c r="B97" t="s">
        <v>1342</v>
      </c>
      <c r="C97" t="s">
        <v>1343</v>
      </c>
      <c r="D97" t="s">
        <v>1177</v>
      </c>
      <c r="E97" t="s">
        <v>1328</v>
      </c>
    </row>
    <row r="98" spans="1:5" x14ac:dyDescent="0.2">
      <c r="A98" t="s">
        <v>1344</v>
      </c>
      <c r="B98" t="s">
        <v>1345</v>
      </c>
      <c r="C98" t="s">
        <v>1346</v>
      </c>
      <c r="D98" t="s">
        <v>1177</v>
      </c>
      <c r="E98" t="s">
        <v>1328</v>
      </c>
    </row>
    <row r="99" spans="1:5" x14ac:dyDescent="0.2">
      <c r="A99" t="s">
        <v>1347</v>
      </c>
      <c r="B99" t="s">
        <v>1348</v>
      </c>
      <c r="C99" t="s">
        <v>1349</v>
      </c>
      <c r="D99" t="s">
        <v>1177</v>
      </c>
      <c r="E99" t="s">
        <v>1328</v>
      </c>
    </row>
    <row r="100" spans="1:5" x14ac:dyDescent="0.2">
      <c r="A100" t="s">
        <v>1350</v>
      </c>
      <c r="B100" t="s">
        <v>1348</v>
      </c>
      <c r="C100" t="s">
        <v>1351</v>
      </c>
      <c r="D100" t="s">
        <v>1177</v>
      </c>
      <c r="E100" t="s">
        <v>1328</v>
      </c>
    </row>
    <row r="101" spans="1:5" x14ac:dyDescent="0.2">
      <c r="A101" t="s">
        <v>1352</v>
      </c>
      <c r="B101" t="s">
        <v>1348</v>
      </c>
      <c r="C101" t="s">
        <v>1353</v>
      </c>
      <c r="D101" t="s">
        <v>1177</v>
      </c>
      <c r="E101" t="s">
        <v>1328</v>
      </c>
    </row>
    <row r="102" spans="1:5" x14ac:dyDescent="0.2">
      <c r="A102" t="s">
        <v>1354</v>
      </c>
      <c r="B102" t="s">
        <v>1348</v>
      </c>
      <c r="C102" t="s">
        <v>1355</v>
      </c>
      <c r="D102" t="s">
        <v>1177</v>
      </c>
      <c r="E102" t="s">
        <v>1328</v>
      </c>
    </row>
    <row r="103" spans="1:5" x14ac:dyDescent="0.2">
      <c r="A103" t="s">
        <v>1356</v>
      </c>
      <c r="B103" t="s">
        <v>1357</v>
      </c>
      <c r="C103" t="s">
        <v>1358</v>
      </c>
      <c r="D103" t="s">
        <v>1177</v>
      </c>
      <c r="E103" t="s">
        <v>1328</v>
      </c>
    </row>
    <row r="104" spans="1:5" x14ac:dyDescent="0.2">
      <c r="A104" t="s">
        <v>1359</v>
      </c>
      <c r="B104" t="s">
        <v>1360</v>
      </c>
      <c r="C104" t="s">
        <v>1361</v>
      </c>
      <c r="D104" t="s">
        <v>1177</v>
      </c>
      <c r="E104" t="s">
        <v>1328</v>
      </c>
    </row>
    <row r="105" spans="1:5" x14ac:dyDescent="0.2">
      <c r="A105" t="s">
        <v>1362</v>
      </c>
      <c r="B105" t="s">
        <v>1363</v>
      </c>
      <c r="C105" t="s">
        <v>1364</v>
      </c>
      <c r="D105" t="s">
        <v>1177</v>
      </c>
      <c r="E105" t="s">
        <v>1328</v>
      </c>
    </row>
    <row r="106" spans="1:5" x14ac:dyDescent="0.2">
      <c r="A106" t="s">
        <v>1365</v>
      </c>
      <c r="B106" t="s">
        <v>1363</v>
      </c>
      <c r="C106" t="s">
        <v>1366</v>
      </c>
      <c r="D106" t="s">
        <v>1177</v>
      </c>
      <c r="E106" t="s">
        <v>1328</v>
      </c>
    </row>
    <row r="107" spans="1:5" x14ac:dyDescent="0.2">
      <c r="A107" t="s">
        <v>1367</v>
      </c>
      <c r="B107" t="s">
        <v>1363</v>
      </c>
      <c r="C107" t="s">
        <v>1368</v>
      </c>
      <c r="D107" t="s">
        <v>1177</v>
      </c>
      <c r="E107" t="s">
        <v>1328</v>
      </c>
    </row>
    <row r="108" spans="1:5" x14ac:dyDescent="0.2">
      <c r="A108" t="s">
        <v>1369</v>
      </c>
      <c r="B108" t="s">
        <v>1363</v>
      </c>
      <c r="C108" t="s">
        <v>1370</v>
      </c>
      <c r="D108" t="s">
        <v>1177</v>
      </c>
      <c r="E108" t="s">
        <v>1328</v>
      </c>
    </row>
    <row r="109" spans="1:5" x14ac:dyDescent="0.2">
      <c r="A109" t="s">
        <v>1371</v>
      </c>
      <c r="B109" t="s">
        <v>1372</v>
      </c>
      <c r="C109" t="s">
        <v>1373</v>
      </c>
      <c r="D109" t="s">
        <v>1177</v>
      </c>
      <c r="E109" t="s">
        <v>1328</v>
      </c>
    </row>
    <row r="110" spans="1:5" x14ac:dyDescent="0.2">
      <c r="A110" t="s">
        <v>1374</v>
      </c>
      <c r="B110" t="s">
        <v>1375</v>
      </c>
      <c r="C110" t="s">
        <v>1376</v>
      </c>
      <c r="D110" t="s">
        <v>1177</v>
      </c>
      <c r="E110" t="s">
        <v>1328</v>
      </c>
    </row>
    <row r="111" spans="1:5" x14ac:dyDescent="0.2">
      <c r="A111" t="s">
        <v>1377</v>
      </c>
      <c r="B111" t="s">
        <v>1378</v>
      </c>
      <c r="C111" t="s">
        <v>1379</v>
      </c>
      <c r="D111" t="s">
        <v>1177</v>
      </c>
      <c r="E111" t="s">
        <v>1328</v>
      </c>
    </row>
    <row r="112" spans="1:5" x14ac:dyDescent="0.2">
      <c r="A112" t="s">
        <v>1380</v>
      </c>
      <c r="B112" t="s">
        <v>1378</v>
      </c>
      <c r="C112" t="s">
        <v>1381</v>
      </c>
      <c r="D112" t="s">
        <v>1177</v>
      </c>
      <c r="E112" t="s">
        <v>1328</v>
      </c>
    </row>
    <row r="113" spans="1:5" x14ac:dyDescent="0.2">
      <c r="A113" t="s">
        <v>1382</v>
      </c>
      <c r="B113" t="s">
        <v>1378</v>
      </c>
      <c r="C113" t="s">
        <v>1383</v>
      </c>
      <c r="D113" t="s">
        <v>1177</v>
      </c>
      <c r="E113" t="s">
        <v>1328</v>
      </c>
    </row>
    <row r="114" spans="1:5" x14ac:dyDescent="0.2">
      <c r="A114" t="s">
        <v>1384</v>
      </c>
      <c r="B114" t="s">
        <v>1378</v>
      </c>
      <c r="C114" t="s">
        <v>1385</v>
      </c>
      <c r="D114" t="s">
        <v>1177</v>
      </c>
      <c r="E114" t="s">
        <v>1328</v>
      </c>
    </row>
    <row r="115" spans="1:5" x14ac:dyDescent="0.2">
      <c r="A115" t="s">
        <v>1386</v>
      </c>
      <c r="B115" t="s">
        <v>1387</v>
      </c>
      <c r="C115" t="s">
        <v>1388</v>
      </c>
      <c r="D115" t="s">
        <v>1177</v>
      </c>
      <c r="E115" t="s">
        <v>1328</v>
      </c>
    </row>
    <row r="116" spans="1:5" x14ac:dyDescent="0.2">
      <c r="A116" t="s">
        <v>1389</v>
      </c>
      <c r="B116" t="s">
        <v>1390</v>
      </c>
      <c r="C116" t="s">
        <v>1391</v>
      </c>
      <c r="D116" t="s">
        <v>1177</v>
      </c>
      <c r="E116" t="s">
        <v>1328</v>
      </c>
    </row>
    <row r="117" spans="1:5" x14ac:dyDescent="0.2">
      <c r="A117" t="s">
        <v>1392</v>
      </c>
      <c r="B117" t="s">
        <v>1393</v>
      </c>
      <c r="C117" t="s">
        <v>1394</v>
      </c>
      <c r="D117" t="s">
        <v>1177</v>
      </c>
      <c r="E117" t="s">
        <v>1328</v>
      </c>
    </row>
    <row r="118" spans="1:5" x14ac:dyDescent="0.2">
      <c r="A118" t="s">
        <v>1395</v>
      </c>
      <c r="B118" t="s">
        <v>1393</v>
      </c>
      <c r="C118" t="s">
        <v>1396</v>
      </c>
      <c r="D118" t="s">
        <v>1177</v>
      </c>
      <c r="E118" t="s">
        <v>1328</v>
      </c>
    </row>
    <row r="119" spans="1:5" x14ac:dyDescent="0.2">
      <c r="A119" t="s">
        <v>1397</v>
      </c>
      <c r="B119" t="s">
        <v>1393</v>
      </c>
      <c r="C119" t="s">
        <v>1398</v>
      </c>
      <c r="D119" t="s">
        <v>1177</v>
      </c>
      <c r="E119" t="s">
        <v>1328</v>
      </c>
    </row>
    <row r="120" spans="1:5" x14ac:dyDescent="0.2">
      <c r="A120" t="s">
        <v>1399</v>
      </c>
      <c r="B120" t="s">
        <v>1393</v>
      </c>
      <c r="C120" t="s">
        <v>1400</v>
      </c>
      <c r="D120" t="s">
        <v>1177</v>
      </c>
      <c r="E120" t="s">
        <v>1328</v>
      </c>
    </row>
    <row r="121" spans="1:5" x14ac:dyDescent="0.2">
      <c r="A121" t="s">
        <v>1401</v>
      </c>
      <c r="B121" t="s">
        <v>1402</v>
      </c>
      <c r="C121" t="s">
        <v>1403</v>
      </c>
      <c r="D121" t="s">
        <v>1177</v>
      </c>
      <c r="E121" t="s">
        <v>1328</v>
      </c>
    </row>
    <row r="122" spans="1:5" x14ac:dyDescent="0.2">
      <c r="A122" t="s">
        <v>1404</v>
      </c>
      <c r="B122" t="s">
        <v>1405</v>
      </c>
      <c r="C122" t="s">
        <v>1406</v>
      </c>
      <c r="D122" t="s">
        <v>1177</v>
      </c>
      <c r="E122" t="s">
        <v>1328</v>
      </c>
    </row>
    <row r="123" spans="1:5" x14ac:dyDescent="0.2">
      <c r="A123" t="s">
        <v>1407</v>
      </c>
      <c r="B123" t="s">
        <v>1408</v>
      </c>
      <c r="C123" t="s">
        <v>1409</v>
      </c>
      <c r="D123" t="s">
        <v>1177</v>
      </c>
      <c r="E123" t="s">
        <v>1328</v>
      </c>
    </row>
    <row r="124" spans="1:5" x14ac:dyDescent="0.2">
      <c r="A124" t="s">
        <v>1410</v>
      </c>
      <c r="B124" t="s">
        <v>1408</v>
      </c>
      <c r="C124" t="s">
        <v>1411</v>
      </c>
      <c r="D124" t="s">
        <v>1177</v>
      </c>
      <c r="E124" t="s">
        <v>1328</v>
      </c>
    </row>
    <row r="125" spans="1:5" x14ac:dyDescent="0.2">
      <c r="A125" t="s">
        <v>1412</v>
      </c>
      <c r="B125" t="s">
        <v>1408</v>
      </c>
      <c r="C125" t="s">
        <v>1413</v>
      </c>
      <c r="D125" t="s">
        <v>1177</v>
      </c>
      <c r="E125" t="s">
        <v>1328</v>
      </c>
    </row>
    <row r="126" spans="1:5" x14ac:dyDescent="0.2">
      <c r="A126" t="s">
        <v>1414</v>
      </c>
      <c r="B126" t="s">
        <v>1408</v>
      </c>
      <c r="C126" t="s">
        <v>1415</v>
      </c>
      <c r="D126" t="s">
        <v>1177</v>
      </c>
      <c r="E126" t="s">
        <v>1328</v>
      </c>
    </row>
    <row r="127" spans="1:5" x14ac:dyDescent="0.2">
      <c r="A127" t="s">
        <v>1416</v>
      </c>
      <c r="B127" t="s">
        <v>1417</v>
      </c>
      <c r="C127" t="s">
        <v>1418</v>
      </c>
      <c r="D127" t="s">
        <v>1177</v>
      </c>
      <c r="E127" t="s">
        <v>1328</v>
      </c>
    </row>
    <row r="128" spans="1:5" x14ac:dyDescent="0.2">
      <c r="A128" t="s">
        <v>1419</v>
      </c>
      <c r="B128" t="s">
        <v>1420</v>
      </c>
      <c r="C128" t="s">
        <v>1421</v>
      </c>
      <c r="D128" t="s">
        <v>1177</v>
      </c>
      <c r="E128" t="s">
        <v>1328</v>
      </c>
    </row>
    <row r="129" spans="1:5" x14ac:dyDescent="0.2">
      <c r="A129" t="s">
        <v>1422</v>
      </c>
      <c r="B129" t="s">
        <v>1423</v>
      </c>
      <c r="C129" t="s">
        <v>1424</v>
      </c>
      <c r="D129" t="s">
        <v>1177</v>
      </c>
      <c r="E129" t="s">
        <v>1328</v>
      </c>
    </row>
    <row r="130" spans="1:5" x14ac:dyDescent="0.2">
      <c r="A130" t="s">
        <v>1425</v>
      </c>
      <c r="B130" t="s">
        <v>1423</v>
      </c>
      <c r="C130" t="s">
        <v>1426</v>
      </c>
      <c r="D130" t="s">
        <v>1177</v>
      </c>
      <c r="E130" t="s">
        <v>1328</v>
      </c>
    </row>
    <row r="131" spans="1:5" x14ac:dyDescent="0.2">
      <c r="A131" t="s">
        <v>1427</v>
      </c>
      <c r="B131" t="s">
        <v>1423</v>
      </c>
      <c r="C131" t="s">
        <v>1428</v>
      </c>
      <c r="D131" t="s">
        <v>1177</v>
      </c>
      <c r="E131" t="s">
        <v>1328</v>
      </c>
    </row>
    <row r="132" spans="1:5" x14ac:dyDescent="0.2">
      <c r="A132" t="s">
        <v>1429</v>
      </c>
      <c r="B132" t="s">
        <v>1423</v>
      </c>
      <c r="C132" t="s">
        <v>1430</v>
      </c>
      <c r="D132" t="s">
        <v>1177</v>
      </c>
      <c r="E132" t="s">
        <v>1328</v>
      </c>
    </row>
    <row r="133" spans="1:5" x14ac:dyDescent="0.2">
      <c r="A133" t="s">
        <v>1431</v>
      </c>
      <c r="B133" t="s">
        <v>1417</v>
      </c>
      <c r="C133" t="s">
        <v>1432</v>
      </c>
      <c r="D133" t="s">
        <v>1177</v>
      </c>
      <c r="E133" t="s">
        <v>1328</v>
      </c>
    </row>
    <row r="134" spans="1:5" x14ac:dyDescent="0.2">
      <c r="A134" t="s">
        <v>1433</v>
      </c>
      <c r="B134" t="s">
        <v>1420</v>
      </c>
      <c r="C134" t="s">
        <v>1434</v>
      </c>
      <c r="D134" t="s">
        <v>1177</v>
      </c>
      <c r="E134" t="s">
        <v>1328</v>
      </c>
    </row>
    <row r="135" spans="1:5" x14ac:dyDescent="0.2">
      <c r="A135" t="s">
        <v>1435</v>
      </c>
      <c r="B135" t="s">
        <v>1436</v>
      </c>
      <c r="C135" t="s">
        <v>1437</v>
      </c>
      <c r="D135" t="s">
        <v>1177</v>
      </c>
      <c r="E135" t="s">
        <v>1328</v>
      </c>
    </row>
    <row r="136" spans="1:5" x14ac:dyDescent="0.2">
      <c r="A136" t="s">
        <v>1438</v>
      </c>
      <c r="B136" t="s">
        <v>1436</v>
      </c>
      <c r="C136" t="s">
        <v>1439</v>
      </c>
      <c r="D136" t="s">
        <v>1177</v>
      </c>
      <c r="E136" t="s">
        <v>1328</v>
      </c>
    </row>
    <row r="137" spans="1:5" x14ac:dyDescent="0.2">
      <c r="A137" t="s">
        <v>1440</v>
      </c>
      <c r="B137" t="s">
        <v>1436</v>
      </c>
      <c r="C137" t="s">
        <v>1441</v>
      </c>
      <c r="D137" t="s">
        <v>1177</v>
      </c>
      <c r="E137" t="s">
        <v>1328</v>
      </c>
    </row>
    <row r="138" spans="1:5" x14ac:dyDescent="0.2">
      <c r="A138" t="s">
        <v>1442</v>
      </c>
      <c r="B138" t="s">
        <v>1436</v>
      </c>
      <c r="C138" t="s">
        <v>1443</v>
      </c>
      <c r="D138" t="s">
        <v>1177</v>
      </c>
      <c r="E138" t="s">
        <v>1328</v>
      </c>
    </row>
    <row r="139" spans="1:5" x14ac:dyDescent="0.2">
      <c r="A139" t="s">
        <v>1444</v>
      </c>
      <c r="B139" t="s">
        <v>1417</v>
      </c>
      <c r="C139" t="s">
        <v>1445</v>
      </c>
      <c r="D139" t="s">
        <v>1177</v>
      </c>
      <c r="E139" t="s">
        <v>1328</v>
      </c>
    </row>
    <row r="140" spans="1:5" x14ac:dyDescent="0.2">
      <c r="A140" t="s">
        <v>1446</v>
      </c>
      <c r="B140" t="s">
        <v>1420</v>
      </c>
      <c r="C140" t="s">
        <v>1447</v>
      </c>
      <c r="D140" t="s">
        <v>1177</v>
      </c>
      <c r="E140" t="s">
        <v>1328</v>
      </c>
    </row>
    <row r="141" spans="1:5" x14ac:dyDescent="0.2">
      <c r="A141" t="s">
        <v>1448</v>
      </c>
      <c r="B141" t="s">
        <v>1449</v>
      </c>
      <c r="C141" t="s">
        <v>1450</v>
      </c>
      <c r="D141" t="s">
        <v>1177</v>
      </c>
      <c r="E141" t="s">
        <v>1328</v>
      </c>
    </row>
    <row r="142" spans="1:5" x14ac:dyDescent="0.2">
      <c r="A142" t="s">
        <v>1451</v>
      </c>
      <c r="B142" t="s">
        <v>1449</v>
      </c>
      <c r="C142" t="s">
        <v>1452</v>
      </c>
      <c r="D142" t="s">
        <v>1177</v>
      </c>
      <c r="E142" t="s">
        <v>1328</v>
      </c>
    </row>
    <row r="143" spans="1:5" x14ac:dyDescent="0.2">
      <c r="A143" t="s">
        <v>1453</v>
      </c>
      <c r="B143" t="s">
        <v>1449</v>
      </c>
      <c r="C143" t="s">
        <v>1454</v>
      </c>
      <c r="D143" t="s">
        <v>1177</v>
      </c>
      <c r="E143" t="s">
        <v>1328</v>
      </c>
    </row>
    <row r="144" spans="1:5" x14ac:dyDescent="0.2">
      <c r="A144" t="s">
        <v>1455</v>
      </c>
      <c r="B144" t="s">
        <v>1449</v>
      </c>
      <c r="C144" t="s">
        <v>1456</v>
      </c>
      <c r="D144" t="s">
        <v>1177</v>
      </c>
      <c r="E144" t="s">
        <v>1328</v>
      </c>
    </row>
    <row r="145" spans="1:5" x14ac:dyDescent="0.2">
      <c r="A145" t="s">
        <v>1457</v>
      </c>
      <c r="B145" t="s">
        <v>1458</v>
      </c>
      <c r="C145" t="s">
        <v>1459</v>
      </c>
      <c r="D145" t="s">
        <v>1177</v>
      </c>
      <c r="E145" t="s">
        <v>1328</v>
      </c>
    </row>
    <row r="146" spans="1:5" x14ac:dyDescent="0.2">
      <c r="A146" t="s">
        <v>1460</v>
      </c>
      <c r="B146" t="s">
        <v>1461</v>
      </c>
      <c r="C146" t="s">
        <v>1462</v>
      </c>
      <c r="D146" t="s">
        <v>1177</v>
      </c>
      <c r="E146" t="s">
        <v>1328</v>
      </c>
    </row>
    <row r="147" spans="1:5" x14ac:dyDescent="0.2">
      <c r="A147" t="s">
        <v>1463</v>
      </c>
      <c r="B147" t="s">
        <v>1464</v>
      </c>
      <c r="C147" t="s">
        <v>1465</v>
      </c>
      <c r="D147" t="s">
        <v>1177</v>
      </c>
      <c r="E147" t="s">
        <v>1328</v>
      </c>
    </row>
    <row r="148" spans="1:5" x14ac:dyDescent="0.2">
      <c r="A148" t="s">
        <v>1466</v>
      </c>
      <c r="B148" t="s">
        <v>1464</v>
      </c>
      <c r="C148" t="s">
        <v>1467</v>
      </c>
      <c r="D148" t="s">
        <v>1177</v>
      </c>
      <c r="E148" t="s">
        <v>1328</v>
      </c>
    </row>
    <row r="149" spans="1:5" x14ac:dyDescent="0.2">
      <c r="A149" t="s">
        <v>1468</v>
      </c>
      <c r="B149" t="s">
        <v>1464</v>
      </c>
      <c r="C149" t="s">
        <v>1469</v>
      </c>
      <c r="D149" t="s">
        <v>1177</v>
      </c>
      <c r="E149" t="s">
        <v>1328</v>
      </c>
    </row>
    <row r="150" spans="1:5" x14ac:dyDescent="0.2">
      <c r="A150" t="s">
        <v>1470</v>
      </c>
      <c r="B150" t="s">
        <v>1464</v>
      </c>
      <c r="C150" t="s">
        <v>1471</v>
      </c>
      <c r="D150" t="s">
        <v>1177</v>
      </c>
      <c r="E150" t="s">
        <v>1328</v>
      </c>
    </row>
    <row r="151" spans="1:5" x14ac:dyDescent="0.2">
      <c r="A151" t="s">
        <v>1472</v>
      </c>
      <c r="B151" t="s">
        <v>1473</v>
      </c>
      <c r="C151" t="s">
        <v>1474</v>
      </c>
      <c r="D151" t="s">
        <v>1177</v>
      </c>
      <c r="E151" t="s">
        <v>1328</v>
      </c>
    </row>
    <row r="152" spans="1:5" x14ac:dyDescent="0.2">
      <c r="A152" t="s">
        <v>1475</v>
      </c>
      <c r="B152" t="s">
        <v>1476</v>
      </c>
      <c r="C152" t="s">
        <v>1477</v>
      </c>
      <c r="D152" t="s">
        <v>1177</v>
      </c>
      <c r="E152" t="s">
        <v>1328</v>
      </c>
    </row>
    <row r="153" spans="1:5" x14ac:dyDescent="0.2">
      <c r="A153" t="s">
        <v>1478</v>
      </c>
      <c r="B153" t="s">
        <v>1479</v>
      </c>
      <c r="C153" t="s">
        <v>1480</v>
      </c>
      <c r="D153" t="s">
        <v>1177</v>
      </c>
      <c r="E153" t="s">
        <v>1328</v>
      </c>
    </row>
    <row r="154" spans="1:5" x14ac:dyDescent="0.2">
      <c r="A154" t="s">
        <v>1481</v>
      </c>
      <c r="B154" t="s">
        <v>1479</v>
      </c>
      <c r="C154" t="s">
        <v>1482</v>
      </c>
      <c r="D154" t="s">
        <v>1177</v>
      </c>
      <c r="E154" t="s">
        <v>1328</v>
      </c>
    </row>
    <row r="155" spans="1:5" x14ac:dyDescent="0.2">
      <c r="A155" t="s">
        <v>1483</v>
      </c>
      <c r="B155" t="s">
        <v>1479</v>
      </c>
      <c r="C155" t="s">
        <v>1484</v>
      </c>
      <c r="D155" t="s">
        <v>1177</v>
      </c>
      <c r="E155" t="s">
        <v>1328</v>
      </c>
    </row>
    <row r="156" spans="1:5" x14ac:dyDescent="0.2">
      <c r="A156" t="s">
        <v>1485</v>
      </c>
      <c r="B156" t="s">
        <v>1479</v>
      </c>
      <c r="C156" t="s">
        <v>1486</v>
      </c>
      <c r="D156" t="s">
        <v>1177</v>
      </c>
      <c r="E156" t="s">
        <v>1328</v>
      </c>
    </row>
    <row r="157" spans="1:5" x14ac:dyDescent="0.2">
      <c r="A157" t="s">
        <v>1487</v>
      </c>
      <c r="B157" t="s">
        <v>1473</v>
      </c>
      <c r="C157" t="s">
        <v>1488</v>
      </c>
      <c r="D157" t="s">
        <v>1177</v>
      </c>
      <c r="E157" t="s">
        <v>1328</v>
      </c>
    </row>
    <row r="158" spans="1:5" x14ac:dyDescent="0.2">
      <c r="A158" t="s">
        <v>1489</v>
      </c>
      <c r="B158" t="s">
        <v>1476</v>
      </c>
      <c r="C158" t="s">
        <v>1490</v>
      </c>
      <c r="D158" t="s">
        <v>1177</v>
      </c>
      <c r="E158" t="s">
        <v>1328</v>
      </c>
    </row>
    <row r="159" spans="1:5" x14ac:dyDescent="0.2">
      <c r="A159" t="s">
        <v>1491</v>
      </c>
      <c r="B159" t="s">
        <v>1492</v>
      </c>
      <c r="C159" t="s">
        <v>1493</v>
      </c>
      <c r="D159" t="s">
        <v>1177</v>
      </c>
      <c r="E159" t="s">
        <v>1328</v>
      </c>
    </row>
    <row r="160" spans="1:5" x14ac:dyDescent="0.2">
      <c r="A160" t="s">
        <v>1494</v>
      </c>
      <c r="B160" t="s">
        <v>1492</v>
      </c>
      <c r="C160" t="s">
        <v>1495</v>
      </c>
      <c r="D160" t="s">
        <v>1177</v>
      </c>
      <c r="E160" t="s">
        <v>1328</v>
      </c>
    </row>
    <row r="161" spans="1:5" x14ac:dyDescent="0.2">
      <c r="A161" t="s">
        <v>1496</v>
      </c>
      <c r="B161" t="s">
        <v>1492</v>
      </c>
      <c r="C161" t="s">
        <v>1497</v>
      </c>
      <c r="D161" t="s">
        <v>1177</v>
      </c>
      <c r="E161" t="s">
        <v>1328</v>
      </c>
    </row>
    <row r="162" spans="1:5" x14ac:dyDescent="0.2">
      <c r="A162" t="s">
        <v>1498</v>
      </c>
      <c r="B162" t="s">
        <v>1492</v>
      </c>
      <c r="C162" t="s">
        <v>1499</v>
      </c>
      <c r="D162" t="s">
        <v>1177</v>
      </c>
      <c r="E162" t="s">
        <v>1328</v>
      </c>
    </row>
    <row r="163" spans="1:5" x14ac:dyDescent="0.2">
      <c r="A163" t="s">
        <v>1500</v>
      </c>
      <c r="B163" t="s">
        <v>1501</v>
      </c>
      <c r="C163" t="s">
        <v>1502</v>
      </c>
      <c r="D163" t="s">
        <v>1503</v>
      </c>
      <c r="E163" t="s">
        <v>1504</v>
      </c>
    </row>
    <row r="164" spans="1:5" x14ac:dyDescent="0.2">
      <c r="A164" t="s">
        <v>1505</v>
      </c>
      <c r="B164" t="s">
        <v>1501</v>
      </c>
      <c r="C164" t="s">
        <v>1506</v>
      </c>
      <c r="D164" t="s">
        <v>1503</v>
      </c>
      <c r="E164" t="s">
        <v>1504</v>
      </c>
    </row>
    <row r="165" spans="1:5" x14ac:dyDescent="0.2">
      <c r="A165" t="s">
        <v>1507</v>
      </c>
      <c r="B165" t="s">
        <v>1501</v>
      </c>
      <c r="C165" t="s">
        <v>1508</v>
      </c>
      <c r="D165" t="s">
        <v>1503</v>
      </c>
      <c r="E165" t="s">
        <v>1504</v>
      </c>
    </row>
    <row r="166" spans="1:5" x14ac:dyDescent="0.2">
      <c r="A166" t="s">
        <v>1509</v>
      </c>
      <c r="B166" t="s">
        <v>1501</v>
      </c>
      <c r="C166" t="s">
        <v>1510</v>
      </c>
      <c r="D166" t="s">
        <v>1503</v>
      </c>
      <c r="E166" t="s">
        <v>1504</v>
      </c>
    </row>
    <row r="167" spans="1:5" x14ac:dyDescent="0.2">
      <c r="A167" t="s">
        <v>1511</v>
      </c>
      <c r="B167" t="s">
        <v>1501</v>
      </c>
      <c r="C167" t="s">
        <v>1512</v>
      </c>
      <c r="D167" t="s">
        <v>1503</v>
      </c>
      <c r="E167" t="s">
        <v>1504</v>
      </c>
    </row>
    <row r="168" spans="1:5" x14ac:dyDescent="0.2">
      <c r="A168" t="s">
        <v>1513</v>
      </c>
      <c r="B168" t="s">
        <v>1501</v>
      </c>
      <c r="C168" t="s">
        <v>1514</v>
      </c>
      <c r="D168" t="s">
        <v>1503</v>
      </c>
      <c r="E168" t="s">
        <v>1504</v>
      </c>
    </row>
    <row r="169" spans="1:5" x14ac:dyDescent="0.2">
      <c r="A169" t="s">
        <v>1515</v>
      </c>
      <c r="B169" t="s">
        <v>1516</v>
      </c>
      <c r="C169" t="s">
        <v>1517</v>
      </c>
      <c r="D169" t="s">
        <v>1177</v>
      </c>
      <c r="E169" t="s">
        <v>1177</v>
      </c>
    </row>
    <row r="170" spans="1:5" x14ac:dyDescent="0.2">
      <c r="A170" t="s">
        <v>1518</v>
      </c>
      <c r="B170" t="s">
        <v>1519</v>
      </c>
      <c r="C170" t="s">
        <v>1520</v>
      </c>
      <c r="D170" t="s">
        <v>1177</v>
      </c>
      <c r="E170" t="s">
        <v>1177</v>
      </c>
    </row>
    <row r="171" spans="1:5" x14ac:dyDescent="0.2">
      <c r="A171" s="275" t="s">
        <v>1521</v>
      </c>
      <c r="B171" s="275" t="s">
        <v>1522</v>
      </c>
      <c r="C171" s="275" t="s">
        <v>1523</v>
      </c>
      <c r="D171" s="275" t="s">
        <v>1524</v>
      </c>
      <c r="E171" t="s">
        <v>1177</v>
      </c>
    </row>
    <row r="172" spans="1:5" x14ac:dyDescent="0.2">
      <c r="A172" s="275" t="s">
        <v>1525</v>
      </c>
      <c r="B172" s="275" t="s">
        <v>1097</v>
      </c>
      <c r="C172" s="275" t="s">
        <v>1526</v>
      </c>
      <c r="D172" s="275" t="s">
        <v>1177</v>
      </c>
      <c r="E172" t="s">
        <v>1177</v>
      </c>
    </row>
    <row r="173" spans="1:5" x14ac:dyDescent="0.2">
      <c r="A173" t="s">
        <v>1527</v>
      </c>
      <c r="B173" t="s">
        <v>1528</v>
      </c>
      <c r="C173" t="s">
        <v>1529</v>
      </c>
      <c r="D173" t="s">
        <v>1177</v>
      </c>
      <c r="E173" t="s">
        <v>1177</v>
      </c>
    </row>
    <row r="174" spans="1:5" x14ac:dyDescent="0.2">
      <c r="A174" t="s">
        <v>1530</v>
      </c>
      <c r="B174" t="s">
        <v>1528</v>
      </c>
      <c r="C174" t="s">
        <v>1531</v>
      </c>
      <c r="D174" t="s">
        <v>1177</v>
      </c>
      <c r="E174" t="s">
        <v>1177</v>
      </c>
    </row>
    <row r="175" spans="1:5" x14ac:dyDescent="0.2">
      <c r="A175" t="s">
        <v>1532</v>
      </c>
      <c r="B175" t="s">
        <v>1318</v>
      </c>
      <c r="C175" t="s">
        <v>1533</v>
      </c>
      <c r="D175" t="s">
        <v>1177</v>
      </c>
      <c r="E175" t="s">
        <v>1177</v>
      </c>
    </row>
    <row r="176" spans="1:5" x14ac:dyDescent="0.2">
      <c r="A176" s="275" t="s">
        <v>1534</v>
      </c>
      <c r="B176" s="275" t="s">
        <v>1095</v>
      </c>
      <c r="C176" s="275" t="s">
        <v>1535</v>
      </c>
      <c r="D176" t="s">
        <v>1177</v>
      </c>
      <c r="E176" t="s">
        <v>1177</v>
      </c>
    </row>
    <row r="177" spans="1:5" x14ac:dyDescent="0.2">
      <c r="A177" t="s">
        <v>1536</v>
      </c>
      <c r="B177" t="s">
        <v>1318</v>
      </c>
      <c r="C177" t="s">
        <v>1537</v>
      </c>
      <c r="D177" t="s">
        <v>1177</v>
      </c>
      <c r="E177" t="s">
        <v>1177</v>
      </c>
    </row>
    <row r="178" spans="1:5" x14ac:dyDescent="0.2">
      <c r="A178" t="s">
        <v>1538</v>
      </c>
      <c r="B178" t="s">
        <v>1318</v>
      </c>
      <c r="C178" t="s">
        <v>1539</v>
      </c>
      <c r="D178" t="s">
        <v>1177</v>
      </c>
      <c r="E178" t="s">
        <v>1177</v>
      </c>
    </row>
    <row r="179" spans="1:5" x14ac:dyDescent="0.2">
      <c r="A179" t="s">
        <v>1540</v>
      </c>
      <c r="B179" t="s">
        <v>1318</v>
      </c>
      <c r="C179" t="s">
        <v>1541</v>
      </c>
      <c r="D179" t="s">
        <v>1177</v>
      </c>
      <c r="E179" t="s">
        <v>1177</v>
      </c>
    </row>
    <row r="180" spans="1:5" x14ac:dyDescent="0.2">
      <c r="A180" t="s">
        <v>1542</v>
      </c>
      <c r="B180" t="s">
        <v>1090</v>
      </c>
      <c r="C180" t="s">
        <v>1543</v>
      </c>
      <c r="D180" t="s">
        <v>1177</v>
      </c>
      <c r="E180" t="s">
        <v>1177</v>
      </c>
    </row>
    <row r="181" spans="1:5" x14ac:dyDescent="0.2">
      <c r="A181" t="s">
        <v>1544</v>
      </c>
      <c r="B181" t="s">
        <v>1545</v>
      </c>
      <c r="C181" t="s">
        <v>1546</v>
      </c>
      <c r="D181" t="s">
        <v>1177</v>
      </c>
      <c r="E181" t="s">
        <v>1177</v>
      </c>
    </row>
    <row r="182" spans="1:5" x14ac:dyDescent="0.2">
      <c r="A182" t="s">
        <v>1547</v>
      </c>
      <c r="B182" t="s">
        <v>1548</v>
      </c>
      <c r="C182" t="s">
        <v>1549</v>
      </c>
      <c r="D182" t="s">
        <v>1177</v>
      </c>
      <c r="E182" t="s">
        <v>1177</v>
      </c>
    </row>
    <row r="183" spans="1:5" x14ac:dyDescent="0.2">
      <c r="A183" t="s">
        <v>1550</v>
      </c>
      <c r="B183" t="s">
        <v>1548</v>
      </c>
      <c r="C183" t="s">
        <v>1551</v>
      </c>
      <c r="D183" t="s">
        <v>1177</v>
      </c>
      <c r="E183" t="s">
        <v>1177</v>
      </c>
    </row>
    <row r="184" spans="1:5" x14ac:dyDescent="0.2">
      <c r="A184" t="s">
        <v>1552</v>
      </c>
      <c r="B184" t="s">
        <v>1097</v>
      </c>
      <c r="C184" t="s">
        <v>1553</v>
      </c>
      <c r="D184" t="s">
        <v>1177</v>
      </c>
      <c r="E184" t="s">
        <v>1177</v>
      </c>
    </row>
    <row r="185" spans="1:5" x14ac:dyDescent="0.2">
      <c r="A185" t="s">
        <v>1554</v>
      </c>
      <c r="B185" t="s">
        <v>1528</v>
      </c>
      <c r="C185" t="s">
        <v>1555</v>
      </c>
      <c r="D185" t="s">
        <v>1177</v>
      </c>
      <c r="E185" t="s">
        <v>1177</v>
      </c>
    </row>
    <row r="186" spans="1:5" x14ac:dyDescent="0.2">
      <c r="A186" t="s">
        <v>1556</v>
      </c>
      <c r="B186" t="s">
        <v>1528</v>
      </c>
      <c r="C186" t="s">
        <v>1557</v>
      </c>
      <c r="D186" t="s">
        <v>1177</v>
      </c>
      <c r="E186" t="s">
        <v>1177</v>
      </c>
    </row>
    <row r="187" spans="1:5" x14ac:dyDescent="0.2">
      <c r="A187" t="s">
        <v>1558</v>
      </c>
      <c r="B187" t="s">
        <v>1318</v>
      </c>
      <c r="C187" t="s">
        <v>1559</v>
      </c>
      <c r="D187" t="s">
        <v>1177</v>
      </c>
      <c r="E187" t="s">
        <v>1177</v>
      </c>
    </row>
    <row r="188" spans="1:5" x14ac:dyDescent="0.2">
      <c r="A188" t="s">
        <v>1560</v>
      </c>
      <c r="B188" t="s">
        <v>1561</v>
      </c>
      <c r="C188" t="s">
        <v>1562</v>
      </c>
      <c r="D188" t="s">
        <v>1177</v>
      </c>
      <c r="E188" t="s">
        <v>1177</v>
      </c>
    </row>
    <row r="189" spans="1:5" x14ac:dyDescent="0.2">
      <c r="A189" t="s">
        <v>1563</v>
      </c>
      <c r="B189" t="s">
        <v>1564</v>
      </c>
      <c r="C189" t="s">
        <v>1565</v>
      </c>
      <c r="D189" t="s">
        <v>1177</v>
      </c>
      <c r="E189" t="s">
        <v>1177</v>
      </c>
    </row>
    <row r="190" spans="1:5" x14ac:dyDescent="0.2">
      <c r="A190" t="s">
        <v>1566</v>
      </c>
      <c r="B190" t="s">
        <v>1567</v>
      </c>
      <c r="C190" t="s">
        <v>1568</v>
      </c>
      <c r="D190" t="s">
        <v>1177</v>
      </c>
      <c r="E190" t="s">
        <v>1177</v>
      </c>
    </row>
    <row r="191" spans="1:5" x14ac:dyDescent="0.2">
      <c r="A191" t="s">
        <v>1569</v>
      </c>
      <c r="B191" t="s">
        <v>1570</v>
      </c>
      <c r="C191" t="s">
        <v>1571</v>
      </c>
      <c r="D191" t="s">
        <v>1177</v>
      </c>
      <c r="E191" t="s">
        <v>1177</v>
      </c>
    </row>
    <row r="192" spans="1:5" x14ac:dyDescent="0.2">
      <c r="A192" t="s">
        <v>1572</v>
      </c>
      <c r="B192" t="s">
        <v>1573</v>
      </c>
      <c r="C192" t="s">
        <v>1574</v>
      </c>
      <c r="D192" t="s">
        <v>1177</v>
      </c>
      <c r="E192" t="s">
        <v>1177</v>
      </c>
    </row>
    <row r="193" spans="1:5" x14ac:dyDescent="0.2">
      <c r="A193" t="s">
        <v>1575</v>
      </c>
      <c r="B193" t="s">
        <v>1576</v>
      </c>
      <c r="C193" t="s">
        <v>1577</v>
      </c>
      <c r="D193" t="s">
        <v>1177</v>
      </c>
      <c r="E193" t="s">
        <v>1177</v>
      </c>
    </row>
    <row r="194" spans="1:5" x14ac:dyDescent="0.2">
      <c r="A194" t="s">
        <v>1578</v>
      </c>
      <c r="B194" t="s">
        <v>1579</v>
      </c>
      <c r="C194" t="s">
        <v>1177</v>
      </c>
      <c r="D194" t="s">
        <v>1177</v>
      </c>
      <c r="E194" t="s">
        <v>1177</v>
      </c>
    </row>
    <row r="195" spans="1:5" x14ac:dyDescent="0.2">
      <c r="A195" t="s">
        <v>1580</v>
      </c>
      <c r="B195" t="s">
        <v>1581</v>
      </c>
      <c r="C195" t="s">
        <v>1177</v>
      </c>
      <c r="D195" t="s">
        <v>1177</v>
      </c>
      <c r="E195" t="s">
        <v>1177</v>
      </c>
    </row>
    <row r="196" spans="1:5" x14ac:dyDescent="0.2">
      <c r="A196" t="s">
        <v>1582</v>
      </c>
      <c r="B196" t="s">
        <v>1583</v>
      </c>
      <c r="C196" t="s">
        <v>1177</v>
      </c>
      <c r="D196" t="s">
        <v>1177</v>
      </c>
      <c r="E196" t="s">
        <v>1177</v>
      </c>
    </row>
    <row r="197" spans="1:5" x14ac:dyDescent="0.2">
      <c r="A197" t="s">
        <v>1584</v>
      </c>
      <c r="B197" t="s">
        <v>1585</v>
      </c>
      <c r="C197" t="s">
        <v>1177</v>
      </c>
      <c r="D197" t="s">
        <v>1177</v>
      </c>
      <c r="E197" t="s">
        <v>1177</v>
      </c>
    </row>
    <row r="198" spans="1:5" x14ac:dyDescent="0.2">
      <c r="A198" t="s">
        <v>1586</v>
      </c>
      <c r="B198" t="s">
        <v>1587</v>
      </c>
      <c r="C198" t="s">
        <v>1177</v>
      </c>
      <c r="D198" t="s">
        <v>1177</v>
      </c>
      <c r="E198" t="s">
        <v>1177</v>
      </c>
    </row>
    <row r="199" spans="1:5" x14ac:dyDescent="0.2">
      <c r="A199" t="s">
        <v>1588</v>
      </c>
      <c r="B199" t="s">
        <v>1585</v>
      </c>
      <c r="C199" t="s">
        <v>1177</v>
      </c>
      <c r="D199" t="s">
        <v>1177</v>
      </c>
      <c r="E199" t="s">
        <v>1177</v>
      </c>
    </row>
    <row r="200" spans="1:5" x14ac:dyDescent="0.2">
      <c r="A200" t="s">
        <v>1589</v>
      </c>
      <c r="B200" t="s">
        <v>1590</v>
      </c>
      <c r="C200" t="s">
        <v>1177</v>
      </c>
      <c r="D200" t="s">
        <v>1177</v>
      </c>
      <c r="E200" t="s">
        <v>1177</v>
      </c>
    </row>
    <row r="201" spans="1:5" x14ac:dyDescent="0.2">
      <c r="A201" t="s">
        <v>1591</v>
      </c>
      <c r="B201" t="s">
        <v>1592</v>
      </c>
      <c r="C201" t="s">
        <v>1177</v>
      </c>
      <c r="D201" t="s">
        <v>1177</v>
      </c>
      <c r="E201" t="s">
        <v>1177</v>
      </c>
    </row>
    <row r="202" spans="1:5" x14ac:dyDescent="0.2">
      <c r="A202" t="s">
        <v>1593</v>
      </c>
      <c r="B202" t="s">
        <v>1594</v>
      </c>
      <c r="C202" t="s">
        <v>1177</v>
      </c>
      <c r="D202" t="s">
        <v>1595</v>
      </c>
      <c r="E202" t="s">
        <v>1177</v>
      </c>
    </row>
    <row r="203" spans="1:5" x14ac:dyDescent="0.2">
      <c r="A203" t="s">
        <v>1596</v>
      </c>
      <c r="B203" t="s">
        <v>1597</v>
      </c>
      <c r="C203" t="s">
        <v>1177</v>
      </c>
      <c r="D203" t="s">
        <v>1595</v>
      </c>
      <c r="E203" t="s">
        <v>1177</v>
      </c>
    </row>
    <row r="204" spans="1:5" x14ac:dyDescent="0.2">
      <c r="A204" t="s">
        <v>1598</v>
      </c>
      <c r="B204" t="s">
        <v>1599</v>
      </c>
      <c r="C204" t="s">
        <v>1177</v>
      </c>
      <c r="D204" t="s">
        <v>1595</v>
      </c>
      <c r="E204" t="s">
        <v>1177</v>
      </c>
    </row>
    <row r="205" spans="1:5" x14ac:dyDescent="0.2">
      <c r="A205" t="s">
        <v>1600</v>
      </c>
      <c r="B205" t="s">
        <v>1601</v>
      </c>
      <c r="C205" t="s">
        <v>1177</v>
      </c>
      <c r="D205" t="s">
        <v>1595</v>
      </c>
      <c r="E205" t="s">
        <v>1177</v>
      </c>
    </row>
    <row r="206" spans="1:5" x14ac:dyDescent="0.2">
      <c r="A206" t="s">
        <v>1602</v>
      </c>
      <c r="B206" t="s">
        <v>1603</v>
      </c>
      <c r="C206" t="s">
        <v>1177</v>
      </c>
      <c r="D206" t="s">
        <v>1595</v>
      </c>
      <c r="E206" t="s">
        <v>1177</v>
      </c>
    </row>
    <row r="207" spans="1:5" x14ac:dyDescent="0.2">
      <c r="A207" t="s">
        <v>1604</v>
      </c>
      <c r="B207" t="s">
        <v>1605</v>
      </c>
      <c r="C207" t="s">
        <v>1177</v>
      </c>
      <c r="D207" t="s">
        <v>1595</v>
      </c>
      <c r="E207" t="s">
        <v>1177</v>
      </c>
    </row>
    <row r="208" spans="1:5" x14ac:dyDescent="0.2">
      <c r="A208" t="s">
        <v>1606</v>
      </c>
      <c r="B208" t="s">
        <v>1607</v>
      </c>
      <c r="C208" t="s">
        <v>1177</v>
      </c>
      <c r="D208" t="s">
        <v>1595</v>
      </c>
      <c r="E208" t="s">
        <v>1177</v>
      </c>
    </row>
    <row r="209" spans="1:5" x14ac:dyDescent="0.2">
      <c r="A209" t="s">
        <v>1608</v>
      </c>
      <c r="B209" t="s">
        <v>1609</v>
      </c>
      <c r="C209" t="s">
        <v>1177</v>
      </c>
      <c r="D209" t="s">
        <v>1595</v>
      </c>
      <c r="E209" t="s">
        <v>1177</v>
      </c>
    </row>
    <row r="210" spans="1:5" x14ac:dyDescent="0.2">
      <c r="A210" t="s">
        <v>1610</v>
      </c>
      <c r="B210" t="s">
        <v>1611</v>
      </c>
      <c r="C210" t="s">
        <v>1177</v>
      </c>
      <c r="D210" t="s">
        <v>1595</v>
      </c>
      <c r="E210" t="s">
        <v>1177</v>
      </c>
    </row>
    <row r="211" spans="1:5" x14ac:dyDescent="0.2">
      <c r="A211" t="s">
        <v>1612</v>
      </c>
      <c r="B211" t="s">
        <v>1613</v>
      </c>
      <c r="C211" t="s">
        <v>1177</v>
      </c>
      <c r="D211" t="s">
        <v>1595</v>
      </c>
      <c r="E211" t="s">
        <v>1177</v>
      </c>
    </row>
    <row r="212" spans="1:5" x14ac:dyDescent="0.2">
      <c r="A212" t="s">
        <v>1614</v>
      </c>
      <c r="B212" t="s">
        <v>1615</v>
      </c>
      <c r="C212" t="s">
        <v>1177</v>
      </c>
      <c r="D212" t="s">
        <v>1595</v>
      </c>
      <c r="E212" t="s">
        <v>1177</v>
      </c>
    </row>
    <row r="213" spans="1:5" x14ac:dyDescent="0.2">
      <c r="A213" t="s">
        <v>1616</v>
      </c>
      <c r="B213" t="s">
        <v>1617</v>
      </c>
      <c r="C213" t="s">
        <v>1177</v>
      </c>
      <c r="D213" t="s">
        <v>1595</v>
      </c>
      <c r="E213" t="s">
        <v>1177</v>
      </c>
    </row>
    <row r="214" spans="1:5" x14ac:dyDescent="0.2">
      <c r="A214" t="s">
        <v>1618</v>
      </c>
      <c r="B214" t="s">
        <v>1619</v>
      </c>
      <c r="C214" t="s">
        <v>1177</v>
      </c>
      <c r="D214" t="s">
        <v>1595</v>
      </c>
      <c r="E214" t="s">
        <v>1177</v>
      </c>
    </row>
    <row r="215" spans="1:5" x14ac:dyDescent="0.2">
      <c r="A215" t="s">
        <v>1620</v>
      </c>
      <c r="B215" t="s">
        <v>1621</v>
      </c>
      <c r="C215" t="s">
        <v>1177</v>
      </c>
      <c r="D215" t="s">
        <v>1595</v>
      </c>
      <c r="E215" t="s">
        <v>1177</v>
      </c>
    </row>
    <row r="216" spans="1:5" x14ac:dyDescent="0.2">
      <c r="A216" t="s">
        <v>1622</v>
      </c>
      <c r="B216" t="s">
        <v>1623</v>
      </c>
      <c r="C216" t="s">
        <v>1177</v>
      </c>
      <c r="D216" t="s">
        <v>1595</v>
      </c>
      <c r="E216" t="s">
        <v>1177</v>
      </c>
    </row>
    <row r="217" spans="1:5" x14ac:dyDescent="0.2">
      <c r="A217" t="s">
        <v>1624</v>
      </c>
      <c r="B217" t="s">
        <v>1625</v>
      </c>
      <c r="C217" t="s">
        <v>1177</v>
      </c>
      <c r="D217" t="s">
        <v>1595</v>
      </c>
      <c r="E217" t="s">
        <v>1177</v>
      </c>
    </row>
    <row r="218" spans="1:5" x14ac:dyDescent="0.2">
      <c r="A218" t="s">
        <v>1626</v>
      </c>
      <c r="B218" t="s">
        <v>1627</v>
      </c>
      <c r="C218" t="s">
        <v>1177</v>
      </c>
      <c r="D218" t="s">
        <v>1595</v>
      </c>
      <c r="E218" t="s">
        <v>1177</v>
      </c>
    </row>
    <row r="219" spans="1:5" x14ac:dyDescent="0.2">
      <c r="A219" t="s">
        <v>1628</v>
      </c>
      <c r="B219" t="s">
        <v>1629</v>
      </c>
      <c r="C219" t="s">
        <v>1177</v>
      </c>
      <c r="D219" t="s">
        <v>1595</v>
      </c>
      <c r="E219" t="s">
        <v>1177</v>
      </c>
    </row>
    <row r="220" spans="1:5" x14ac:dyDescent="0.2">
      <c r="A220" t="s">
        <v>1630</v>
      </c>
      <c r="B220" t="s">
        <v>1631</v>
      </c>
      <c r="C220" t="s">
        <v>1177</v>
      </c>
      <c r="D220" t="s">
        <v>1595</v>
      </c>
      <c r="E220" t="s">
        <v>1177</v>
      </c>
    </row>
    <row r="221" spans="1:5" x14ac:dyDescent="0.2">
      <c r="A221" t="s">
        <v>1632</v>
      </c>
      <c r="B221" t="s">
        <v>1633</v>
      </c>
      <c r="C221" t="s">
        <v>1177</v>
      </c>
      <c r="D221" t="s">
        <v>1595</v>
      </c>
      <c r="E221" t="s">
        <v>1177</v>
      </c>
    </row>
    <row r="222" spans="1:5" x14ac:dyDescent="0.2">
      <c r="A222" t="s">
        <v>1634</v>
      </c>
      <c r="B222" t="s">
        <v>1635</v>
      </c>
      <c r="C222" t="s">
        <v>1177</v>
      </c>
      <c r="D222" t="s">
        <v>1595</v>
      </c>
      <c r="E222" t="s">
        <v>1177</v>
      </c>
    </row>
    <row r="223" spans="1:5" x14ac:dyDescent="0.2">
      <c r="A223" t="s">
        <v>1636</v>
      </c>
      <c r="B223" t="s">
        <v>1637</v>
      </c>
      <c r="C223" t="s">
        <v>1177</v>
      </c>
      <c r="D223" t="s">
        <v>1595</v>
      </c>
      <c r="E223" t="s">
        <v>1177</v>
      </c>
    </row>
    <row r="224" spans="1:5" x14ac:dyDescent="0.2">
      <c r="A224" t="s">
        <v>1638</v>
      </c>
      <c r="B224" t="s">
        <v>1639</v>
      </c>
      <c r="C224" t="s">
        <v>1177</v>
      </c>
      <c r="D224" t="s">
        <v>1595</v>
      </c>
      <c r="E224" t="s">
        <v>1177</v>
      </c>
    </row>
    <row r="225" spans="1:5" x14ac:dyDescent="0.2">
      <c r="A225" t="s">
        <v>1640</v>
      </c>
      <c r="B225" t="s">
        <v>1641</v>
      </c>
      <c r="C225" t="s">
        <v>1177</v>
      </c>
      <c r="D225" t="s">
        <v>1595</v>
      </c>
      <c r="E225" t="s">
        <v>1177</v>
      </c>
    </row>
    <row r="226" spans="1:5" x14ac:dyDescent="0.2">
      <c r="A226" t="s">
        <v>1642</v>
      </c>
      <c r="B226" t="s">
        <v>1643</v>
      </c>
      <c r="C226" t="s">
        <v>1177</v>
      </c>
      <c r="D226" t="s">
        <v>1595</v>
      </c>
      <c r="E226" t="s">
        <v>1177</v>
      </c>
    </row>
    <row r="227" spans="1:5" x14ac:dyDescent="0.2">
      <c r="A227" t="s">
        <v>1644</v>
      </c>
      <c r="B227" t="s">
        <v>1645</v>
      </c>
      <c r="C227" t="s">
        <v>1177</v>
      </c>
      <c r="D227" t="s">
        <v>1595</v>
      </c>
      <c r="E227" t="s">
        <v>1177</v>
      </c>
    </row>
    <row r="228" spans="1:5" x14ac:dyDescent="0.2">
      <c r="A228" t="s">
        <v>1646</v>
      </c>
      <c r="B228" t="s">
        <v>1647</v>
      </c>
      <c r="C228" t="s">
        <v>1177</v>
      </c>
      <c r="D228" t="s">
        <v>1595</v>
      </c>
      <c r="E228" t="s">
        <v>1177</v>
      </c>
    </row>
    <row r="229" spans="1:5" x14ac:dyDescent="0.2">
      <c r="A229" t="s">
        <v>1648</v>
      </c>
      <c r="B229" t="s">
        <v>1649</v>
      </c>
      <c r="C229" t="s">
        <v>1177</v>
      </c>
      <c r="D229" t="s">
        <v>1595</v>
      </c>
      <c r="E229" t="s">
        <v>1177</v>
      </c>
    </row>
    <row r="230" spans="1:5" x14ac:dyDescent="0.2">
      <c r="A230" t="s">
        <v>1650</v>
      </c>
      <c r="B230" t="s">
        <v>1651</v>
      </c>
      <c r="C230" t="s">
        <v>1177</v>
      </c>
      <c r="D230" t="s">
        <v>1595</v>
      </c>
      <c r="E230" t="s">
        <v>1177</v>
      </c>
    </row>
    <row r="231" spans="1:5" x14ac:dyDescent="0.2">
      <c r="A231" t="s">
        <v>1652</v>
      </c>
      <c r="B231" t="s">
        <v>1653</v>
      </c>
      <c r="C231" t="s">
        <v>1177</v>
      </c>
      <c r="D231" t="s">
        <v>1595</v>
      </c>
      <c r="E231" t="s">
        <v>1177</v>
      </c>
    </row>
    <row r="232" spans="1:5" x14ac:dyDescent="0.2">
      <c r="A232" t="s">
        <v>1654</v>
      </c>
      <c r="B232" t="s">
        <v>1655</v>
      </c>
      <c r="C232" t="s">
        <v>1177</v>
      </c>
      <c r="D232" t="s">
        <v>1595</v>
      </c>
      <c r="E232" t="s">
        <v>1177</v>
      </c>
    </row>
    <row r="233" spans="1:5" x14ac:dyDescent="0.2">
      <c r="A233" t="s">
        <v>1656</v>
      </c>
      <c r="B233" t="s">
        <v>1657</v>
      </c>
      <c r="C233" t="s">
        <v>1177</v>
      </c>
      <c r="D233" t="s">
        <v>1595</v>
      </c>
      <c r="E233" t="s">
        <v>1177</v>
      </c>
    </row>
    <row r="234" spans="1:5" x14ac:dyDescent="0.2">
      <c r="A234" t="s">
        <v>1658</v>
      </c>
      <c r="B234" t="s">
        <v>1659</v>
      </c>
      <c r="C234" t="s">
        <v>1177</v>
      </c>
      <c r="D234" t="s">
        <v>1595</v>
      </c>
      <c r="E234" t="s">
        <v>1177</v>
      </c>
    </row>
    <row r="235" spans="1:5" x14ac:dyDescent="0.2">
      <c r="A235" t="s">
        <v>1660</v>
      </c>
      <c r="B235" t="s">
        <v>1661</v>
      </c>
      <c r="C235" t="s">
        <v>1177</v>
      </c>
      <c r="D235" t="s">
        <v>1595</v>
      </c>
      <c r="E235" t="s">
        <v>1177</v>
      </c>
    </row>
    <row r="236" spans="1:5" x14ac:dyDescent="0.2">
      <c r="A236" t="s">
        <v>1662</v>
      </c>
      <c r="B236" t="s">
        <v>1663</v>
      </c>
      <c r="C236" t="s">
        <v>1177</v>
      </c>
      <c r="D236" t="s">
        <v>1595</v>
      </c>
      <c r="E236" t="s">
        <v>1177</v>
      </c>
    </row>
    <row r="237" spans="1:5" x14ac:dyDescent="0.2">
      <c r="A237" t="s">
        <v>1664</v>
      </c>
      <c r="B237" t="s">
        <v>1665</v>
      </c>
      <c r="C237" t="s">
        <v>1177</v>
      </c>
      <c r="D237" t="s">
        <v>1595</v>
      </c>
      <c r="E237" t="s">
        <v>1177</v>
      </c>
    </row>
    <row r="238" spans="1:5" x14ac:dyDescent="0.2">
      <c r="A238" t="s">
        <v>1666</v>
      </c>
      <c r="B238" t="s">
        <v>1619</v>
      </c>
      <c r="C238" t="s">
        <v>1177</v>
      </c>
      <c r="D238" t="s">
        <v>1595</v>
      </c>
      <c r="E238" t="s">
        <v>1177</v>
      </c>
    </row>
    <row r="239" spans="1:5" x14ac:dyDescent="0.2">
      <c r="A239" t="s">
        <v>1667</v>
      </c>
      <c r="B239" t="s">
        <v>1621</v>
      </c>
      <c r="C239" t="s">
        <v>1177</v>
      </c>
      <c r="D239" t="s">
        <v>1595</v>
      </c>
      <c r="E239" t="s">
        <v>1177</v>
      </c>
    </row>
    <row r="240" spans="1:5" x14ac:dyDescent="0.2">
      <c r="A240" t="s">
        <v>1668</v>
      </c>
      <c r="B240" t="s">
        <v>1623</v>
      </c>
      <c r="C240" t="s">
        <v>1177</v>
      </c>
      <c r="D240" t="s">
        <v>1595</v>
      </c>
      <c r="E240" t="s">
        <v>1177</v>
      </c>
    </row>
    <row r="241" spans="1:5" x14ac:dyDescent="0.2">
      <c r="A241" t="s">
        <v>1669</v>
      </c>
      <c r="B241" t="s">
        <v>1625</v>
      </c>
      <c r="C241" t="s">
        <v>1177</v>
      </c>
      <c r="D241" t="s">
        <v>1595</v>
      </c>
      <c r="E241" t="s">
        <v>1177</v>
      </c>
    </row>
    <row r="242" spans="1:5" x14ac:dyDescent="0.2">
      <c r="A242" t="s">
        <v>1670</v>
      </c>
      <c r="B242" t="s">
        <v>1627</v>
      </c>
      <c r="C242" t="s">
        <v>1177</v>
      </c>
      <c r="D242" t="s">
        <v>1595</v>
      </c>
      <c r="E242" t="s">
        <v>1177</v>
      </c>
    </row>
    <row r="243" spans="1:5" x14ac:dyDescent="0.2">
      <c r="A243" t="s">
        <v>1671</v>
      </c>
      <c r="B243" t="s">
        <v>1629</v>
      </c>
      <c r="C243" t="s">
        <v>1177</v>
      </c>
      <c r="D243" t="s">
        <v>1595</v>
      </c>
      <c r="E243" t="s">
        <v>1177</v>
      </c>
    </row>
    <row r="244" spans="1:5" x14ac:dyDescent="0.2">
      <c r="A244" t="s">
        <v>1672</v>
      </c>
      <c r="B244" t="s">
        <v>1631</v>
      </c>
      <c r="C244" t="s">
        <v>1177</v>
      </c>
      <c r="D244" t="s">
        <v>1595</v>
      </c>
      <c r="E244" t="s">
        <v>1177</v>
      </c>
    </row>
    <row r="245" spans="1:5" x14ac:dyDescent="0.2">
      <c r="A245" t="s">
        <v>1673</v>
      </c>
      <c r="B245" t="s">
        <v>1633</v>
      </c>
      <c r="C245" t="s">
        <v>1177</v>
      </c>
      <c r="D245" t="s">
        <v>1595</v>
      </c>
      <c r="E245" t="s">
        <v>1177</v>
      </c>
    </row>
    <row r="246" spans="1:5" x14ac:dyDescent="0.2">
      <c r="A246" t="s">
        <v>1674</v>
      </c>
      <c r="B246" t="s">
        <v>1635</v>
      </c>
      <c r="C246" t="s">
        <v>1177</v>
      </c>
      <c r="D246" t="s">
        <v>1595</v>
      </c>
      <c r="E246" t="s">
        <v>1177</v>
      </c>
    </row>
    <row r="247" spans="1:5" x14ac:dyDescent="0.2">
      <c r="A247" t="s">
        <v>1675</v>
      </c>
      <c r="B247" t="s">
        <v>1637</v>
      </c>
      <c r="C247" t="s">
        <v>1177</v>
      </c>
      <c r="D247" t="s">
        <v>1595</v>
      </c>
      <c r="E247" t="s">
        <v>1177</v>
      </c>
    </row>
    <row r="248" spans="1:5" x14ac:dyDescent="0.2">
      <c r="A248" t="s">
        <v>1676</v>
      </c>
      <c r="B248" t="s">
        <v>1639</v>
      </c>
      <c r="C248" t="s">
        <v>1177</v>
      </c>
      <c r="D248" t="s">
        <v>1595</v>
      </c>
      <c r="E248" t="s">
        <v>1177</v>
      </c>
    </row>
    <row r="249" spans="1:5" x14ac:dyDescent="0.2">
      <c r="A249" t="s">
        <v>1677</v>
      </c>
      <c r="B249" t="s">
        <v>1641</v>
      </c>
      <c r="C249" t="s">
        <v>1177</v>
      </c>
      <c r="D249" t="s">
        <v>1595</v>
      </c>
      <c r="E249" t="s">
        <v>1177</v>
      </c>
    </row>
    <row r="250" spans="1:5" x14ac:dyDescent="0.2">
      <c r="A250" t="s">
        <v>1678</v>
      </c>
      <c r="B250" t="s">
        <v>1679</v>
      </c>
      <c r="C250" t="s">
        <v>1177</v>
      </c>
      <c r="D250" t="s">
        <v>1595</v>
      </c>
      <c r="E250" t="s">
        <v>1177</v>
      </c>
    </row>
    <row r="251" spans="1:5" x14ac:dyDescent="0.2">
      <c r="A251" t="s">
        <v>1680</v>
      </c>
      <c r="B251" t="s">
        <v>1681</v>
      </c>
      <c r="C251" t="s">
        <v>1177</v>
      </c>
      <c r="D251" t="s">
        <v>1595</v>
      </c>
      <c r="E251" t="s">
        <v>1177</v>
      </c>
    </row>
    <row r="252" spans="1:5" x14ac:dyDescent="0.2">
      <c r="A252" t="s">
        <v>1682</v>
      </c>
      <c r="B252" t="s">
        <v>1683</v>
      </c>
      <c r="C252" t="s">
        <v>1177</v>
      </c>
      <c r="D252" t="s">
        <v>1595</v>
      </c>
      <c r="E252" t="s">
        <v>1177</v>
      </c>
    </row>
    <row r="253" spans="1:5" x14ac:dyDescent="0.2">
      <c r="A253" t="s">
        <v>1684</v>
      </c>
      <c r="B253" t="s">
        <v>1685</v>
      </c>
      <c r="C253" t="s">
        <v>1177</v>
      </c>
      <c r="D253" t="s">
        <v>1595</v>
      </c>
      <c r="E253" t="s">
        <v>1177</v>
      </c>
    </row>
    <row r="254" spans="1:5" x14ac:dyDescent="0.2">
      <c r="A254" t="s">
        <v>1686</v>
      </c>
      <c r="B254" t="s">
        <v>1687</v>
      </c>
      <c r="C254" t="s">
        <v>1177</v>
      </c>
      <c r="D254" t="s">
        <v>1595</v>
      </c>
      <c r="E254" t="s">
        <v>1177</v>
      </c>
    </row>
    <row r="255" spans="1:5" x14ac:dyDescent="0.2">
      <c r="A255" t="s">
        <v>1688</v>
      </c>
      <c r="B255" t="s">
        <v>1689</v>
      </c>
      <c r="C255" t="s">
        <v>1177</v>
      </c>
      <c r="D255" t="s">
        <v>1595</v>
      </c>
      <c r="E255" t="s">
        <v>1177</v>
      </c>
    </row>
    <row r="256" spans="1:5" x14ac:dyDescent="0.2">
      <c r="A256" t="s">
        <v>1690</v>
      </c>
      <c r="B256" t="s">
        <v>1691</v>
      </c>
      <c r="C256" t="s">
        <v>1177</v>
      </c>
      <c r="D256" t="s">
        <v>1595</v>
      </c>
      <c r="E256" t="s">
        <v>1177</v>
      </c>
    </row>
    <row r="257" spans="1:5" x14ac:dyDescent="0.2">
      <c r="A257" t="s">
        <v>1692</v>
      </c>
      <c r="B257" t="s">
        <v>1693</v>
      </c>
      <c r="C257" t="s">
        <v>1177</v>
      </c>
      <c r="D257" t="s">
        <v>1595</v>
      </c>
      <c r="E257" t="s">
        <v>1177</v>
      </c>
    </row>
    <row r="258" spans="1:5" x14ac:dyDescent="0.2">
      <c r="A258" t="s">
        <v>1694</v>
      </c>
      <c r="B258" t="s">
        <v>1695</v>
      </c>
      <c r="C258" t="s">
        <v>1177</v>
      </c>
      <c r="D258" t="s">
        <v>1595</v>
      </c>
      <c r="E258" t="s">
        <v>1177</v>
      </c>
    </row>
    <row r="259" spans="1:5" x14ac:dyDescent="0.2">
      <c r="A259" t="s">
        <v>1696</v>
      </c>
      <c r="B259" t="s">
        <v>1697</v>
      </c>
      <c r="C259" t="s">
        <v>1177</v>
      </c>
      <c r="D259" t="s">
        <v>1595</v>
      </c>
      <c r="E259" t="s">
        <v>1177</v>
      </c>
    </row>
    <row r="260" spans="1:5" x14ac:dyDescent="0.2">
      <c r="A260" t="s">
        <v>1698</v>
      </c>
      <c r="B260" t="s">
        <v>1699</v>
      </c>
      <c r="C260" t="s">
        <v>1177</v>
      </c>
      <c r="D260" t="s">
        <v>1595</v>
      </c>
      <c r="E260" t="s">
        <v>1177</v>
      </c>
    </row>
    <row r="261" spans="1:5" x14ac:dyDescent="0.2">
      <c r="A261" t="s">
        <v>1700</v>
      </c>
      <c r="B261" t="s">
        <v>1701</v>
      </c>
      <c r="C261" t="s">
        <v>1177</v>
      </c>
      <c r="D261" t="s">
        <v>1595</v>
      </c>
      <c r="E261" t="s">
        <v>1177</v>
      </c>
    </row>
    <row r="262" spans="1:5" x14ac:dyDescent="0.2">
      <c r="A262" t="s">
        <v>1702</v>
      </c>
      <c r="B262" t="s">
        <v>1703</v>
      </c>
      <c r="C262" t="s">
        <v>1177</v>
      </c>
      <c r="D262" t="s">
        <v>1595</v>
      </c>
      <c r="E262" t="s">
        <v>1177</v>
      </c>
    </row>
    <row r="263" spans="1:5" x14ac:dyDescent="0.2">
      <c r="A263" t="s">
        <v>1704</v>
      </c>
      <c r="B263" t="s">
        <v>1705</v>
      </c>
      <c r="C263" t="s">
        <v>1177</v>
      </c>
      <c r="D263" t="s">
        <v>1595</v>
      </c>
      <c r="E263" t="s">
        <v>1177</v>
      </c>
    </row>
    <row r="264" spans="1:5" x14ac:dyDescent="0.2">
      <c r="A264" t="s">
        <v>1706</v>
      </c>
      <c r="B264" t="s">
        <v>1707</v>
      </c>
      <c r="C264" t="s">
        <v>1177</v>
      </c>
      <c r="D264" t="s">
        <v>1595</v>
      </c>
      <c r="E264" t="s">
        <v>1177</v>
      </c>
    </row>
    <row r="265" spans="1:5" x14ac:dyDescent="0.2">
      <c r="A265" t="s">
        <v>1708</v>
      </c>
      <c r="B265" t="s">
        <v>1709</v>
      </c>
      <c r="C265" t="s">
        <v>1177</v>
      </c>
      <c r="D265" t="s">
        <v>1595</v>
      </c>
      <c r="E265" t="s">
        <v>1177</v>
      </c>
    </row>
    <row r="266" spans="1:5" x14ac:dyDescent="0.2">
      <c r="A266" t="s">
        <v>1710</v>
      </c>
      <c r="B266" t="s">
        <v>1711</v>
      </c>
      <c r="C266" t="s">
        <v>1177</v>
      </c>
      <c r="D266" t="s">
        <v>1595</v>
      </c>
      <c r="E266" t="s">
        <v>1177</v>
      </c>
    </row>
    <row r="267" spans="1:5" x14ac:dyDescent="0.2">
      <c r="A267" t="s">
        <v>1712</v>
      </c>
      <c r="B267" t="s">
        <v>1713</v>
      </c>
      <c r="C267" t="s">
        <v>1177</v>
      </c>
      <c r="D267" t="s">
        <v>1595</v>
      </c>
      <c r="E267" t="s">
        <v>1177</v>
      </c>
    </row>
    <row r="268" spans="1:5" x14ac:dyDescent="0.2">
      <c r="A268" t="s">
        <v>1714</v>
      </c>
      <c r="B268" t="s">
        <v>1715</v>
      </c>
      <c r="C268" t="s">
        <v>1177</v>
      </c>
      <c r="D268" t="s">
        <v>1595</v>
      </c>
      <c r="E268" t="s">
        <v>1177</v>
      </c>
    </row>
    <row r="269" spans="1:5" x14ac:dyDescent="0.2">
      <c r="A269" t="s">
        <v>1716</v>
      </c>
      <c r="B269" t="s">
        <v>1717</v>
      </c>
      <c r="C269" t="s">
        <v>1177</v>
      </c>
      <c r="D269" t="s">
        <v>1595</v>
      </c>
      <c r="E269" t="s">
        <v>1177</v>
      </c>
    </row>
    <row r="270" spans="1:5" x14ac:dyDescent="0.2">
      <c r="A270" t="s">
        <v>1718</v>
      </c>
      <c r="B270" t="s">
        <v>1719</v>
      </c>
      <c r="C270" t="s">
        <v>1177</v>
      </c>
      <c r="D270" t="s">
        <v>1595</v>
      </c>
      <c r="E270" t="s">
        <v>1177</v>
      </c>
    </row>
    <row r="271" spans="1:5" x14ac:dyDescent="0.2">
      <c r="A271" t="s">
        <v>1720</v>
      </c>
      <c r="B271" t="s">
        <v>1721</v>
      </c>
      <c r="C271" t="s">
        <v>1177</v>
      </c>
      <c r="D271" t="s">
        <v>1595</v>
      </c>
      <c r="E271" t="s">
        <v>1177</v>
      </c>
    </row>
    <row r="272" spans="1:5" x14ac:dyDescent="0.2">
      <c r="A272" t="s">
        <v>1722</v>
      </c>
      <c r="B272" t="s">
        <v>1723</v>
      </c>
      <c r="C272" t="s">
        <v>1177</v>
      </c>
      <c r="D272" t="s">
        <v>1595</v>
      </c>
      <c r="E272" t="s">
        <v>1177</v>
      </c>
    </row>
    <row r="273" spans="1:5" x14ac:dyDescent="0.2">
      <c r="A273" t="s">
        <v>1724</v>
      </c>
      <c r="B273" t="s">
        <v>1725</v>
      </c>
      <c r="C273" t="s">
        <v>1177</v>
      </c>
      <c r="D273" t="s">
        <v>1595</v>
      </c>
      <c r="E273" t="s">
        <v>1177</v>
      </c>
    </row>
    <row r="274" spans="1:5" x14ac:dyDescent="0.2">
      <c r="A274" t="s">
        <v>1726</v>
      </c>
      <c r="B274" t="s">
        <v>1727</v>
      </c>
      <c r="C274" t="s">
        <v>1177</v>
      </c>
      <c r="D274" t="s">
        <v>1595</v>
      </c>
      <c r="E274" t="s">
        <v>1177</v>
      </c>
    </row>
    <row r="275" spans="1:5" x14ac:dyDescent="0.2">
      <c r="A275" t="s">
        <v>1728</v>
      </c>
      <c r="B275" t="s">
        <v>1729</v>
      </c>
      <c r="C275" t="s">
        <v>1177</v>
      </c>
      <c r="D275" t="s">
        <v>1595</v>
      </c>
      <c r="E275" t="s">
        <v>1177</v>
      </c>
    </row>
    <row r="276" spans="1:5" x14ac:dyDescent="0.2">
      <c r="A276" t="s">
        <v>1730</v>
      </c>
      <c r="B276" t="s">
        <v>1731</v>
      </c>
      <c r="C276" t="s">
        <v>1177</v>
      </c>
      <c r="D276" t="s">
        <v>1595</v>
      </c>
      <c r="E276" t="s">
        <v>1177</v>
      </c>
    </row>
    <row r="277" spans="1:5" x14ac:dyDescent="0.2">
      <c r="A277" t="s">
        <v>1732</v>
      </c>
      <c r="B277" t="s">
        <v>1733</v>
      </c>
      <c r="C277" t="s">
        <v>1177</v>
      </c>
      <c r="D277" t="s">
        <v>1595</v>
      </c>
      <c r="E277" t="s">
        <v>1177</v>
      </c>
    </row>
    <row r="278" spans="1:5" x14ac:dyDescent="0.2">
      <c r="A278" t="s">
        <v>1734</v>
      </c>
      <c r="B278" t="s">
        <v>1735</v>
      </c>
      <c r="C278" t="s">
        <v>1177</v>
      </c>
      <c r="D278" t="s">
        <v>1595</v>
      </c>
      <c r="E278" t="s">
        <v>1177</v>
      </c>
    </row>
    <row r="279" spans="1:5" x14ac:dyDescent="0.2">
      <c r="A279" t="s">
        <v>1736</v>
      </c>
      <c r="B279" t="s">
        <v>1737</v>
      </c>
      <c r="C279" t="s">
        <v>1177</v>
      </c>
      <c r="D279" t="s">
        <v>1595</v>
      </c>
      <c r="E279" t="s">
        <v>1177</v>
      </c>
    </row>
    <row r="280" spans="1:5" x14ac:dyDescent="0.2">
      <c r="A280" t="s">
        <v>1738</v>
      </c>
      <c r="B280" t="s">
        <v>1739</v>
      </c>
      <c r="C280" t="s">
        <v>1177</v>
      </c>
      <c r="D280" t="s">
        <v>1595</v>
      </c>
      <c r="E280" t="s">
        <v>1177</v>
      </c>
    </row>
    <row r="281" spans="1:5" x14ac:dyDescent="0.2">
      <c r="A281" t="s">
        <v>1740</v>
      </c>
      <c r="B281" t="s">
        <v>1741</v>
      </c>
      <c r="C281" t="s">
        <v>1177</v>
      </c>
      <c r="D281" t="s">
        <v>1595</v>
      </c>
      <c r="E281" t="s">
        <v>1177</v>
      </c>
    </row>
    <row r="282" spans="1:5" x14ac:dyDescent="0.2">
      <c r="A282" t="s">
        <v>1742</v>
      </c>
      <c r="B282" t="s">
        <v>1743</v>
      </c>
      <c r="C282" t="s">
        <v>1177</v>
      </c>
      <c r="D282" t="s">
        <v>1595</v>
      </c>
      <c r="E282" t="s">
        <v>1177</v>
      </c>
    </row>
    <row r="283" spans="1:5" x14ac:dyDescent="0.2">
      <c r="A283" t="s">
        <v>1744</v>
      </c>
      <c r="B283" t="s">
        <v>1745</v>
      </c>
      <c r="C283" t="s">
        <v>1177</v>
      </c>
      <c r="D283" t="s">
        <v>1595</v>
      </c>
      <c r="E283" t="s">
        <v>1177</v>
      </c>
    </row>
    <row r="284" spans="1:5" x14ac:dyDescent="0.2">
      <c r="A284" t="s">
        <v>1746</v>
      </c>
      <c r="B284" t="s">
        <v>1747</v>
      </c>
      <c r="C284" t="s">
        <v>1177</v>
      </c>
      <c r="D284" t="s">
        <v>1595</v>
      </c>
      <c r="E284" t="s">
        <v>1177</v>
      </c>
    </row>
    <row r="285" spans="1:5" x14ac:dyDescent="0.2">
      <c r="A285" t="s">
        <v>1748</v>
      </c>
      <c r="B285" t="s">
        <v>1749</v>
      </c>
      <c r="C285" t="s">
        <v>1177</v>
      </c>
      <c r="D285" t="s">
        <v>1595</v>
      </c>
      <c r="E285" t="s">
        <v>1177</v>
      </c>
    </row>
    <row r="286" spans="1:5" x14ac:dyDescent="0.2">
      <c r="A286" t="s">
        <v>1750</v>
      </c>
      <c r="B286" t="s">
        <v>1751</v>
      </c>
      <c r="C286" t="s">
        <v>1177</v>
      </c>
      <c r="D286" t="s">
        <v>1595</v>
      </c>
      <c r="E286" t="s">
        <v>1177</v>
      </c>
    </row>
    <row r="287" spans="1:5" x14ac:dyDescent="0.2">
      <c r="A287" t="s">
        <v>1752</v>
      </c>
      <c r="B287" t="s">
        <v>1753</v>
      </c>
      <c r="C287" t="s">
        <v>1177</v>
      </c>
      <c r="D287" t="s">
        <v>1595</v>
      </c>
      <c r="E287" t="s">
        <v>1177</v>
      </c>
    </row>
    <row r="288" spans="1:5" x14ac:dyDescent="0.2">
      <c r="A288" t="s">
        <v>1754</v>
      </c>
      <c r="B288" t="s">
        <v>1755</v>
      </c>
      <c r="C288" t="s">
        <v>1177</v>
      </c>
      <c r="D288" t="s">
        <v>1595</v>
      </c>
      <c r="E288" t="s">
        <v>1177</v>
      </c>
    </row>
    <row r="289" spans="1:5" x14ac:dyDescent="0.2">
      <c r="A289" t="s">
        <v>1756</v>
      </c>
      <c r="B289" t="s">
        <v>1757</v>
      </c>
      <c r="C289" t="s">
        <v>1177</v>
      </c>
      <c r="D289" t="s">
        <v>1595</v>
      </c>
      <c r="E289" t="s">
        <v>1177</v>
      </c>
    </row>
    <row r="290" spans="1:5" x14ac:dyDescent="0.2">
      <c r="A290" t="s">
        <v>1758</v>
      </c>
      <c r="B290" t="s">
        <v>1759</v>
      </c>
      <c r="C290" t="s">
        <v>1177</v>
      </c>
      <c r="D290" t="s">
        <v>1595</v>
      </c>
      <c r="E290" t="s">
        <v>1177</v>
      </c>
    </row>
    <row r="291" spans="1:5" x14ac:dyDescent="0.2">
      <c r="A291" t="s">
        <v>1760</v>
      </c>
      <c r="B291" t="s">
        <v>1761</v>
      </c>
      <c r="C291" t="s">
        <v>1177</v>
      </c>
      <c r="D291" t="s">
        <v>1595</v>
      </c>
      <c r="E291" t="s">
        <v>1177</v>
      </c>
    </row>
    <row r="292" spans="1:5" x14ac:dyDescent="0.2">
      <c r="A292" t="s">
        <v>1762</v>
      </c>
      <c r="B292" t="s">
        <v>1763</v>
      </c>
      <c r="C292" t="s">
        <v>1177</v>
      </c>
      <c r="D292" t="s">
        <v>1595</v>
      </c>
      <c r="E292" t="s">
        <v>1177</v>
      </c>
    </row>
    <row r="293" spans="1:5" x14ac:dyDescent="0.2">
      <c r="A293" t="s">
        <v>1764</v>
      </c>
      <c r="B293" t="s">
        <v>1765</v>
      </c>
      <c r="C293" t="s">
        <v>1177</v>
      </c>
      <c r="D293" t="s">
        <v>1595</v>
      </c>
      <c r="E293" t="s">
        <v>1177</v>
      </c>
    </row>
    <row r="294" spans="1:5" x14ac:dyDescent="0.2">
      <c r="A294" t="s">
        <v>1766</v>
      </c>
      <c r="B294" t="s">
        <v>1767</v>
      </c>
      <c r="C294" t="s">
        <v>1177</v>
      </c>
      <c r="D294" t="s">
        <v>1595</v>
      </c>
      <c r="E294" t="s">
        <v>1177</v>
      </c>
    </row>
    <row r="295" spans="1:5" x14ac:dyDescent="0.2">
      <c r="A295" t="s">
        <v>1768</v>
      </c>
      <c r="B295" t="s">
        <v>1769</v>
      </c>
      <c r="C295" t="s">
        <v>1177</v>
      </c>
      <c r="D295" t="s">
        <v>1595</v>
      </c>
      <c r="E295" t="s">
        <v>1177</v>
      </c>
    </row>
    <row r="296" spans="1:5" x14ac:dyDescent="0.2">
      <c r="A296" t="s">
        <v>1770</v>
      </c>
      <c r="B296" t="s">
        <v>1771</v>
      </c>
      <c r="C296" t="s">
        <v>1177</v>
      </c>
      <c r="D296" t="s">
        <v>1595</v>
      </c>
      <c r="E296" t="s">
        <v>1177</v>
      </c>
    </row>
    <row r="297" spans="1:5" x14ac:dyDescent="0.2">
      <c r="A297" t="s">
        <v>1772</v>
      </c>
      <c r="B297" t="s">
        <v>1773</v>
      </c>
      <c r="C297" t="s">
        <v>1177</v>
      </c>
      <c r="D297" t="s">
        <v>1595</v>
      </c>
      <c r="E297" t="s">
        <v>1177</v>
      </c>
    </row>
    <row r="298" spans="1:5" x14ac:dyDescent="0.2">
      <c r="A298" t="s">
        <v>1774</v>
      </c>
      <c r="B298" t="s">
        <v>1775</v>
      </c>
      <c r="C298" t="s">
        <v>1177</v>
      </c>
      <c r="D298" t="s">
        <v>1595</v>
      </c>
      <c r="E298" t="s">
        <v>1177</v>
      </c>
    </row>
    <row r="299" spans="1:5" x14ac:dyDescent="0.2">
      <c r="A299" t="s">
        <v>1776</v>
      </c>
      <c r="B299" t="s">
        <v>1777</v>
      </c>
      <c r="C299" t="s">
        <v>1177</v>
      </c>
      <c r="D299" t="s">
        <v>1595</v>
      </c>
      <c r="E299" t="s">
        <v>1177</v>
      </c>
    </row>
    <row r="300" spans="1:5" x14ac:dyDescent="0.2">
      <c r="A300" t="s">
        <v>1778</v>
      </c>
      <c r="B300" t="s">
        <v>1779</v>
      </c>
      <c r="C300" t="s">
        <v>1177</v>
      </c>
      <c r="D300" t="s">
        <v>1595</v>
      </c>
      <c r="E300" t="s">
        <v>1177</v>
      </c>
    </row>
    <row r="301" spans="1:5" x14ac:dyDescent="0.2">
      <c r="A301" t="s">
        <v>1780</v>
      </c>
      <c r="B301" t="s">
        <v>1781</v>
      </c>
      <c r="C301" t="s">
        <v>1177</v>
      </c>
      <c r="D301" t="s">
        <v>1595</v>
      </c>
      <c r="E301" t="s">
        <v>1177</v>
      </c>
    </row>
    <row r="302" spans="1:5" x14ac:dyDescent="0.2">
      <c r="A302" t="s">
        <v>1782</v>
      </c>
      <c r="B302" t="s">
        <v>1783</v>
      </c>
      <c r="C302" t="s">
        <v>1177</v>
      </c>
      <c r="D302" t="s">
        <v>1595</v>
      </c>
      <c r="E302" t="s">
        <v>1177</v>
      </c>
    </row>
    <row r="303" spans="1:5" x14ac:dyDescent="0.2">
      <c r="A303" t="s">
        <v>1784</v>
      </c>
      <c r="B303" t="s">
        <v>1785</v>
      </c>
      <c r="C303" t="s">
        <v>1177</v>
      </c>
      <c r="D303" t="s">
        <v>1595</v>
      </c>
      <c r="E303" t="s">
        <v>1177</v>
      </c>
    </row>
    <row r="304" spans="1:5" x14ac:dyDescent="0.2">
      <c r="A304" t="s">
        <v>1786</v>
      </c>
      <c r="B304" t="s">
        <v>1787</v>
      </c>
      <c r="C304" t="s">
        <v>1177</v>
      </c>
      <c r="D304" t="s">
        <v>1595</v>
      </c>
      <c r="E304" t="s">
        <v>1177</v>
      </c>
    </row>
    <row r="305" spans="1:5" x14ac:dyDescent="0.2">
      <c r="A305" t="s">
        <v>1788</v>
      </c>
      <c r="B305" t="s">
        <v>1789</v>
      </c>
      <c r="C305" t="s">
        <v>1177</v>
      </c>
      <c r="D305" t="s">
        <v>1595</v>
      </c>
      <c r="E305" t="s">
        <v>1177</v>
      </c>
    </row>
    <row r="306" spans="1:5" x14ac:dyDescent="0.2">
      <c r="A306" t="s">
        <v>1790</v>
      </c>
      <c r="B306" t="s">
        <v>1791</v>
      </c>
      <c r="C306" t="s">
        <v>1177</v>
      </c>
      <c r="D306" t="s">
        <v>1595</v>
      </c>
      <c r="E306" t="s">
        <v>1177</v>
      </c>
    </row>
    <row r="307" spans="1:5" x14ac:dyDescent="0.2">
      <c r="A307" t="s">
        <v>1792</v>
      </c>
      <c r="B307" t="s">
        <v>1793</v>
      </c>
      <c r="C307" t="s">
        <v>1177</v>
      </c>
      <c r="D307" t="s">
        <v>1595</v>
      </c>
      <c r="E307" t="s">
        <v>1177</v>
      </c>
    </row>
    <row r="308" spans="1:5" x14ac:dyDescent="0.2">
      <c r="A308" t="s">
        <v>1794</v>
      </c>
      <c r="B308" t="s">
        <v>1795</v>
      </c>
      <c r="C308" t="s">
        <v>1177</v>
      </c>
      <c r="D308" t="s">
        <v>1595</v>
      </c>
      <c r="E308" t="s">
        <v>1177</v>
      </c>
    </row>
    <row r="309" spans="1:5" x14ac:dyDescent="0.2">
      <c r="A309" t="s">
        <v>1796</v>
      </c>
      <c r="B309" t="s">
        <v>1797</v>
      </c>
      <c r="C309" t="s">
        <v>1177</v>
      </c>
      <c r="D309" t="s">
        <v>1595</v>
      </c>
      <c r="E309" t="s">
        <v>1177</v>
      </c>
    </row>
    <row r="310" spans="1:5" x14ac:dyDescent="0.2">
      <c r="A310" t="s">
        <v>1798</v>
      </c>
      <c r="B310" t="s">
        <v>1799</v>
      </c>
      <c r="C310" t="s">
        <v>1177</v>
      </c>
      <c r="D310" t="s">
        <v>1595</v>
      </c>
      <c r="E310" t="s">
        <v>1177</v>
      </c>
    </row>
    <row r="311" spans="1:5" x14ac:dyDescent="0.2">
      <c r="A311" t="s">
        <v>1800</v>
      </c>
      <c r="B311" t="s">
        <v>1801</v>
      </c>
      <c r="C311" t="s">
        <v>1177</v>
      </c>
      <c r="D311" t="s">
        <v>1595</v>
      </c>
      <c r="E311" t="s">
        <v>1177</v>
      </c>
    </row>
    <row r="312" spans="1:5" x14ac:dyDescent="0.2">
      <c r="A312" t="s">
        <v>1802</v>
      </c>
      <c r="B312" t="s">
        <v>1803</v>
      </c>
      <c r="C312" t="s">
        <v>1177</v>
      </c>
      <c r="D312" t="s">
        <v>1595</v>
      </c>
      <c r="E312" t="s">
        <v>1177</v>
      </c>
    </row>
    <row r="313" spans="1:5" x14ac:dyDescent="0.2">
      <c r="A313" t="s">
        <v>1804</v>
      </c>
      <c r="B313" t="s">
        <v>1805</v>
      </c>
      <c r="C313" t="s">
        <v>1177</v>
      </c>
      <c r="D313" t="s">
        <v>1595</v>
      </c>
      <c r="E313" t="s">
        <v>1177</v>
      </c>
    </row>
    <row r="314" spans="1:5" x14ac:dyDescent="0.2">
      <c r="A314" t="s">
        <v>1806</v>
      </c>
      <c r="B314" t="s">
        <v>1807</v>
      </c>
      <c r="C314" t="s">
        <v>1177</v>
      </c>
      <c r="D314" t="s">
        <v>1595</v>
      </c>
      <c r="E314" t="s">
        <v>1177</v>
      </c>
    </row>
    <row r="315" spans="1:5" x14ac:dyDescent="0.2">
      <c r="A315" t="s">
        <v>1808</v>
      </c>
      <c r="B315" t="s">
        <v>1809</v>
      </c>
      <c r="C315" t="s">
        <v>1177</v>
      </c>
      <c r="D315" t="s">
        <v>1595</v>
      </c>
      <c r="E315" t="s">
        <v>1177</v>
      </c>
    </row>
    <row r="316" spans="1:5" x14ac:dyDescent="0.2">
      <c r="A316" t="s">
        <v>1810</v>
      </c>
      <c r="B316" t="s">
        <v>1811</v>
      </c>
      <c r="C316" t="s">
        <v>1177</v>
      </c>
      <c r="D316" t="s">
        <v>1595</v>
      </c>
      <c r="E316" t="s">
        <v>1177</v>
      </c>
    </row>
    <row r="317" spans="1:5" x14ac:dyDescent="0.2">
      <c r="A317" t="s">
        <v>1812</v>
      </c>
      <c r="B317" t="s">
        <v>1813</v>
      </c>
      <c r="C317" t="s">
        <v>1177</v>
      </c>
      <c r="D317" t="s">
        <v>1595</v>
      </c>
      <c r="E317" t="s">
        <v>1177</v>
      </c>
    </row>
    <row r="318" spans="1:5" x14ac:dyDescent="0.2">
      <c r="A318" t="s">
        <v>1814</v>
      </c>
      <c r="B318" t="s">
        <v>1815</v>
      </c>
      <c r="C318" t="s">
        <v>1177</v>
      </c>
      <c r="D318" t="s">
        <v>1595</v>
      </c>
      <c r="E318" t="s">
        <v>1177</v>
      </c>
    </row>
    <row r="319" spans="1:5" x14ac:dyDescent="0.2">
      <c r="A319" t="s">
        <v>1816</v>
      </c>
      <c r="B319" t="s">
        <v>1817</v>
      </c>
      <c r="C319" t="s">
        <v>1177</v>
      </c>
      <c r="D319" t="s">
        <v>1595</v>
      </c>
      <c r="E319" t="s">
        <v>1177</v>
      </c>
    </row>
    <row r="320" spans="1:5" x14ac:dyDescent="0.2">
      <c r="A320" t="s">
        <v>1818</v>
      </c>
      <c r="B320" t="s">
        <v>1819</v>
      </c>
      <c r="C320" t="s">
        <v>1177</v>
      </c>
      <c r="D320" t="s">
        <v>1595</v>
      </c>
      <c r="E320" t="s">
        <v>1177</v>
      </c>
    </row>
    <row r="321" spans="1:5" x14ac:dyDescent="0.2">
      <c r="A321" t="s">
        <v>1820</v>
      </c>
      <c r="B321" t="s">
        <v>1821</v>
      </c>
      <c r="C321" t="s">
        <v>1177</v>
      </c>
      <c r="D321" t="s">
        <v>1595</v>
      </c>
      <c r="E321" t="s">
        <v>1177</v>
      </c>
    </row>
    <row r="322" spans="1:5" x14ac:dyDescent="0.2">
      <c r="A322" t="s">
        <v>1822</v>
      </c>
      <c r="B322" t="s">
        <v>1823</v>
      </c>
      <c r="C322" t="s">
        <v>1177</v>
      </c>
      <c r="D322" t="s">
        <v>1595</v>
      </c>
      <c r="E322" t="s">
        <v>1177</v>
      </c>
    </row>
    <row r="323" spans="1:5" x14ac:dyDescent="0.2">
      <c r="A323" t="s">
        <v>1824</v>
      </c>
      <c r="B323" t="s">
        <v>1825</v>
      </c>
      <c r="C323" t="s">
        <v>1177</v>
      </c>
      <c r="D323" t="s">
        <v>1595</v>
      </c>
      <c r="E323" t="s">
        <v>1177</v>
      </c>
    </row>
    <row r="324" spans="1:5" x14ac:dyDescent="0.2">
      <c r="A324" t="s">
        <v>1826</v>
      </c>
      <c r="B324" t="s">
        <v>1827</v>
      </c>
      <c r="C324" t="s">
        <v>1177</v>
      </c>
      <c r="D324" t="s">
        <v>1595</v>
      </c>
      <c r="E324" t="s">
        <v>1177</v>
      </c>
    </row>
    <row r="325" spans="1:5" x14ac:dyDescent="0.2">
      <c r="A325" t="s">
        <v>1828</v>
      </c>
      <c r="B325" t="s">
        <v>1829</v>
      </c>
      <c r="C325" t="s">
        <v>1177</v>
      </c>
      <c r="D325" t="s">
        <v>1595</v>
      </c>
      <c r="E325" t="s">
        <v>1177</v>
      </c>
    </row>
    <row r="326" spans="1:5" x14ac:dyDescent="0.2">
      <c r="A326" t="s">
        <v>1830</v>
      </c>
      <c r="B326" t="s">
        <v>1831</v>
      </c>
      <c r="C326" t="s">
        <v>1177</v>
      </c>
      <c r="D326" t="s">
        <v>1595</v>
      </c>
      <c r="E326" t="s">
        <v>1177</v>
      </c>
    </row>
    <row r="327" spans="1:5" x14ac:dyDescent="0.2">
      <c r="A327" t="s">
        <v>1832</v>
      </c>
      <c r="B327" t="s">
        <v>1833</v>
      </c>
      <c r="C327" t="s">
        <v>1177</v>
      </c>
      <c r="D327" t="s">
        <v>1595</v>
      </c>
      <c r="E327" t="s">
        <v>1177</v>
      </c>
    </row>
    <row r="328" spans="1:5" x14ac:dyDescent="0.2">
      <c r="A328" t="s">
        <v>1834</v>
      </c>
      <c r="B328" t="s">
        <v>1835</v>
      </c>
      <c r="C328" t="s">
        <v>1177</v>
      </c>
      <c r="D328" t="s">
        <v>1595</v>
      </c>
      <c r="E328" t="s">
        <v>1177</v>
      </c>
    </row>
    <row r="329" spans="1:5" x14ac:dyDescent="0.2">
      <c r="A329" t="s">
        <v>1836</v>
      </c>
      <c r="B329" t="s">
        <v>1837</v>
      </c>
      <c r="C329" t="s">
        <v>1177</v>
      </c>
      <c r="D329" t="s">
        <v>1595</v>
      </c>
      <c r="E329" t="s">
        <v>1177</v>
      </c>
    </row>
    <row r="330" spans="1:5" x14ac:dyDescent="0.2">
      <c r="A330" t="s">
        <v>1838</v>
      </c>
      <c r="B330" t="s">
        <v>1839</v>
      </c>
      <c r="C330" t="s">
        <v>1177</v>
      </c>
      <c r="D330" t="s">
        <v>1595</v>
      </c>
      <c r="E330" t="s">
        <v>1177</v>
      </c>
    </row>
    <row r="331" spans="1:5" x14ac:dyDescent="0.2">
      <c r="A331" t="s">
        <v>1840</v>
      </c>
      <c r="B331" t="s">
        <v>1841</v>
      </c>
      <c r="C331" t="s">
        <v>1177</v>
      </c>
      <c r="D331" t="s">
        <v>1595</v>
      </c>
      <c r="E331" t="s">
        <v>1177</v>
      </c>
    </row>
    <row r="332" spans="1:5" x14ac:dyDescent="0.2">
      <c r="A332" t="s">
        <v>1842</v>
      </c>
      <c r="B332" t="s">
        <v>1843</v>
      </c>
      <c r="C332" t="s">
        <v>1177</v>
      </c>
      <c r="D332" t="s">
        <v>1595</v>
      </c>
      <c r="E332" t="s">
        <v>1177</v>
      </c>
    </row>
    <row r="333" spans="1:5" x14ac:dyDescent="0.2">
      <c r="A333" t="s">
        <v>1844</v>
      </c>
      <c r="B333" t="s">
        <v>1845</v>
      </c>
      <c r="C333" t="s">
        <v>1177</v>
      </c>
      <c r="D333" t="s">
        <v>1595</v>
      </c>
      <c r="E333" t="s">
        <v>1177</v>
      </c>
    </row>
    <row r="334" spans="1:5" x14ac:dyDescent="0.2">
      <c r="A334" t="s">
        <v>1846</v>
      </c>
      <c r="B334" t="s">
        <v>1847</v>
      </c>
      <c r="C334" t="s">
        <v>1177</v>
      </c>
      <c r="D334" t="s">
        <v>1595</v>
      </c>
      <c r="E334" t="s">
        <v>1177</v>
      </c>
    </row>
    <row r="335" spans="1:5" x14ac:dyDescent="0.2">
      <c r="A335" t="s">
        <v>1848</v>
      </c>
      <c r="B335" t="s">
        <v>1849</v>
      </c>
      <c r="C335" t="s">
        <v>1177</v>
      </c>
      <c r="D335" t="s">
        <v>1595</v>
      </c>
      <c r="E335" t="s">
        <v>1177</v>
      </c>
    </row>
    <row r="336" spans="1:5" x14ac:dyDescent="0.2">
      <c r="A336" t="s">
        <v>1850</v>
      </c>
      <c r="B336" t="s">
        <v>1851</v>
      </c>
      <c r="C336" t="s">
        <v>1177</v>
      </c>
      <c r="D336" t="s">
        <v>1595</v>
      </c>
      <c r="E336" t="s">
        <v>1177</v>
      </c>
    </row>
    <row r="337" spans="1:5" x14ac:dyDescent="0.2">
      <c r="A337" t="s">
        <v>1852</v>
      </c>
      <c r="B337" t="s">
        <v>1853</v>
      </c>
      <c r="C337" t="s">
        <v>1177</v>
      </c>
      <c r="D337" t="s">
        <v>1595</v>
      </c>
      <c r="E337" t="s">
        <v>1177</v>
      </c>
    </row>
    <row r="338" spans="1:5" x14ac:dyDescent="0.2">
      <c r="A338" t="s">
        <v>1854</v>
      </c>
      <c r="B338" t="s">
        <v>1855</v>
      </c>
      <c r="C338" t="s">
        <v>1177</v>
      </c>
      <c r="D338" t="s">
        <v>1595</v>
      </c>
      <c r="E338" t="s">
        <v>1177</v>
      </c>
    </row>
    <row r="339" spans="1:5" x14ac:dyDescent="0.2">
      <c r="A339" t="s">
        <v>1856</v>
      </c>
      <c r="B339" t="s">
        <v>1857</v>
      </c>
      <c r="C339" t="s">
        <v>1177</v>
      </c>
      <c r="D339" t="s">
        <v>1595</v>
      </c>
      <c r="E339" t="s">
        <v>1177</v>
      </c>
    </row>
    <row r="340" spans="1:5" x14ac:dyDescent="0.2">
      <c r="A340" t="s">
        <v>1858</v>
      </c>
      <c r="B340" t="s">
        <v>1859</v>
      </c>
      <c r="C340" t="s">
        <v>1177</v>
      </c>
      <c r="D340" t="s">
        <v>1595</v>
      </c>
      <c r="E340" t="s">
        <v>1177</v>
      </c>
    </row>
    <row r="341" spans="1:5" x14ac:dyDescent="0.2">
      <c r="A341" t="s">
        <v>1860</v>
      </c>
      <c r="B341" t="s">
        <v>1861</v>
      </c>
      <c r="C341" t="s">
        <v>1177</v>
      </c>
      <c r="D341" t="s">
        <v>1595</v>
      </c>
      <c r="E341" t="s">
        <v>1177</v>
      </c>
    </row>
    <row r="342" spans="1:5" x14ac:dyDescent="0.2">
      <c r="A342" t="s">
        <v>1862</v>
      </c>
      <c r="B342" t="s">
        <v>1863</v>
      </c>
      <c r="C342" t="s">
        <v>1177</v>
      </c>
      <c r="D342" t="s">
        <v>1595</v>
      </c>
      <c r="E342" t="s">
        <v>1177</v>
      </c>
    </row>
    <row r="343" spans="1:5" x14ac:dyDescent="0.2">
      <c r="A343" t="s">
        <v>1864</v>
      </c>
      <c r="B343" t="s">
        <v>1865</v>
      </c>
      <c r="C343" t="s">
        <v>1177</v>
      </c>
      <c r="D343" t="s">
        <v>1595</v>
      </c>
      <c r="E343" t="s">
        <v>1177</v>
      </c>
    </row>
    <row r="344" spans="1:5" x14ac:dyDescent="0.2">
      <c r="A344" t="s">
        <v>1866</v>
      </c>
      <c r="B344" t="s">
        <v>1867</v>
      </c>
      <c r="C344" t="s">
        <v>1177</v>
      </c>
      <c r="D344" t="s">
        <v>1595</v>
      </c>
      <c r="E344" t="s">
        <v>1177</v>
      </c>
    </row>
    <row r="345" spans="1:5" x14ac:dyDescent="0.2">
      <c r="A345" t="s">
        <v>1868</v>
      </c>
      <c r="B345" t="s">
        <v>1869</v>
      </c>
      <c r="C345" t="s">
        <v>1177</v>
      </c>
      <c r="D345" t="s">
        <v>1595</v>
      </c>
      <c r="E345" t="s">
        <v>1177</v>
      </c>
    </row>
    <row r="346" spans="1:5" x14ac:dyDescent="0.2">
      <c r="A346" t="s">
        <v>1870</v>
      </c>
      <c r="B346" t="s">
        <v>1871</v>
      </c>
      <c r="C346" t="s">
        <v>1177</v>
      </c>
      <c r="D346" t="s">
        <v>1595</v>
      </c>
      <c r="E346" t="s">
        <v>1177</v>
      </c>
    </row>
    <row r="347" spans="1:5" x14ac:dyDescent="0.2">
      <c r="A347" t="s">
        <v>1872</v>
      </c>
      <c r="B347" t="s">
        <v>1873</v>
      </c>
      <c r="C347" t="s">
        <v>1177</v>
      </c>
      <c r="D347" t="s">
        <v>1595</v>
      </c>
      <c r="E347" t="s">
        <v>1177</v>
      </c>
    </row>
    <row r="348" spans="1:5" x14ac:dyDescent="0.2">
      <c r="A348" t="s">
        <v>1874</v>
      </c>
      <c r="B348" t="s">
        <v>1875</v>
      </c>
      <c r="C348" t="s">
        <v>1177</v>
      </c>
      <c r="D348" t="s">
        <v>1595</v>
      </c>
      <c r="E348" t="s">
        <v>1177</v>
      </c>
    </row>
    <row r="349" spans="1:5" x14ac:dyDescent="0.2">
      <c r="A349" t="s">
        <v>1876</v>
      </c>
      <c r="B349" t="s">
        <v>1877</v>
      </c>
      <c r="C349" t="s">
        <v>1177</v>
      </c>
      <c r="D349" t="s">
        <v>1595</v>
      </c>
      <c r="E349" t="s">
        <v>1177</v>
      </c>
    </row>
    <row r="350" spans="1:5" x14ac:dyDescent="0.2">
      <c r="A350" t="s">
        <v>1878</v>
      </c>
      <c r="B350" t="s">
        <v>1879</v>
      </c>
      <c r="C350" t="s">
        <v>1177</v>
      </c>
      <c r="D350" t="s">
        <v>1595</v>
      </c>
      <c r="E350" t="s">
        <v>1177</v>
      </c>
    </row>
    <row r="351" spans="1:5" x14ac:dyDescent="0.2">
      <c r="A351" t="s">
        <v>1880</v>
      </c>
      <c r="B351" t="s">
        <v>1881</v>
      </c>
      <c r="C351" t="s">
        <v>1177</v>
      </c>
      <c r="D351" t="s">
        <v>1595</v>
      </c>
      <c r="E351" t="s">
        <v>1177</v>
      </c>
    </row>
    <row r="352" spans="1:5" x14ac:dyDescent="0.2">
      <c r="A352" t="s">
        <v>1882</v>
      </c>
      <c r="B352" t="s">
        <v>1883</v>
      </c>
      <c r="C352" t="s">
        <v>1177</v>
      </c>
      <c r="D352" t="s">
        <v>1595</v>
      </c>
      <c r="E352" t="s">
        <v>1177</v>
      </c>
    </row>
    <row r="353" spans="1:5" x14ac:dyDescent="0.2">
      <c r="A353" t="s">
        <v>1884</v>
      </c>
      <c r="B353" t="s">
        <v>1885</v>
      </c>
      <c r="C353" t="s">
        <v>1177</v>
      </c>
      <c r="D353" t="s">
        <v>1595</v>
      </c>
      <c r="E353" t="s">
        <v>1177</v>
      </c>
    </row>
    <row r="354" spans="1:5" x14ac:dyDescent="0.2">
      <c r="A354" t="s">
        <v>1886</v>
      </c>
      <c r="B354" t="s">
        <v>1887</v>
      </c>
      <c r="C354" t="s">
        <v>1177</v>
      </c>
      <c r="D354" t="s">
        <v>1595</v>
      </c>
      <c r="E354" t="s">
        <v>1177</v>
      </c>
    </row>
    <row r="355" spans="1:5" x14ac:dyDescent="0.2">
      <c r="A355" t="s">
        <v>1888</v>
      </c>
      <c r="B355" t="s">
        <v>1889</v>
      </c>
      <c r="C355" t="s">
        <v>1177</v>
      </c>
      <c r="D355" t="s">
        <v>1595</v>
      </c>
      <c r="E355" t="s">
        <v>1177</v>
      </c>
    </row>
    <row r="356" spans="1:5" x14ac:dyDescent="0.2">
      <c r="A356" t="s">
        <v>1890</v>
      </c>
      <c r="B356" t="s">
        <v>1891</v>
      </c>
      <c r="C356" t="s">
        <v>1177</v>
      </c>
      <c r="D356" t="s">
        <v>1595</v>
      </c>
      <c r="E356" t="s">
        <v>1177</v>
      </c>
    </row>
    <row r="357" spans="1:5" x14ac:dyDescent="0.2">
      <c r="A357" t="s">
        <v>1892</v>
      </c>
      <c r="B357" t="s">
        <v>1893</v>
      </c>
      <c r="C357" t="s">
        <v>1177</v>
      </c>
      <c r="D357" t="s">
        <v>1595</v>
      </c>
      <c r="E357" t="s">
        <v>1177</v>
      </c>
    </row>
    <row r="358" spans="1:5" x14ac:dyDescent="0.2">
      <c r="A358" t="s">
        <v>1894</v>
      </c>
      <c r="B358" t="s">
        <v>1895</v>
      </c>
      <c r="C358" t="s">
        <v>1177</v>
      </c>
      <c r="D358" t="s">
        <v>1595</v>
      </c>
      <c r="E358" t="s">
        <v>1177</v>
      </c>
    </row>
    <row r="359" spans="1:5" x14ac:dyDescent="0.2">
      <c r="A359" t="s">
        <v>1896</v>
      </c>
      <c r="B359" t="s">
        <v>1897</v>
      </c>
      <c r="C359" t="s">
        <v>1177</v>
      </c>
      <c r="D359" t="s">
        <v>1595</v>
      </c>
      <c r="E359" t="s">
        <v>1177</v>
      </c>
    </row>
    <row r="360" spans="1:5" x14ac:dyDescent="0.2">
      <c r="A360" t="s">
        <v>1898</v>
      </c>
      <c r="B360" t="s">
        <v>1899</v>
      </c>
      <c r="C360" t="s">
        <v>1177</v>
      </c>
      <c r="D360" t="s">
        <v>1595</v>
      </c>
      <c r="E360" t="s">
        <v>1177</v>
      </c>
    </row>
    <row r="361" spans="1:5" x14ac:dyDescent="0.2">
      <c r="A361" t="s">
        <v>1900</v>
      </c>
      <c r="B361" t="s">
        <v>1901</v>
      </c>
      <c r="C361" t="s">
        <v>1177</v>
      </c>
      <c r="D361" t="s">
        <v>1595</v>
      </c>
      <c r="E361" t="s">
        <v>1177</v>
      </c>
    </row>
    <row r="362" spans="1:5" x14ac:dyDescent="0.2">
      <c r="A362" t="s">
        <v>1902</v>
      </c>
      <c r="B362" t="s">
        <v>1903</v>
      </c>
      <c r="C362" t="s">
        <v>1177</v>
      </c>
      <c r="D362" t="s">
        <v>1595</v>
      </c>
      <c r="E362" t="s">
        <v>1177</v>
      </c>
    </row>
    <row r="363" spans="1:5" x14ac:dyDescent="0.2">
      <c r="A363" t="s">
        <v>1904</v>
      </c>
      <c r="B363" t="s">
        <v>1905</v>
      </c>
      <c r="C363" t="s">
        <v>1177</v>
      </c>
      <c r="D363" t="s">
        <v>1595</v>
      </c>
      <c r="E363" t="s">
        <v>1177</v>
      </c>
    </row>
    <row r="364" spans="1:5" x14ac:dyDescent="0.2">
      <c r="A364" t="s">
        <v>1906</v>
      </c>
      <c r="B364" t="s">
        <v>1907</v>
      </c>
      <c r="C364" t="s">
        <v>1177</v>
      </c>
      <c r="D364" t="s">
        <v>1595</v>
      </c>
      <c r="E364" t="s">
        <v>1177</v>
      </c>
    </row>
    <row r="365" spans="1:5" x14ac:dyDescent="0.2">
      <c r="A365" t="s">
        <v>1908</v>
      </c>
      <c r="B365" t="s">
        <v>1909</v>
      </c>
      <c r="C365" t="s">
        <v>1177</v>
      </c>
      <c r="D365" t="s">
        <v>1595</v>
      </c>
      <c r="E365" t="s">
        <v>1177</v>
      </c>
    </row>
    <row r="366" spans="1:5" x14ac:dyDescent="0.2">
      <c r="A366" t="s">
        <v>1910</v>
      </c>
      <c r="B366" t="s">
        <v>1911</v>
      </c>
      <c r="C366" t="s">
        <v>1177</v>
      </c>
      <c r="D366" t="s">
        <v>1595</v>
      </c>
      <c r="E366" t="s">
        <v>1177</v>
      </c>
    </row>
    <row r="367" spans="1:5" x14ac:dyDescent="0.2">
      <c r="A367" t="s">
        <v>1912</v>
      </c>
      <c r="B367" t="s">
        <v>1913</v>
      </c>
      <c r="C367" t="s">
        <v>1177</v>
      </c>
      <c r="D367" t="s">
        <v>1595</v>
      </c>
      <c r="E367" t="s">
        <v>1177</v>
      </c>
    </row>
    <row r="368" spans="1:5" x14ac:dyDescent="0.2">
      <c r="A368" t="s">
        <v>1914</v>
      </c>
      <c r="B368" t="s">
        <v>1915</v>
      </c>
      <c r="C368" t="s">
        <v>1177</v>
      </c>
      <c r="D368" t="s">
        <v>1595</v>
      </c>
      <c r="E368" t="s">
        <v>1177</v>
      </c>
    </row>
    <row r="369" spans="1:5" x14ac:dyDescent="0.2">
      <c r="A369" t="s">
        <v>1916</v>
      </c>
      <c r="B369" t="s">
        <v>1917</v>
      </c>
      <c r="C369" t="s">
        <v>1177</v>
      </c>
      <c r="D369" t="s">
        <v>1595</v>
      </c>
      <c r="E369" t="s">
        <v>1177</v>
      </c>
    </row>
    <row r="370" spans="1:5" x14ac:dyDescent="0.2">
      <c r="A370" t="s">
        <v>1918</v>
      </c>
      <c r="B370" t="s">
        <v>1919</v>
      </c>
      <c r="C370" t="s">
        <v>1177</v>
      </c>
      <c r="D370" t="s">
        <v>1595</v>
      </c>
      <c r="E370" t="s">
        <v>1177</v>
      </c>
    </row>
    <row r="371" spans="1:5" x14ac:dyDescent="0.2">
      <c r="A371" t="s">
        <v>1920</v>
      </c>
      <c r="B371" t="s">
        <v>1921</v>
      </c>
      <c r="C371" t="s">
        <v>1177</v>
      </c>
      <c r="D371" t="s">
        <v>1595</v>
      </c>
      <c r="E371" t="s">
        <v>1177</v>
      </c>
    </row>
    <row r="372" spans="1:5" x14ac:dyDescent="0.2">
      <c r="A372" t="s">
        <v>1922</v>
      </c>
      <c r="B372" t="s">
        <v>1923</v>
      </c>
      <c r="C372" t="s">
        <v>1177</v>
      </c>
      <c r="D372" t="s">
        <v>1595</v>
      </c>
      <c r="E372" t="s">
        <v>1177</v>
      </c>
    </row>
    <row r="373" spans="1:5" x14ac:dyDescent="0.2">
      <c r="A373" t="s">
        <v>1924</v>
      </c>
      <c r="B373" t="s">
        <v>1925</v>
      </c>
      <c r="C373" t="s">
        <v>1177</v>
      </c>
      <c r="D373" t="s">
        <v>1595</v>
      </c>
      <c r="E373" t="s">
        <v>1177</v>
      </c>
    </row>
    <row r="374" spans="1:5" x14ac:dyDescent="0.2">
      <c r="A374" t="s">
        <v>1926</v>
      </c>
      <c r="B374" t="s">
        <v>1927</v>
      </c>
      <c r="C374" t="s">
        <v>1177</v>
      </c>
      <c r="D374" t="s">
        <v>1595</v>
      </c>
      <c r="E374" t="s">
        <v>1177</v>
      </c>
    </row>
    <row r="375" spans="1:5" x14ac:dyDescent="0.2">
      <c r="A375" t="s">
        <v>1928</v>
      </c>
      <c r="B375" t="s">
        <v>1929</v>
      </c>
      <c r="C375" t="s">
        <v>1177</v>
      </c>
      <c r="D375" t="s">
        <v>1595</v>
      </c>
      <c r="E375" t="s">
        <v>1177</v>
      </c>
    </row>
    <row r="376" spans="1:5" x14ac:dyDescent="0.2">
      <c r="A376" t="s">
        <v>1930</v>
      </c>
      <c r="B376" t="s">
        <v>1931</v>
      </c>
      <c r="C376" t="s">
        <v>1177</v>
      </c>
      <c r="D376" t="s">
        <v>1595</v>
      </c>
      <c r="E376" t="s">
        <v>1177</v>
      </c>
    </row>
    <row r="377" spans="1:5" x14ac:dyDescent="0.2">
      <c r="A377" t="s">
        <v>1932</v>
      </c>
      <c r="B377" t="s">
        <v>1933</v>
      </c>
      <c r="C377" t="s">
        <v>1177</v>
      </c>
      <c r="D377" t="s">
        <v>1595</v>
      </c>
      <c r="E377" t="s">
        <v>1177</v>
      </c>
    </row>
    <row r="378" spans="1:5" x14ac:dyDescent="0.2">
      <c r="A378" t="s">
        <v>1934</v>
      </c>
      <c r="B378" t="s">
        <v>1935</v>
      </c>
      <c r="C378" t="s">
        <v>1177</v>
      </c>
      <c r="D378" t="s">
        <v>1595</v>
      </c>
      <c r="E378" t="s">
        <v>1177</v>
      </c>
    </row>
    <row r="379" spans="1:5" x14ac:dyDescent="0.2">
      <c r="A379" t="s">
        <v>1936</v>
      </c>
      <c r="B379" t="s">
        <v>1937</v>
      </c>
      <c r="C379" t="s">
        <v>1177</v>
      </c>
      <c r="D379" t="s">
        <v>1595</v>
      </c>
      <c r="E379" t="s">
        <v>1177</v>
      </c>
    </row>
    <row r="380" spans="1:5" x14ac:dyDescent="0.2">
      <c r="A380" t="s">
        <v>1938</v>
      </c>
      <c r="B380" t="s">
        <v>1939</v>
      </c>
      <c r="C380" t="s">
        <v>1177</v>
      </c>
      <c r="D380" t="s">
        <v>1595</v>
      </c>
      <c r="E380" t="s">
        <v>1177</v>
      </c>
    </row>
    <row r="381" spans="1:5" x14ac:dyDescent="0.2">
      <c r="A381" t="s">
        <v>1940</v>
      </c>
      <c r="B381" t="s">
        <v>1941</v>
      </c>
      <c r="C381" t="s">
        <v>1177</v>
      </c>
      <c r="D381" t="s">
        <v>1595</v>
      </c>
      <c r="E381" t="s">
        <v>1177</v>
      </c>
    </row>
    <row r="382" spans="1:5" x14ac:dyDescent="0.2">
      <c r="A382" t="s">
        <v>1942</v>
      </c>
      <c r="B382" t="s">
        <v>1943</v>
      </c>
      <c r="C382" t="s">
        <v>1177</v>
      </c>
      <c r="D382" t="s">
        <v>1595</v>
      </c>
      <c r="E382" t="s">
        <v>1177</v>
      </c>
    </row>
    <row r="383" spans="1:5" x14ac:dyDescent="0.2">
      <c r="A383" t="s">
        <v>1944</v>
      </c>
      <c r="B383" t="s">
        <v>1945</v>
      </c>
      <c r="C383" t="s">
        <v>1177</v>
      </c>
      <c r="D383" t="s">
        <v>1595</v>
      </c>
      <c r="E383" t="s">
        <v>1177</v>
      </c>
    </row>
    <row r="384" spans="1:5" x14ac:dyDescent="0.2">
      <c r="A384" t="s">
        <v>1946</v>
      </c>
      <c r="B384" t="s">
        <v>1947</v>
      </c>
      <c r="C384" t="s">
        <v>1177</v>
      </c>
      <c r="D384" t="s">
        <v>1595</v>
      </c>
      <c r="E384" t="s">
        <v>1177</v>
      </c>
    </row>
    <row r="385" spans="1:5" x14ac:dyDescent="0.2">
      <c r="A385" t="s">
        <v>1948</v>
      </c>
      <c r="B385" t="s">
        <v>1949</v>
      </c>
      <c r="C385" t="s">
        <v>1177</v>
      </c>
      <c r="D385" t="s">
        <v>1595</v>
      </c>
      <c r="E385" t="s">
        <v>1177</v>
      </c>
    </row>
    <row r="386" spans="1:5" x14ac:dyDescent="0.2">
      <c r="A386" t="s">
        <v>1950</v>
      </c>
      <c r="B386" t="s">
        <v>1951</v>
      </c>
      <c r="C386" t="s">
        <v>1177</v>
      </c>
      <c r="D386" t="s">
        <v>1595</v>
      </c>
      <c r="E386" t="s">
        <v>1177</v>
      </c>
    </row>
    <row r="387" spans="1:5" x14ac:dyDescent="0.2">
      <c r="A387" t="s">
        <v>1952</v>
      </c>
      <c r="B387" t="s">
        <v>1953</v>
      </c>
      <c r="C387" t="s">
        <v>1177</v>
      </c>
      <c r="D387" t="s">
        <v>1595</v>
      </c>
      <c r="E387" t="s">
        <v>1177</v>
      </c>
    </row>
    <row r="388" spans="1:5" x14ac:dyDescent="0.2">
      <c r="A388" t="s">
        <v>1954</v>
      </c>
      <c r="B388" t="s">
        <v>1955</v>
      </c>
      <c r="C388" t="s">
        <v>1177</v>
      </c>
      <c r="D388" t="s">
        <v>1595</v>
      </c>
      <c r="E388" t="s">
        <v>1177</v>
      </c>
    </row>
    <row r="389" spans="1:5" x14ac:dyDescent="0.2">
      <c r="A389" t="s">
        <v>1956</v>
      </c>
      <c r="B389" t="s">
        <v>1957</v>
      </c>
      <c r="C389" t="s">
        <v>1177</v>
      </c>
      <c r="D389" t="s">
        <v>1595</v>
      </c>
      <c r="E389" t="s">
        <v>1177</v>
      </c>
    </row>
    <row r="390" spans="1:5" x14ac:dyDescent="0.2">
      <c r="A390" t="s">
        <v>1958</v>
      </c>
      <c r="B390" t="s">
        <v>1959</v>
      </c>
      <c r="C390" t="s">
        <v>1177</v>
      </c>
      <c r="D390" t="s">
        <v>1595</v>
      </c>
      <c r="E390" t="s">
        <v>1177</v>
      </c>
    </row>
    <row r="391" spans="1:5" x14ac:dyDescent="0.2">
      <c r="A391" t="s">
        <v>1960</v>
      </c>
      <c r="B391" t="s">
        <v>1961</v>
      </c>
      <c r="C391" t="s">
        <v>1177</v>
      </c>
      <c r="D391" t="s">
        <v>1595</v>
      </c>
      <c r="E391" t="s">
        <v>1177</v>
      </c>
    </row>
    <row r="392" spans="1:5" x14ac:dyDescent="0.2">
      <c r="A392" t="s">
        <v>1962</v>
      </c>
      <c r="B392" t="s">
        <v>1963</v>
      </c>
      <c r="C392" t="s">
        <v>1177</v>
      </c>
      <c r="D392" t="s">
        <v>1595</v>
      </c>
      <c r="E392" t="s">
        <v>1177</v>
      </c>
    </row>
    <row r="393" spans="1:5" x14ac:dyDescent="0.2">
      <c r="A393" t="s">
        <v>1964</v>
      </c>
      <c r="B393" t="s">
        <v>1965</v>
      </c>
      <c r="C393" t="s">
        <v>1177</v>
      </c>
      <c r="D393" t="s">
        <v>1595</v>
      </c>
      <c r="E393" t="s">
        <v>1177</v>
      </c>
    </row>
    <row r="394" spans="1:5" x14ac:dyDescent="0.2">
      <c r="A394" t="s">
        <v>1966</v>
      </c>
      <c r="B394" t="s">
        <v>1967</v>
      </c>
      <c r="C394" t="s">
        <v>1177</v>
      </c>
      <c r="D394" t="s">
        <v>1595</v>
      </c>
      <c r="E394" t="s">
        <v>1177</v>
      </c>
    </row>
    <row r="395" spans="1:5" x14ac:dyDescent="0.2">
      <c r="A395" t="s">
        <v>1968</v>
      </c>
      <c r="B395" t="s">
        <v>1969</v>
      </c>
      <c r="C395" t="s">
        <v>1177</v>
      </c>
      <c r="D395" t="s">
        <v>1595</v>
      </c>
      <c r="E395" t="s">
        <v>1177</v>
      </c>
    </row>
    <row r="396" spans="1:5" x14ac:dyDescent="0.2">
      <c r="A396" t="s">
        <v>1970</v>
      </c>
      <c r="B396" t="s">
        <v>1971</v>
      </c>
      <c r="C396" t="s">
        <v>1177</v>
      </c>
      <c r="D396" t="s">
        <v>1595</v>
      </c>
      <c r="E396" t="s">
        <v>1177</v>
      </c>
    </row>
    <row r="397" spans="1:5" x14ac:dyDescent="0.2">
      <c r="A397" t="s">
        <v>1972</v>
      </c>
      <c r="B397" t="s">
        <v>1973</v>
      </c>
      <c r="C397" t="s">
        <v>1177</v>
      </c>
      <c r="D397" t="s">
        <v>1595</v>
      </c>
      <c r="E397" t="s">
        <v>1177</v>
      </c>
    </row>
    <row r="398" spans="1:5" x14ac:dyDescent="0.2">
      <c r="A398" t="s">
        <v>1974</v>
      </c>
      <c r="B398" t="s">
        <v>1975</v>
      </c>
      <c r="C398" t="s">
        <v>1177</v>
      </c>
      <c r="D398" t="s">
        <v>1595</v>
      </c>
      <c r="E398" t="s">
        <v>1177</v>
      </c>
    </row>
    <row r="399" spans="1:5" x14ac:dyDescent="0.2">
      <c r="A399" t="s">
        <v>1976</v>
      </c>
      <c r="B399" t="s">
        <v>1977</v>
      </c>
      <c r="C399" t="s">
        <v>1177</v>
      </c>
      <c r="D399" t="s">
        <v>1595</v>
      </c>
      <c r="E399" t="s">
        <v>1177</v>
      </c>
    </row>
    <row r="400" spans="1:5" x14ac:dyDescent="0.2">
      <c r="A400" t="s">
        <v>1978</v>
      </c>
      <c r="B400" t="s">
        <v>1979</v>
      </c>
      <c r="C400" t="s">
        <v>1177</v>
      </c>
      <c r="D400" t="s">
        <v>1595</v>
      </c>
      <c r="E400" t="s">
        <v>1177</v>
      </c>
    </row>
    <row r="401" spans="1:5" x14ac:dyDescent="0.2">
      <c r="A401" t="s">
        <v>1980</v>
      </c>
      <c r="B401" t="s">
        <v>1981</v>
      </c>
      <c r="C401" t="s">
        <v>1177</v>
      </c>
      <c r="D401" t="s">
        <v>1595</v>
      </c>
      <c r="E401" t="s">
        <v>1177</v>
      </c>
    </row>
    <row r="402" spans="1:5" x14ac:dyDescent="0.2">
      <c r="A402" t="s">
        <v>1982</v>
      </c>
      <c r="B402" t="s">
        <v>1983</v>
      </c>
      <c r="C402" t="s">
        <v>1177</v>
      </c>
      <c r="D402" t="s">
        <v>1595</v>
      </c>
      <c r="E402" t="s">
        <v>1177</v>
      </c>
    </row>
    <row r="403" spans="1:5" x14ac:dyDescent="0.2">
      <c r="A403" t="s">
        <v>1984</v>
      </c>
      <c r="B403" t="s">
        <v>1985</v>
      </c>
      <c r="C403" t="s">
        <v>1177</v>
      </c>
      <c r="D403" t="s">
        <v>1595</v>
      </c>
      <c r="E403" t="s">
        <v>1177</v>
      </c>
    </row>
    <row r="404" spans="1:5" x14ac:dyDescent="0.2">
      <c r="A404" t="s">
        <v>1986</v>
      </c>
      <c r="B404" t="s">
        <v>1987</v>
      </c>
      <c r="C404" t="s">
        <v>1177</v>
      </c>
      <c r="D404" t="s">
        <v>1595</v>
      </c>
      <c r="E404" t="s">
        <v>1177</v>
      </c>
    </row>
    <row r="405" spans="1:5" x14ac:dyDescent="0.2">
      <c r="A405" t="s">
        <v>1988</v>
      </c>
      <c r="B405" t="s">
        <v>1989</v>
      </c>
      <c r="C405" t="s">
        <v>1177</v>
      </c>
      <c r="D405" t="s">
        <v>1595</v>
      </c>
      <c r="E405" t="s">
        <v>1177</v>
      </c>
    </row>
    <row r="406" spans="1:5" x14ac:dyDescent="0.2">
      <c r="A406" t="s">
        <v>1990</v>
      </c>
      <c r="B406" t="s">
        <v>1991</v>
      </c>
      <c r="C406" t="s">
        <v>1177</v>
      </c>
      <c r="D406" t="s">
        <v>1595</v>
      </c>
      <c r="E406" t="s">
        <v>1177</v>
      </c>
    </row>
    <row r="407" spans="1:5" x14ac:dyDescent="0.2">
      <c r="A407" t="s">
        <v>1992</v>
      </c>
      <c r="B407" t="s">
        <v>1993</v>
      </c>
      <c r="C407" t="s">
        <v>1177</v>
      </c>
      <c r="D407" t="s">
        <v>1595</v>
      </c>
      <c r="E407" t="s">
        <v>1177</v>
      </c>
    </row>
    <row r="408" spans="1:5" x14ac:dyDescent="0.2">
      <c r="A408" t="s">
        <v>1994</v>
      </c>
      <c r="B408" t="s">
        <v>1995</v>
      </c>
      <c r="C408" t="s">
        <v>1177</v>
      </c>
      <c r="D408" t="s">
        <v>1595</v>
      </c>
      <c r="E408" t="s">
        <v>1177</v>
      </c>
    </row>
    <row r="409" spans="1:5" x14ac:dyDescent="0.2">
      <c r="A409" t="s">
        <v>1996</v>
      </c>
      <c r="B409" t="s">
        <v>1997</v>
      </c>
      <c r="C409" t="s">
        <v>1177</v>
      </c>
      <c r="D409" t="s">
        <v>1595</v>
      </c>
      <c r="E409" t="s">
        <v>1177</v>
      </c>
    </row>
    <row r="410" spans="1:5" x14ac:dyDescent="0.2">
      <c r="A410" t="s">
        <v>1998</v>
      </c>
      <c r="B410" t="s">
        <v>1999</v>
      </c>
      <c r="C410" t="s">
        <v>1177</v>
      </c>
      <c r="D410" t="s">
        <v>1595</v>
      </c>
      <c r="E410" t="s">
        <v>1177</v>
      </c>
    </row>
    <row r="411" spans="1:5" x14ac:dyDescent="0.2">
      <c r="A411" t="s">
        <v>2000</v>
      </c>
      <c r="B411" t="s">
        <v>2001</v>
      </c>
      <c r="C411" t="s">
        <v>1177</v>
      </c>
      <c r="D411" t="s">
        <v>1595</v>
      </c>
      <c r="E411" t="s">
        <v>1177</v>
      </c>
    </row>
    <row r="412" spans="1:5" x14ac:dyDescent="0.2">
      <c r="A412" t="s">
        <v>2002</v>
      </c>
      <c r="B412" t="s">
        <v>2003</v>
      </c>
      <c r="C412" t="s">
        <v>1177</v>
      </c>
      <c r="D412" t="s">
        <v>1595</v>
      </c>
      <c r="E412" t="s">
        <v>1177</v>
      </c>
    </row>
    <row r="413" spans="1:5" x14ac:dyDescent="0.2">
      <c r="A413" t="s">
        <v>2004</v>
      </c>
      <c r="B413" t="s">
        <v>2005</v>
      </c>
      <c r="C413" t="s">
        <v>1177</v>
      </c>
      <c r="D413" t="s">
        <v>1595</v>
      </c>
      <c r="E413" t="s">
        <v>1177</v>
      </c>
    </row>
    <row r="414" spans="1:5" x14ac:dyDescent="0.2">
      <c r="A414" t="s">
        <v>2006</v>
      </c>
      <c r="B414" t="s">
        <v>2007</v>
      </c>
      <c r="C414" t="s">
        <v>1177</v>
      </c>
      <c r="D414" t="s">
        <v>1595</v>
      </c>
      <c r="E414" t="s">
        <v>1177</v>
      </c>
    </row>
    <row r="415" spans="1:5" x14ac:dyDescent="0.2">
      <c r="A415" t="s">
        <v>2008</v>
      </c>
      <c r="B415" t="s">
        <v>2009</v>
      </c>
      <c r="C415" t="s">
        <v>1177</v>
      </c>
      <c r="D415" t="s">
        <v>1595</v>
      </c>
      <c r="E415" t="s">
        <v>1177</v>
      </c>
    </row>
    <row r="416" spans="1:5" x14ac:dyDescent="0.2">
      <c r="A416" t="s">
        <v>2010</v>
      </c>
      <c r="B416" t="s">
        <v>2011</v>
      </c>
      <c r="C416" t="s">
        <v>1177</v>
      </c>
      <c r="D416" t="s">
        <v>1595</v>
      </c>
      <c r="E416" t="s">
        <v>1177</v>
      </c>
    </row>
    <row r="417" spans="1:5" x14ac:dyDescent="0.2">
      <c r="A417" t="s">
        <v>2012</v>
      </c>
      <c r="B417" t="s">
        <v>2013</v>
      </c>
      <c r="C417" t="s">
        <v>1177</v>
      </c>
      <c r="D417" t="s">
        <v>1595</v>
      </c>
      <c r="E417" t="s">
        <v>1177</v>
      </c>
    </row>
    <row r="418" spans="1:5" x14ac:dyDescent="0.2">
      <c r="A418" t="s">
        <v>2014</v>
      </c>
      <c r="B418" t="s">
        <v>2015</v>
      </c>
      <c r="C418" t="s">
        <v>1177</v>
      </c>
      <c r="D418" t="s">
        <v>1595</v>
      </c>
      <c r="E418" t="s">
        <v>1177</v>
      </c>
    </row>
    <row r="419" spans="1:5" x14ac:dyDescent="0.2">
      <c r="A419" t="s">
        <v>2016</v>
      </c>
      <c r="B419" t="s">
        <v>2017</v>
      </c>
      <c r="C419" t="s">
        <v>1177</v>
      </c>
      <c r="D419" t="s">
        <v>1595</v>
      </c>
      <c r="E419" t="s">
        <v>1177</v>
      </c>
    </row>
    <row r="420" spans="1:5" x14ac:dyDescent="0.2">
      <c r="A420" t="s">
        <v>2018</v>
      </c>
      <c r="B420" t="s">
        <v>2019</v>
      </c>
      <c r="C420" t="s">
        <v>1177</v>
      </c>
      <c r="D420" t="s">
        <v>1595</v>
      </c>
      <c r="E420" t="s">
        <v>1177</v>
      </c>
    </row>
    <row r="421" spans="1:5" x14ac:dyDescent="0.2">
      <c r="A421" t="s">
        <v>2020</v>
      </c>
      <c r="B421" t="s">
        <v>2021</v>
      </c>
      <c r="C421" t="s">
        <v>1177</v>
      </c>
      <c r="D421" t="s">
        <v>1595</v>
      </c>
      <c r="E421" t="s">
        <v>1177</v>
      </c>
    </row>
    <row r="422" spans="1:5" x14ac:dyDescent="0.2">
      <c r="A422" t="s">
        <v>2022</v>
      </c>
      <c r="B422" t="s">
        <v>2023</v>
      </c>
      <c r="C422" t="s">
        <v>1177</v>
      </c>
      <c r="D422" t="s">
        <v>1595</v>
      </c>
      <c r="E422" t="s">
        <v>1177</v>
      </c>
    </row>
    <row r="423" spans="1:5" x14ac:dyDescent="0.2">
      <c r="A423" t="s">
        <v>2024</v>
      </c>
      <c r="B423" t="s">
        <v>2025</v>
      </c>
      <c r="C423" t="s">
        <v>1177</v>
      </c>
      <c r="D423" t="s">
        <v>1595</v>
      </c>
      <c r="E423" t="s">
        <v>1177</v>
      </c>
    </row>
    <row r="424" spans="1:5" x14ac:dyDescent="0.2">
      <c r="A424" t="s">
        <v>2026</v>
      </c>
      <c r="B424" t="s">
        <v>2027</v>
      </c>
      <c r="C424" t="s">
        <v>1177</v>
      </c>
      <c r="D424" t="s">
        <v>1595</v>
      </c>
      <c r="E424" t="s">
        <v>1177</v>
      </c>
    </row>
    <row r="425" spans="1:5" x14ac:dyDescent="0.2">
      <c r="A425" t="s">
        <v>2028</v>
      </c>
      <c r="B425" t="s">
        <v>2029</v>
      </c>
      <c r="C425" t="s">
        <v>1177</v>
      </c>
      <c r="D425" t="s">
        <v>1595</v>
      </c>
      <c r="E425" t="s">
        <v>1177</v>
      </c>
    </row>
    <row r="426" spans="1:5" x14ac:dyDescent="0.2">
      <c r="A426" t="s">
        <v>2030</v>
      </c>
      <c r="B426" t="s">
        <v>2031</v>
      </c>
      <c r="C426" t="s">
        <v>1177</v>
      </c>
      <c r="D426" t="s">
        <v>1595</v>
      </c>
      <c r="E426" t="s">
        <v>1177</v>
      </c>
    </row>
    <row r="427" spans="1:5" x14ac:dyDescent="0.2">
      <c r="A427" t="s">
        <v>2032</v>
      </c>
      <c r="B427" t="s">
        <v>2033</v>
      </c>
      <c r="C427" t="s">
        <v>1177</v>
      </c>
      <c r="D427" t="s">
        <v>1595</v>
      </c>
      <c r="E427" t="s">
        <v>1177</v>
      </c>
    </row>
    <row r="428" spans="1:5" x14ac:dyDescent="0.2">
      <c r="A428" t="s">
        <v>2034</v>
      </c>
      <c r="B428" t="s">
        <v>2035</v>
      </c>
      <c r="C428" t="s">
        <v>1177</v>
      </c>
      <c r="D428" t="s">
        <v>1595</v>
      </c>
      <c r="E428" t="s">
        <v>1177</v>
      </c>
    </row>
    <row r="429" spans="1:5" x14ac:dyDescent="0.2">
      <c r="A429" t="s">
        <v>2036</v>
      </c>
      <c r="B429" t="s">
        <v>2037</v>
      </c>
      <c r="C429" t="s">
        <v>1177</v>
      </c>
      <c r="D429" t="s">
        <v>1595</v>
      </c>
      <c r="E429" t="s">
        <v>1177</v>
      </c>
    </row>
    <row r="430" spans="1:5" x14ac:dyDescent="0.2">
      <c r="A430" t="s">
        <v>2038</v>
      </c>
      <c r="B430" t="s">
        <v>2039</v>
      </c>
      <c r="C430" t="s">
        <v>1177</v>
      </c>
      <c r="D430" t="s">
        <v>1595</v>
      </c>
      <c r="E430" t="s">
        <v>1177</v>
      </c>
    </row>
    <row r="431" spans="1:5" x14ac:dyDescent="0.2">
      <c r="A431" t="s">
        <v>2040</v>
      </c>
      <c r="B431" t="s">
        <v>2041</v>
      </c>
      <c r="C431" t="s">
        <v>1177</v>
      </c>
      <c r="D431" t="s">
        <v>1595</v>
      </c>
      <c r="E431" t="s">
        <v>1177</v>
      </c>
    </row>
    <row r="432" spans="1:5" x14ac:dyDescent="0.2">
      <c r="A432" t="s">
        <v>2042</v>
      </c>
      <c r="B432" t="s">
        <v>2043</v>
      </c>
      <c r="C432" t="s">
        <v>1177</v>
      </c>
      <c r="D432" t="s">
        <v>1595</v>
      </c>
      <c r="E432" t="s">
        <v>1177</v>
      </c>
    </row>
    <row r="433" spans="1:5" x14ac:dyDescent="0.2">
      <c r="A433" t="s">
        <v>2044</v>
      </c>
      <c r="B433" t="s">
        <v>2045</v>
      </c>
      <c r="C433" t="s">
        <v>1177</v>
      </c>
      <c r="D433" t="s">
        <v>1595</v>
      </c>
      <c r="E433" t="s">
        <v>1177</v>
      </c>
    </row>
    <row r="434" spans="1:5" x14ac:dyDescent="0.2">
      <c r="A434" t="s">
        <v>2046</v>
      </c>
      <c r="B434" t="s">
        <v>2047</v>
      </c>
      <c r="C434" t="s">
        <v>1177</v>
      </c>
      <c r="D434" t="s">
        <v>1595</v>
      </c>
      <c r="E434" t="s">
        <v>1177</v>
      </c>
    </row>
    <row r="435" spans="1:5" x14ac:dyDescent="0.2">
      <c r="A435" t="s">
        <v>2048</v>
      </c>
      <c r="B435" t="s">
        <v>2049</v>
      </c>
      <c r="C435" t="s">
        <v>1177</v>
      </c>
      <c r="D435" t="s">
        <v>1595</v>
      </c>
      <c r="E435" t="s">
        <v>1177</v>
      </c>
    </row>
    <row r="436" spans="1:5" x14ac:dyDescent="0.2">
      <c r="A436" t="s">
        <v>2050</v>
      </c>
      <c r="B436" t="s">
        <v>2051</v>
      </c>
      <c r="C436" t="s">
        <v>1177</v>
      </c>
      <c r="D436" t="s">
        <v>1595</v>
      </c>
      <c r="E436" t="s">
        <v>1177</v>
      </c>
    </row>
    <row r="437" spans="1:5" x14ac:dyDescent="0.2">
      <c r="A437" t="s">
        <v>2052</v>
      </c>
      <c r="B437" t="s">
        <v>2053</v>
      </c>
      <c r="C437" t="s">
        <v>1177</v>
      </c>
      <c r="D437" t="s">
        <v>1595</v>
      </c>
      <c r="E437" t="s">
        <v>1177</v>
      </c>
    </row>
    <row r="438" spans="1:5" x14ac:dyDescent="0.2">
      <c r="A438" t="s">
        <v>2054</v>
      </c>
      <c r="B438" t="s">
        <v>2055</v>
      </c>
      <c r="C438" t="s">
        <v>1177</v>
      </c>
      <c r="D438" t="s">
        <v>1595</v>
      </c>
      <c r="E438" t="s">
        <v>1177</v>
      </c>
    </row>
    <row r="439" spans="1:5" x14ac:dyDescent="0.2">
      <c r="A439" t="s">
        <v>2056</v>
      </c>
      <c r="B439" t="s">
        <v>2057</v>
      </c>
      <c r="C439" t="s">
        <v>1177</v>
      </c>
      <c r="D439" t="s">
        <v>1595</v>
      </c>
      <c r="E439" t="s">
        <v>1177</v>
      </c>
    </row>
    <row r="440" spans="1:5" x14ac:dyDescent="0.2">
      <c r="A440" t="s">
        <v>2058</v>
      </c>
      <c r="B440" t="s">
        <v>2059</v>
      </c>
      <c r="C440" t="s">
        <v>1177</v>
      </c>
      <c r="D440" t="s">
        <v>1595</v>
      </c>
      <c r="E440" t="s">
        <v>1177</v>
      </c>
    </row>
    <row r="441" spans="1:5" x14ac:dyDescent="0.2">
      <c r="A441" t="s">
        <v>2060</v>
      </c>
      <c r="B441" t="s">
        <v>2061</v>
      </c>
      <c r="C441" t="s">
        <v>1177</v>
      </c>
      <c r="D441" t="s">
        <v>1595</v>
      </c>
      <c r="E441" t="s">
        <v>1177</v>
      </c>
    </row>
    <row r="442" spans="1:5" x14ac:dyDescent="0.2">
      <c r="A442" t="s">
        <v>2062</v>
      </c>
      <c r="B442" t="s">
        <v>2063</v>
      </c>
      <c r="C442" t="s">
        <v>1177</v>
      </c>
      <c r="D442" t="s">
        <v>1595</v>
      </c>
      <c r="E442" t="s">
        <v>1177</v>
      </c>
    </row>
    <row r="443" spans="1:5" x14ac:dyDescent="0.2">
      <c r="A443" t="s">
        <v>2064</v>
      </c>
      <c r="B443" t="s">
        <v>2065</v>
      </c>
      <c r="C443" t="s">
        <v>1177</v>
      </c>
      <c r="D443" t="s">
        <v>1595</v>
      </c>
      <c r="E443" t="s">
        <v>1177</v>
      </c>
    </row>
    <row r="444" spans="1:5" x14ac:dyDescent="0.2">
      <c r="A444" t="s">
        <v>2066</v>
      </c>
      <c r="B444" t="s">
        <v>2067</v>
      </c>
      <c r="C444" t="s">
        <v>1177</v>
      </c>
      <c r="D444" t="s">
        <v>1595</v>
      </c>
      <c r="E444" t="s">
        <v>1177</v>
      </c>
    </row>
    <row r="445" spans="1:5" x14ac:dyDescent="0.2">
      <c r="A445" t="s">
        <v>2068</v>
      </c>
      <c r="B445" t="s">
        <v>2069</v>
      </c>
      <c r="C445" t="s">
        <v>1177</v>
      </c>
      <c r="D445" t="s">
        <v>1595</v>
      </c>
      <c r="E445" t="s">
        <v>1177</v>
      </c>
    </row>
    <row r="446" spans="1:5" x14ac:dyDescent="0.2">
      <c r="A446" t="s">
        <v>2070</v>
      </c>
      <c r="B446" t="s">
        <v>2071</v>
      </c>
      <c r="C446" t="s">
        <v>1177</v>
      </c>
      <c r="D446" t="s">
        <v>1595</v>
      </c>
      <c r="E446" t="s">
        <v>1177</v>
      </c>
    </row>
    <row r="447" spans="1:5" x14ac:dyDescent="0.2">
      <c r="A447" t="s">
        <v>2072</v>
      </c>
      <c r="B447" t="s">
        <v>2073</v>
      </c>
      <c r="C447" t="s">
        <v>1177</v>
      </c>
      <c r="D447" t="s">
        <v>1595</v>
      </c>
      <c r="E447" t="s">
        <v>1177</v>
      </c>
    </row>
    <row r="448" spans="1:5" x14ac:dyDescent="0.2">
      <c r="A448" t="s">
        <v>2074</v>
      </c>
      <c r="B448" t="s">
        <v>2075</v>
      </c>
      <c r="C448" t="s">
        <v>1177</v>
      </c>
      <c r="D448" t="s">
        <v>1595</v>
      </c>
      <c r="E448" t="s">
        <v>1177</v>
      </c>
    </row>
    <row r="449" spans="1:5" x14ac:dyDescent="0.2">
      <c r="A449" t="s">
        <v>2076</v>
      </c>
      <c r="B449" t="s">
        <v>2077</v>
      </c>
      <c r="C449" t="s">
        <v>1177</v>
      </c>
      <c r="D449" t="s">
        <v>1595</v>
      </c>
      <c r="E449" t="s">
        <v>1177</v>
      </c>
    </row>
    <row r="450" spans="1:5" x14ac:dyDescent="0.2">
      <c r="A450" t="s">
        <v>2078</v>
      </c>
      <c r="B450" t="s">
        <v>2079</v>
      </c>
      <c r="C450" t="s">
        <v>1177</v>
      </c>
      <c r="D450" t="s">
        <v>1595</v>
      </c>
      <c r="E450" t="s">
        <v>1177</v>
      </c>
    </row>
    <row r="451" spans="1:5" x14ac:dyDescent="0.2">
      <c r="A451" t="s">
        <v>2080</v>
      </c>
      <c r="B451" t="s">
        <v>2081</v>
      </c>
      <c r="C451" t="s">
        <v>1177</v>
      </c>
      <c r="D451" t="s">
        <v>1595</v>
      </c>
      <c r="E451" t="s">
        <v>1177</v>
      </c>
    </row>
    <row r="452" spans="1:5" x14ac:dyDescent="0.2">
      <c r="A452" t="s">
        <v>2082</v>
      </c>
      <c r="B452" t="s">
        <v>2083</v>
      </c>
      <c r="C452" t="s">
        <v>1177</v>
      </c>
      <c r="D452" t="s">
        <v>1595</v>
      </c>
      <c r="E452" t="s">
        <v>1177</v>
      </c>
    </row>
    <row r="453" spans="1:5" x14ac:dyDescent="0.2">
      <c r="A453" t="s">
        <v>2084</v>
      </c>
      <c r="B453" t="s">
        <v>2085</v>
      </c>
      <c r="C453" t="s">
        <v>1177</v>
      </c>
      <c r="D453" t="s">
        <v>1595</v>
      </c>
      <c r="E453" t="s">
        <v>1177</v>
      </c>
    </row>
    <row r="454" spans="1:5" x14ac:dyDescent="0.2">
      <c r="A454" t="s">
        <v>2086</v>
      </c>
      <c r="B454" t="s">
        <v>2087</v>
      </c>
      <c r="C454" t="s">
        <v>1177</v>
      </c>
      <c r="D454" t="s">
        <v>1595</v>
      </c>
      <c r="E454" t="s">
        <v>1177</v>
      </c>
    </row>
    <row r="455" spans="1:5" x14ac:dyDescent="0.2">
      <c r="A455" t="s">
        <v>2088</v>
      </c>
      <c r="B455" t="s">
        <v>2089</v>
      </c>
      <c r="C455" t="s">
        <v>1177</v>
      </c>
      <c r="D455" t="s">
        <v>1595</v>
      </c>
      <c r="E455" t="s">
        <v>1177</v>
      </c>
    </row>
    <row r="456" spans="1:5" x14ac:dyDescent="0.2">
      <c r="A456" t="s">
        <v>2090</v>
      </c>
      <c r="B456" t="s">
        <v>2091</v>
      </c>
      <c r="C456" t="s">
        <v>1177</v>
      </c>
      <c r="D456" t="s">
        <v>1595</v>
      </c>
      <c r="E456" t="s">
        <v>1177</v>
      </c>
    </row>
    <row r="457" spans="1:5" x14ac:dyDescent="0.2">
      <c r="A457" t="s">
        <v>2092</v>
      </c>
      <c r="B457" t="s">
        <v>2093</v>
      </c>
      <c r="C457" t="s">
        <v>1177</v>
      </c>
      <c r="D457" t="s">
        <v>1595</v>
      </c>
      <c r="E457" t="s">
        <v>1177</v>
      </c>
    </row>
    <row r="458" spans="1:5" x14ac:dyDescent="0.2">
      <c r="A458" t="s">
        <v>2094</v>
      </c>
      <c r="B458" t="s">
        <v>2095</v>
      </c>
      <c r="C458" t="s">
        <v>1177</v>
      </c>
      <c r="D458" t="s">
        <v>1595</v>
      </c>
      <c r="E458" t="s">
        <v>1177</v>
      </c>
    </row>
    <row r="459" spans="1:5" x14ac:dyDescent="0.2">
      <c r="A459" t="s">
        <v>2096</v>
      </c>
      <c r="B459" t="s">
        <v>2097</v>
      </c>
      <c r="C459" t="s">
        <v>1177</v>
      </c>
      <c r="D459" t="s">
        <v>1595</v>
      </c>
      <c r="E459" t="s">
        <v>1177</v>
      </c>
    </row>
    <row r="460" spans="1:5" x14ac:dyDescent="0.2">
      <c r="A460" t="s">
        <v>2098</v>
      </c>
      <c r="B460" t="s">
        <v>2099</v>
      </c>
      <c r="C460" t="s">
        <v>1177</v>
      </c>
      <c r="D460" t="s">
        <v>1595</v>
      </c>
      <c r="E460" t="s">
        <v>1177</v>
      </c>
    </row>
    <row r="461" spans="1:5" x14ac:dyDescent="0.2">
      <c r="A461" t="s">
        <v>2100</v>
      </c>
      <c r="B461" t="s">
        <v>2101</v>
      </c>
      <c r="C461" t="s">
        <v>1177</v>
      </c>
      <c r="D461" t="s">
        <v>1595</v>
      </c>
      <c r="E461" t="s">
        <v>1177</v>
      </c>
    </row>
    <row r="462" spans="1:5" x14ac:dyDescent="0.2">
      <c r="A462" t="s">
        <v>2102</v>
      </c>
      <c r="B462" t="s">
        <v>2103</v>
      </c>
      <c r="C462" t="s">
        <v>1177</v>
      </c>
      <c r="D462" t="s">
        <v>1595</v>
      </c>
      <c r="E462" t="s">
        <v>1177</v>
      </c>
    </row>
    <row r="463" spans="1:5" x14ac:dyDescent="0.2">
      <c r="A463" t="s">
        <v>2104</v>
      </c>
      <c r="B463" t="s">
        <v>2105</v>
      </c>
      <c r="C463" t="s">
        <v>1177</v>
      </c>
      <c r="D463" t="s">
        <v>1595</v>
      </c>
      <c r="E463" t="s">
        <v>1177</v>
      </c>
    </row>
    <row r="464" spans="1:5" x14ac:dyDescent="0.2">
      <c r="A464" t="s">
        <v>2106</v>
      </c>
      <c r="B464" t="s">
        <v>2107</v>
      </c>
      <c r="C464" t="s">
        <v>1177</v>
      </c>
      <c r="D464" t="s">
        <v>1595</v>
      </c>
      <c r="E464" t="s">
        <v>1177</v>
      </c>
    </row>
    <row r="465" spans="1:5" x14ac:dyDescent="0.2">
      <c r="A465" t="s">
        <v>2108</v>
      </c>
      <c r="B465" t="s">
        <v>2109</v>
      </c>
      <c r="C465" t="s">
        <v>1177</v>
      </c>
      <c r="D465" t="s">
        <v>1595</v>
      </c>
      <c r="E465" t="s">
        <v>1177</v>
      </c>
    </row>
    <row r="466" spans="1:5" x14ac:dyDescent="0.2">
      <c r="A466" t="s">
        <v>2110</v>
      </c>
      <c r="B466" t="s">
        <v>2111</v>
      </c>
      <c r="C466" t="s">
        <v>1177</v>
      </c>
      <c r="D466" t="s">
        <v>1595</v>
      </c>
      <c r="E466" t="s">
        <v>1177</v>
      </c>
    </row>
    <row r="467" spans="1:5" x14ac:dyDescent="0.2">
      <c r="A467" t="s">
        <v>2112</v>
      </c>
      <c r="B467" t="s">
        <v>2113</v>
      </c>
      <c r="C467" t="s">
        <v>1177</v>
      </c>
      <c r="D467" t="s">
        <v>1595</v>
      </c>
      <c r="E467" t="s">
        <v>1177</v>
      </c>
    </row>
    <row r="468" spans="1:5" x14ac:dyDescent="0.2">
      <c r="A468" t="s">
        <v>2114</v>
      </c>
      <c r="B468" t="s">
        <v>2115</v>
      </c>
      <c r="C468" t="s">
        <v>1177</v>
      </c>
      <c r="D468" t="s">
        <v>1595</v>
      </c>
      <c r="E468" t="s">
        <v>1177</v>
      </c>
    </row>
    <row r="469" spans="1:5" x14ac:dyDescent="0.2">
      <c r="A469" t="s">
        <v>2116</v>
      </c>
      <c r="B469" t="s">
        <v>2117</v>
      </c>
      <c r="C469" t="s">
        <v>1177</v>
      </c>
      <c r="D469" t="s">
        <v>1595</v>
      </c>
      <c r="E469" t="s">
        <v>1177</v>
      </c>
    </row>
    <row r="470" spans="1:5" x14ac:dyDescent="0.2">
      <c r="A470" t="s">
        <v>2118</v>
      </c>
      <c r="B470" t="s">
        <v>2119</v>
      </c>
      <c r="C470" t="s">
        <v>1177</v>
      </c>
      <c r="D470" t="s">
        <v>1595</v>
      </c>
      <c r="E470" t="s">
        <v>1177</v>
      </c>
    </row>
    <row r="471" spans="1:5" x14ac:dyDescent="0.2">
      <c r="A471" t="s">
        <v>2120</v>
      </c>
      <c r="B471" t="s">
        <v>2121</v>
      </c>
      <c r="C471" t="s">
        <v>1177</v>
      </c>
      <c r="D471" t="s">
        <v>1595</v>
      </c>
      <c r="E471" t="s">
        <v>1177</v>
      </c>
    </row>
    <row r="472" spans="1:5" x14ac:dyDescent="0.2">
      <c r="A472" t="s">
        <v>2122</v>
      </c>
      <c r="B472" t="s">
        <v>2123</v>
      </c>
      <c r="C472" t="s">
        <v>1177</v>
      </c>
      <c r="D472" t="s">
        <v>1595</v>
      </c>
      <c r="E472" t="s">
        <v>1177</v>
      </c>
    </row>
    <row r="473" spans="1:5" x14ac:dyDescent="0.2">
      <c r="A473" t="s">
        <v>2124</v>
      </c>
      <c r="B473" t="s">
        <v>2125</v>
      </c>
      <c r="C473" t="s">
        <v>1177</v>
      </c>
      <c r="D473" t="s">
        <v>1595</v>
      </c>
      <c r="E473" t="s">
        <v>1177</v>
      </c>
    </row>
    <row r="474" spans="1:5" x14ac:dyDescent="0.2">
      <c r="A474" t="s">
        <v>2126</v>
      </c>
      <c r="B474" t="s">
        <v>2127</v>
      </c>
      <c r="C474" t="s">
        <v>1177</v>
      </c>
      <c r="D474" t="s">
        <v>1595</v>
      </c>
      <c r="E474" t="s">
        <v>1177</v>
      </c>
    </row>
    <row r="475" spans="1:5" x14ac:dyDescent="0.2">
      <c r="A475" t="s">
        <v>2128</v>
      </c>
      <c r="B475" t="s">
        <v>2129</v>
      </c>
      <c r="C475" t="s">
        <v>1177</v>
      </c>
      <c r="D475" t="s">
        <v>1595</v>
      </c>
      <c r="E475" t="s">
        <v>1177</v>
      </c>
    </row>
    <row r="476" spans="1:5" x14ac:dyDescent="0.2">
      <c r="A476" t="s">
        <v>2130</v>
      </c>
      <c r="B476" t="s">
        <v>2131</v>
      </c>
      <c r="C476" t="s">
        <v>1177</v>
      </c>
      <c r="D476" t="s">
        <v>1595</v>
      </c>
      <c r="E476" t="s">
        <v>1177</v>
      </c>
    </row>
    <row r="477" spans="1:5" x14ac:dyDescent="0.2">
      <c r="A477" t="s">
        <v>2132</v>
      </c>
      <c r="B477" t="s">
        <v>2133</v>
      </c>
      <c r="C477" t="s">
        <v>1177</v>
      </c>
      <c r="D477" t="s">
        <v>1595</v>
      </c>
      <c r="E477" t="s">
        <v>1177</v>
      </c>
    </row>
    <row r="478" spans="1:5" x14ac:dyDescent="0.2">
      <c r="A478" t="s">
        <v>2134</v>
      </c>
      <c r="B478" t="s">
        <v>2135</v>
      </c>
      <c r="C478" t="s">
        <v>1177</v>
      </c>
      <c r="D478" t="s">
        <v>1595</v>
      </c>
      <c r="E478" t="s">
        <v>1177</v>
      </c>
    </row>
    <row r="479" spans="1:5" x14ac:dyDescent="0.2">
      <c r="A479" t="s">
        <v>2136</v>
      </c>
      <c r="B479" t="s">
        <v>2137</v>
      </c>
      <c r="C479" t="s">
        <v>1177</v>
      </c>
      <c r="D479" t="s">
        <v>1595</v>
      </c>
      <c r="E479" t="s">
        <v>1177</v>
      </c>
    </row>
    <row r="480" spans="1:5" x14ac:dyDescent="0.2">
      <c r="A480" t="s">
        <v>2138</v>
      </c>
      <c r="B480" t="s">
        <v>2139</v>
      </c>
      <c r="C480" t="s">
        <v>1177</v>
      </c>
      <c r="D480" t="s">
        <v>1595</v>
      </c>
      <c r="E480" t="s">
        <v>1177</v>
      </c>
    </row>
    <row r="481" spans="1:5" x14ac:dyDescent="0.2">
      <c r="A481" t="s">
        <v>2140</v>
      </c>
      <c r="B481" t="s">
        <v>2141</v>
      </c>
      <c r="C481" t="s">
        <v>1177</v>
      </c>
      <c r="D481" t="s">
        <v>1595</v>
      </c>
      <c r="E481" t="s">
        <v>1177</v>
      </c>
    </row>
    <row r="482" spans="1:5" x14ac:dyDescent="0.2">
      <c r="A482" t="s">
        <v>2142</v>
      </c>
      <c r="B482" t="s">
        <v>2143</v>
      </c>
      <c r="C482" t="s">
        <v>1177</v>
      </c>
      <c r="D482" t="s">
        <v>1595</v>
      </c>
      <c r="E482" t="s">
        <v>1177</v>
      </c>
    </row>
    <row r="483" spans="1:5" x14ac:dyDescent="0.2">
      <c r="A483" t="s">
        <v>2144</v>
      </c>
      <c r="B483" t="s">
        <v>2145</v>
      </c>
      <c r="C483" t="s">
        <v>1177</v>
      </c>
      <c r="D483" t="s">
        <v>1595</v>
      </c>
      <c r="E483" t="s">
        <v>1177</v>
      </c>
    </row>
    <row r="484" spans="1:5" x14ac:dyDescent="0.2">
      <c r="A484" t="s">
        <v>2146</v>
      </c>
      <c r="B484" t="s">
        <v>2147</v>
      </c>
      <c r="C484" t="s">
        <v>1177</v>
      </c>
      <c r="D484" t="s">
        <v>1595</v>
      </c>
      <c r="E484" t="s">
        <v>1177</v>
      </c>
    </row>
    <row r="485" spans="1:5" x14ac:dyDescent="0.2">
      <c r="A485" t="s">
        <v>2148</v>
      </c>
      <c r="B485" t="s">
        <v>2149</v>
      </c>
      <c r="C485" t="s">
        <v>1177</v>
      </c>
      <c r="D485" t="s">
        <v>1595</v>
      </c>
      <c r="E485" t="s">
        <v>1177</v>
      </c>
    </row>
    <row r="486" spans="1:5" x14ac:dyDescent="0.2">
      <c r="A486" t="s">
        <v>2150</v>
      </c>
      <c r="B486" t="s">
        <v>2151</v>
      </c>
      <c r="C486" t="s">
        <v>1177</v>
      </c>
      <c r="D486" t="s">
        <v>1595</v>
      </c>
      <c r="E486" t="s">
        <v>1177</v>
      </c>
    </row>
    <row r="487" spans="1:5" x14ac:dyDescent="0.2">
      <c r="A487" t="s">
        <v>2152</v>
      </c>
      <c r="B487" t="s">
        <v>2153</v>
      </c>
      <c r="C487" t="s">
        <v>1177</v>
      </c>
      <c r="D487" t="s">
        <v>1595</v>
      </c>
      <c r="E487" t="s">
        <v>1177</v>
      </c>
    </row>
    <row r="488" spans="1:5" x14ac:dyDescent="0.2">
      <c r="A488" t="s">
        <v>2154</v>
      </c>
      <c r="B488" t="s">
        <v>2155</v>
      </c>
      <c r="C488" t="s">
        <v>1177</v>
      </c>
      <c r="D488" t="s">
        <v>1595</v>
      </c>
      <c r="E488" t="s">
        <v>1177</v>
      </c>
    </row>
    <row r="489" spans="1:5" x14ac:dyDescent="0.2">
      <c r="A489" t="s">
        <v>2156</v>
      </c>
      <c r="B489" t="s">
        <v>2157</v>
      </c>
      <c r="C489" t="s">
        <v>1177</v>
      </c>
      <c r="D489" t="s">
        <v>1595</v>
      </c>
      <c r="E489" t="s">
        <v>1177</v>
      </c>
    </row>
    <row r="490" spans="1:5" x14ac:dyDescent="0.2">
      <c r="A490" t="s">
        <v>2158</v>
      </c>
      <c r="B490" t="s">
        <v>2159</v>
      </c>
      <c r="C490" t="s">
        <v>1177</v>
      </c>
      <c r="D490" t="s">
        <v>1595</v>
      </c>
      <c r="E490" t="s">
        <v>1177</v>
      </c>
    </row>
    <row r="491" spans="1:5" x14ac:dyDescent="0.2">
      <c r="A491" t="s">
        <v>2160</v>
      </c>
      <c r="B491" t="s">
        <v>2161</v>
      </c>
      <c r="C491" t="s">
        <v>1177</v>
      </c>
      <c r="D491" t="s">
        <v>1595</v>
      </c>
      <c r="E491" t="s">
        <v>1177</v>
      </c>
    </row>
    <row r="492" spans="1:5" x14ac:dyDescent="0.2">
      <c r="A492" t="s">
        <v>2162</v>
      </c>
      <c r="B492" t="s">
        <v>2163</v>
      </c>
      <c r="C492" t="s">
        <v>1177</v>
      </c>
      <c r="D492" t="s">
        <v>1595</v>
      </c>
      <c r="E492" t="s">
        <v>1177</v>
      </c>
    </row>
    <row r="493" spans="1:5" x14ac:dyDescent="0.2">
      <c r="A493" t="s">
        <v>2164</v>
      </c>
      <c r="B493" t="s">
        <v>2165</v>
      </c>
      <c r="C493" t="s">
        <v>1177</v>
      </c>
      <c r="D493" t="s">
        <v>1595</v>
      </c>
      <c r="E493" t="s">
        <v>1177</v>
      </c>
    </row>
    <row r="494" spans="1:5" x14ac:dyDescent="0.2">
      <c r="A494" t="s">
        <v>2166</v>
      </c>
      <c r="B494" t="s">
        <v>2167</v>
      </c>
      <c r="C494" t="s">
        <v>1177</v>
      </c>
      <c r="D494" t="s">
        <v>1595</v>
      </c>
      <c r="E494" t="s">
        <v>1177</v>
      </c>
    </row>
    <row r="495" spans="1:5" x14ac:dyDescent="0.2">
      <c r="A495" t="s">
        <v>2168</v>
      </c>
      <c r="B495" t="s">
        <v>2169</v>
      </c>
      <c r="C495" t="s">
        <v>1177</v>
      </c>
      <c r="D495" t="s">
        <v>1595</v>
      </c>
      <c r="E495" t="s">
        <v>1177</v>
      </c>
    </row>
    <row r="496" spans="1:5" x14ac:dyDescent="0.2">
      <c r="A496" t="s">
        <v>2170</v>
      </c>
      <c r="B496" t="s">
        <v>2171</v>
      </c>
      <c r="C496" t="s">
        <v>1177</v>
      </c>
      <c r="D496" t="s">
        <v>1595</v>
      </c>
      <c r="E496" t="s">
        <v>1177</v>
      </c>
    </row>
    <row r="497" spans="1:5" x14ac:dyDescent="0.2">
      <c r="A497" t="s">
        <v>2172</v>
      </c>
      <c r="B497" t="s">
        <v>2173</v>
      </c>
      <c r="C497" t="s">
        <v>1177</v>
      </c>
      <c r="D497" t="s">
        <v>1595</v>
      </c>
      <c r="E497" t="s">
        <v>1177</v>
      </c>
    </row>
    <row r="498" spans="1:5" x14ac:dyDescent="0.2">
      <c r="A498" t="s">
        <v>2174</v>
      </c>
      <c r="B498" t="s">
        <v>2175</v>
      </c>
      <c r="C498" t="s">
        <v>1177</v>
      </c>
      <c r="D498" t="s">
        <v>1595</v>
      </c>
      <c r="E498" t="s">
        <v>1177</v>
      </c>
    </row>
    <row r="499" spans="1:5" x14ac:dyDescent="0.2">
      <c r="A499" t="s">
        <v>2176</v>
      </c>
      <c r="B499" t="s">
        <v>2177</v>
      </c>
      <c r="C499" t="s">
        <v>1177</v>
      </c>
      <c r="D499" t="s">
        <v>1595</v>
      </c>
      <c r="E499" t="s">
        <v>1177</v>
      </c>
    </row>
    <row r="500" spans="1:5" x14ac:dyDescent="0.2">
      <c r="A500" t="s">
        <v>2178</v>
      </c>
      <c r="B500" t="s">
        <v>2179</v>
      </c>
      <c r="C500" t="s">
        <v>1177</v>
      </c>
      <c r="D500" t="s">
        <v>1595</v>
      </c>
      <c r="E500" t="s">
        <v>1177</v>
      </c>
    </row>
    <row r="501" spans="1:5" x14ac:dyDescent="0.2">
      <c r="A501" t="s">
        <v>2180</v>
      </c>
      <c r="B501" t="s">
        <v>2181</v>
      </c>
      <c r="C501" t="s">
        <v>1177</v>
      </c>
      <c r="D501" t="s">
        <v>1595</v>
      </c>
      <c r="E501" t="s">
        <v>1177</v>
      </c>
    </row>
    <row r="502" spans="1:5" x14ac:dyDescent="0.2">
      <c r="A502" t="s">
        <v>2182</v>
      </c>
      <c r="B502" t="s">
        <v>2183</v>
      </c>
      <c r="C502" t="s">
        <v>1177</v>
      </c>
      <c r="D502" t="s">
        <v>1595</v>
      </c>
      <c r="E502" t="s">
        <v>1177</v>
      </c>
    </row>
    <row r="503" spans="1:5" x14ac:dyDescent="0.2">
      <c r="A503" t="s">
        <v>2184</v>
      </c>
      <c r="B503" t="s">
        <v>2185</v>
      </c>
      <c r="C503" t="s">
        <v>1177</v>
      </c>
      <c r="D503" t="s">
        <v>1595</v>
      </c>
      <c r="E503" t="s">
        <v>1177</v>
      </c>
    </row>
    <row r="504" spans="1:5" x14ac:dyDescent="0.2">
      <c r="A504" t="s">
        <v>2186</v>
      </c>
      <c r="B504" t="s">
        <v>2187</v>
      </c>
      <c r="C504" t="s">
        <v>1177</v>
      </c>
      <c r="D504" t="s">
        <v>1595</v>
      </c>
      <c r="E504" t="s">
        <v>1177</v>
      </c>
    </row>
    <row r="505" spans="1:5" x14ac:dyDescent="0.2">
      <c r="A505" t="s">
        <v>2188</v>
      </c>
      <c r="B505" t="s">
        <v>2189</v>
      </c>
      <c r="C505" t="s">
        <v>1177</v>
      </c>
      <c r="D505" t="s">
        <v>1595</v>
      </c>
      <c r="E505" t="s">
        <v>1177</v>
      </c>
    </row>
    <row r="506" spans="1:5" x14ac:dyDescent="0.2">
      <c r="A506" t="s">
        <v>2190</v>
      </c>
      <c r="B506" t="s">
        <v>2191</v>
      </c>
      <c r="C506" t="s">
        <v>1177</v>
      </c>
      <c r="D506" t="s">
        <v>1595</v>
      </c>
      <c r="E506" t="s">
        <v>1177</v>
      </c>
    </row>
    <row r="507" spans="1:5" x14ac:dyDescent="0.2">
      <c r="A507" t="s">
        <v>2192</v>
      </c>
      <c r="B507" t="s">
        <v>2193</v>
      </c>
      <c r="C507" t="s">
        <v>1177</v>
      </c>
      <c r="D507" t="s">
        <v>1595</v>
      </c>
      <c r="E507" t="s">
        <v>1177</v>
      </c>
    </row>
    <row r="508" spans="1:5" x14ac:dyDescent="0.2">
      <c r="A508" t="s">
        <v>2194</v>
      </c>
      <c r="B508" t="s">
        <v>2195</v>
      </c>
      <c r="C508" t="s">
        <v>1177</v>
      </c>
      <c r="D508" t="s">
        <v>1595</v>
      </c>
      <c r="E508" t="s">
        <v>1177</v>
      </c>
    </row>
    <row r="509" spans="1:5" x14ac:dyDescent="0.2">
      <c r="A509" t="s">
        <v>2196</v>
      </c>
      <c r="B509" t="s">
        <v>2197</v>
      </c>
      <c r="C509" t="s">
        <v>1177</v>
      </c>
      <c r="D509" t="s">
        <v>1595</v>
      </c>
      <c r="E509" t="s">
        <v>1177</v>
      </c>
    </row>
    <row r="510" spans="1:5" x14ac:dyDescent="0.2">
      <c r="A510" t="s">
        <v>2198</v>
      </c>
      <c r="B510" t="s">
        <v>2199</v>
      </c>
      <c r="C510" t="s">
        <v>1177</v>
      </c>
      <c r="D510" t="s">
        <v>1595</v>
      </c>
      <c r="E510" t="s">
        <v>1177</v>
      </c>
    </row>
    <row r="511" spans="1:5" x14ac:dyDescent="0.2">
      <c r="A511" t="s">
        <v>2200</v>
      </c>
      <c r="B511" t="s">
        <v>2201</v>
      </c>
      <c r="C511" t="s">
        <v>1177</v>
      </c>
      <c r="D511" t="s">
        <v>1595</v>
      </c>
      <c r="E511" t="s">
        <v>1177</v>
      </c>
    </row>
    <row r="512" spans="1:5" x14ac:dyDescent="0.2">
      <c r="A512" t="s">
        <v>2202</v>
      </c>
      <c r="B512" t="s">
        <v>2203</v>
      </c>
      <c r="C512" t="s">
        <v>1177</v>
      </c>
      <c r="D512" t="s">
        <v>1595</v>
      </c>
      <c r="E512" t="s">
        <v>1177</v>
      </c>
    </row>
    <row r="513" spans="1:5" x14ac:dyDescent="0.2">
      <c r="A513" t="s">
        <v>2204</v>
      </c>
      <c r="B513" t="s">
        <v>2205</v>
      </c>
      <c r="C513" t="s">
        <v>1177</v>
      </c>
      <c r="D513" t="s">
        <v>1595</v>
      </c>
      <c r="E513" t="s">
        <v>1177</v>
      </c>
    </row>
    <row r="514" spans="1:5" x14ac:dyDescent="0.2">
      <c r="A514" t="s">
        <v>2206</v>
      </c>
      <c r="B514" t="s">
        <v>2207</v>
      </c>
      <c r="C514" t="s">
        <v>1177</v>
      </c>
      <c r="D514" t="s">
        <v>1595</v>
      </c>
      <c r="E514" t="s">
        <v>1177</v>
      </c>
    </row>
    <row r="515" spans="1:5" x14ac:dyDescent="0.2">
      <c r="A515" t="s">
        <v>2208</v>
      </c>
      <c r="B515" t="s">
        <v>2209</v>
      </c>
      <c r="C515" t="s">
        <v>1177</v>
      </c>
      <c r="D515" t="s">
        <v>1595</v>
      </c>
      <c r="E515" t="s">
        <v>1177</v>
      </c>
    </row>
    <row r="516" spans="1:5" x14ac:dyDescent="0.2">
      <c r="A516" t="s">
        <v>2210</v>
      </c>
      <c r="B516" t="s">
        <v>2211</v>
      </c>
      <c r="C516" t="s">
        <v>1177</v>
      </c>
      <c r="D516" t="s">
        <v>1595</v>
      </c>
      <c r="E516" t="s">
        <v>1177</v>
      </c>
    </row>
    <row r="517" spans="1:5" x14ac:dyDescent="0.2">
      <c r="A517" t="s">
        <v>2212</v>
      </c>
      <c r="B517" t="s">
        <v>2213</v>
      </c>
      <c r="C517" t="s">
        <v>1177</v>
      </c>
      <c r="D517" t="s">
        <v>1595</v>
      </c>
      <c r="E517" t="s">
        <v>1177</v>
      </c>
    </row>
    <row r="518" spans="1:5" x14ac:dyDescent="0.2">
      <c r="A518" t="s">
        <v>2214</v>
      </c>
      <c r="B518" t="s">
        <v>2215</v>
      </c>
      <c r="C518" t="s">
        <v>1177</v>
      </c>
      <c r="D518" t="s">
        <v>1595</v>
      </c>
      <c r="E518" t="s">
        <v>1177</v>
      </c>
    </row>
    <row r="519" spans="1:5" x14ac:dyDescent="0.2">
      <c r="A519" t="s">
        <v>2216</v>
      </c>
      <c r="B519" t="s">
        <v>2217</v>
      </c>
      <c r="C519" t="s">
        <v>1177</v>
      </c>
      <c r="D519" t="s">
        <v>1595</v>
      </c>
      <c r="E519" t="s">
        <v>1177</v>
      </c>
    </row>
    <row r="520" spans="1:5" x14ac:dyDescent="0.2">
      <c r="A520" t="s">
        <v>2218</v>
      </c>
      <c r="B520" t="s">
        <v>2219</v>
      </c>
      <c r="C520" t="s">
        <v>1177</v>
      </c>
      <c r="D520" t="s">
        <v>1595</v>
      </c>
      <c r="E520" t="s">
        <v>1177</v>
      </c>
    </row>
    <row r="521" spans="1:5" x14ac:dyDescent="0.2">
      <c r="A521" t="s">
        <v>2220</v>
      </c>
      <c r="B521" t="s">
        <v>2221</v>
      </c>
      <c r="C521" t="s">
        <v>1177</v>
      </c>
      <c r="D521" t="s">
        <v>1595</v>
      </c>
      <c r="E521" t="s">
        <v>1177</v>
      </c>
    </row>
    <row r="522" spans="1:5" x14ac:dyDescent="0.2">
      <c r="A522" t="s">
        <v>2222</v>
      </c>
      <c r="B522" t="s">
        <v>2223</v>
      </c>
      <c r="C522" t="s">
        <v>1177</v>
      </c>
      <c r="D522" t="s">
        <v>1595</v>
      </c>
      <c r="E522" t="s">
        <v>1177</v>
      </c>
    </row>
    <row r="523" spans="1:5" x14ac:dyDescent="0.2">
      <c r="A523" t="s">
        <v>2224</v>
      </c>
      <c r="B523" t="s">
        <v>2225</v>
      </c>
      <c r="C523" t="s">
        <v>1177</v>
      </c>
      <c r="D523" t="s">
        <v>1595</v>
      </c>
      <c r="E523" t="s">
        <v>1177</v>
      </c>
    </row>
    <row r="524" spans="1:5" x14ac:dyDescent="0.2">
      <c r="A524" t="s">
        <v>2226</v>
      </c>
      <c r="B524" t="s">
        <v>2227</v>
      </c>
      <c r="C524" t="s">
        <v>1177</v>
      </c>
      <c r="D524" t="s">
        <v>1595</v>
      </c>
      <c r="E524" t="s">
        <v>1177</v>
      </c>
    </row>
    <row r="525" spans="1:5" x14ac:dyDescent="0.2">
      <c r="A525" t="s">
        <v>2228</v>
      </c>
      <c r="B525" t="s">
        <v>2229</v>
      </c>
      <c r="C525" t="s">
        <v>1177</v>
      </c>
      <c r="D525" t="s">
        <v>1595</v>
      </c>
      <c r="E525" t="s">
        <v>1177</v>
      </c>
    </row>
    <row r="526" spans="1:5" x14ac:dyDescent="0.2">
      <c r="A526" t="s">
        <v>2230</v>
      </c>
      <c r="B526" t="s">
        <v>2231</v>
      </c>
      <c r="C526" t="s">
        <v>1177</v>
      </c>
      <c r="D526" t="s">
        <v>1595</v>
      </c>
      <c r="E526" t="s">
        <v>1177</v>
      </c>
    </row>
    <row r="527" spans="1:5" x14ac:dyDescent="0.2">
      <c r="A527" t="s">
        <v>2232</v>
      </c>
      <c r="B527" t="s">
        <v>2233</v>
      </c>
      <c r="C527" t="s">
        <v>1177</v>
      </c>
      <c r="D527" t="s">
        <v>1595</v>
      </c>
      <c r="E527" t="s">
        <v>1177</v>
      </c>
    </row>
    <row r="528" spans="1:5" x14ac:dyDescent="0.2">
      <c r="A528" t="s">
        <v>2234</v>
      </c>
      <c r="B528" t="s">
        <v>2235</v>
      </c>
      <c r="C528" t="s">
        <v>1177</v>
      </c>
      <c r="D528" t="s">
        <v>1595</v>
      </c>
      <c r="E528" t="s">
        <v>1177</v>
      </c>
    </row>
    <row r="529" spans="1:5" x14ac:dyDescent="0.2">
      <c r="A529" t="s">
        <v>2236</v>
      </c>
      <c r="B529" t="s">
        <v>2237</v>
      </c>
      <c r="C529" t="s">
        <v>1177</v>
      </c>
      <c r="D529" t="s">
        <v>1595</v>
      </c>
      <c r="E529" t="s">
        <v>1177</v>
      </c>
    </row>
    <row r="530" spans="1:5" x14ac:dyDescent="0.2">
      <c r="A530" t="s">
        <v>2238</v>
      </c>
      <c r="B530" t="s">
        <v>2239</v>
      </c>
      <c r="C530" t="s">
        <v>1177</v>
      </c>
      <c r="D530" t="s">
        <v>1595</v>
      </c>
      <c r="E530" t="s">
        <v>1177</v>
      </c>
    </row>
    <row r="531" spans="1:5" x14ac:dyDescent="0.2">
      <c r="A531" t="s">
        <v>2240</v>
      </c>
      <c r="B531" t="s">
        <v>2241</v>
      </c>
      <c r="C531" t="s">
        <v>1177</v>
      </c>
      <c r="D531" t="s">
        <v>1595</v>
      </c>
      <c r="E531" t="s">
        <v>1177</v>
      </c>
    </row>
    <row r="532" spans="1:5" x14ac:dyDescent="0.2">
      <c r="A532" t="s">
        <v>2242</v>
      </c>
      <c r="B532" t="s">
        <v>2243</v>
      </c>
      <c r="C532" t="s">
        <v>1177</v>
      </c>
      <c r="D532" t="s">
        <v>1595</v>
      </c>
      <c r="E532" t="s">
        <v>1177</v>
      </c>
    </row>
    <row r="533" spans="1:5" x14ac:dyDescent="0.2">
      <c r="A533" t="s">
        <v>2244</v>
      </c>
      <c r="B533" t="s">
        <v>2245</v>
      </c>
      <c r="C533" t="s">
        <v>1177</v>
      </c>
      <c r="D533" t="s">
        <v>1595</v>
      </c>
      <c r="E533" t="s">
        <v>1177</v>
      </c>
    </row>
    <row r="534" spans="1:5" x14ac:dyDescent="0.2">
      <c r="A534" t="s">
        <v>2246</v>
      </c>
      <c r="B534" t="s">
        <v>2247</v>
      </c>
      <c r="C534" t="s">
        <v>1177</v>
      </c>
      <c r="D534" t="s">
        <v>1595</v>
      </c>
      <c r="E534" t="s">
        <v>1177</v>
      </c>
    </row>
    <row r="535" spans="1:5" x14ac:dyDescent="0.2">
      <c r="A535" t="s">
        <v>2248</v>
      </c>
      <c r="B535" t="s">
        <v>2249</v>
      </c>
      <c r="C535" t="s">
        <v>1177</v>
      </c>
      <c r="D535" t="s">
        <v>1595</v>
      </c>
      <c r="E535" t="s">
        <v>1177</v>
      </c>
    </row>
    <row r="536" spans="1:5" x14ac:dyDescent="0.2">
      <c r="A536" t="s">
        <v>2250</v>
      </c>
      <c r="B536" t="s">
        <v>2251</v>
      </c>
      <c r="C536" t="s">
        <v>1177</v>
      </c>
      <c r="D536" t="s">
        <v>1595</v>
      </c>
      <c r="E536" t="s">
        <v>1177</v>
      </c>
    </row>
    <row r="537" spans="1:5" x14ac:dyDescent="0.2">
      <c r="A537" t="s">
        <v>2252</v>
      </c>
      <c r="B537" t="s">
        <v>2253</v>
      </c>
      <c r="C537" t="s">
        <v>1177</v>
      </c>
      <c r="D537" t="s">
        <v>1595</v>
      </c>
      <c r="E537" t="s">
        <v>1177</v>
      </c>
    </row>
    <row r="538" spans="1:5" x14ac:dyDescent="0.2">
      <c r="A538" t="s">
        <v>2254</v>
      </c>
      <c r="B538" t="s">
        <v>2255</v>
      </c>
      <c r="C538" t="s">
        <v>1177</v>
      </c>
      <c r="D538" t="s">
        <v>1595</v>
      </c>
      <c r="E538" t="s">
        <v>1177</v>
      </c>
    </row>
    <row r="539" spans="1:5" x14ac:dyDescent="0.2">
      <c r="A539" t="s">
        <v>2256</v>
      </c>
      <c r="B539" t="s">
        <v>2257</v>
      </c>
      <c r="C539" t="s">
        <v>1177</v>
      </c>
      <c r="D539" t="s">
        <v>1595</v>
      </c>
      <c r="E539" t="s">
        <v>1177</v>
      </c>
    </row>
    <row r="540" spans="1:5" x14ac:dyDescent="0.2">
      <c r="A540" t="s">
        <v>2258</v>
      </c>
      <c r="B540" t="s">
        <v>2259</v>
      </c>
      <c r="C540" t="s">
        <v>1177</v>
      </c>
      <c r="D540" t="s">
        <v>1595</v>
      </c>
      <c r="E540" t="s">
        <v>1177</v>
      </c>
    </row>
    <row r="541" spans="1:5" x14ac:dyDescent="0.2">
      <c r="A541" t="s">
        <v>2260</v>
      </c>
      <c r="B541" t="s">
        <v>2261</v>
      </c>
      <c r="C541" t="s">
        <v>1177</v>
      </c>
      <c r="D541" t="s">
        <v>1595</v>
      </c>
      <c r="E541" t="s">
        <v>1177</v>
      </c>
    </row>
    <row r="542" spans="1:5" x14ac:dyDescent="0.2">
      <c r="A542" t="s">
        <v>2262</v>
      </c>
      <c r="B542" t="s">
        <v>2263</v>
      </c>
      <c r="C542" t="s">
        <v>1177</v>
      </c>
      <c r="D542" t="s">
        <v>1595</v>
      </c>
      <c r="E542" t="s">
        <v>1177</v>
      </c>
    </row>
    <row r="543" spans="1:5" x14ac:dyDescent="0.2">
      <c r="A543" t="s">
        <v>2264</v>
      </c>
      <c r="B543" t="s">
        <v>2265</v>
      </c>
      <c r="C543" t="s">
        <v>1177</v>
      </c>
      <c r="D543" t="s">
        <v>1595</v>
      </c>
      <c r="E543" t="s">
        <v>1177</v>
      </c>
    </row>
    <row r="544" spans="1:5" x14ac:dyDescent="0.2">
      <c r="A544" t="s">
        <v>2266</v>
      </c>
      <c r="B544" t="s">
        <v>2267</v>
      </c>
      <c r="C544" t="s">
        <v>1177</v>
      </c>
      <c r="D544" t="s">
        <v>1595</v>
      </c>
      <c r="E544" t="s">
        <v>1177</v>
      </c>
    </row>
    <row r="545" spans="1:5" x14ac:dyDescent="0.2">
      <c r="A545" t="s">
        <v>2268</v>
      </c>
      <c r="B545" t="s">
        <v>2269</v>
      </c>
      <c r="C545" t="s">
        <v>1177</v>
      </c>
      <c r="D545" t="s">
        <v>1595</v>
      </c>
      <c r="E545" t="s">
        <v>1177</v>
      </c>
    </row>
    <row r="546" spans="1:5" x14ac:dyDescent="0.2">
      <c r="A546" t="s">
        <v>2270</v>
      </c>
      <c r="B546" t="s">
        <v>2271</v>
      </c>
      <c r="C546" t="s">
        <v>1177</v>
      </c>
      <c r="D546" t="s">
        <v>1595</v>
      </c>
      <c r="E546" t="s">
        <v>1177</v>
      </c>
    </row>
    <row r="547" spans="1:5" x14ac:dyDescent="0.2">
      <c r="A547" t="s">
        <v>2272</v>
      </c>
      <c r="B547" t="s">
        <v>2273</v>
      </c>
      <c r="C547" t="s">
        <v>1177</v>
      </c>
      <c r="D547" t="s">
        <v>1595</v>
      </c>
      <c r="E547" t="s">
        <v>1177</v>
      </c>
    </row>
    <row r="548" spans="1:5" x14ac:dyDescent="0.2">
      <c r="A548" t="s">
        <v>2274</v>
      </c>
      <c r="B548" t="s">
        <v>2275</v>
      </c>
      <c r="C548" t="s">
        <v>1177</v>
      </c>
      <c r="D548" t="s">
        <v>1595</v>
      </c>
      <c r="E548" t="s">
        <v>1177</v>
      </c>
    </row>
    <row r="549" spans="1:5" x14ac:dyDescent="0.2">
      <c r="A549" t="s">
        <v>2276</v>
      </c>
      <c r="B549" t="s">
        <v>2277</v>
      </c>
      <c r="C549" t="s">
        <v>1177</v>
      </c>
      <c r="D549" t="s">
        <v>1595</v>
      </c>
      <c r="E549" t="s">
        <v>1177</v>
      </c>
    </row>
    <row r="550" spans="1:5" x14ac:dyDescent="0.2">
      <c r="A550" t="s">
        <v>2278</v>
      </c>
      <c r="B550" t="s">
        <v>2279</v>
      </c>
      <c r="C550" t="s">
        <v>1177</v>
      </c>
      <c r="D550" t="s">
        <v>1595</v>
      </c>
      <c r="E550" t="s">
        <v>1177</v>
      </c>
    </row>
    <row r="551" spans="1:5" x14ac:dyDescent="0.2">
      <c r="A551" t="s">
        <v>2280</v>
      </c>
      <c r="B551" t="s">
        <v>2281</v>
      </c>
      <c r="C551" t="s">
        <v>1177</v>
      </c>
      <c r="D551" t="s">
        <v>1595</v>
      </c>
      <c r="E551" t="s">
        <v>1177</v>
      </c>
    </row>
    <row r="552" spans="1:5" x14ac:dyDescent="0.2">
      <c r="A552" t="s">
        <v>2282</v>
      </c>
      <c r="B552" t="s">
        <v>2283</v>
      </c>
      <c r="C552" t="s">
        <v>1177</v>
      </c>
      <c r="D552" t="s">
        <v>1595</v>
      </c>
      <c r="E552" t="s">
        <v>1177</v>
      </c>
    </row>
    <row r="553" spans="1:5" x14ac:dyDescent="0.2">
      <c r="A553" t="s">
        <v>2284</v>
      </c>
      <c r="B553" t="s">
        <v>2285</v>
      </c>
      <c r="C553" t="s">
        <v>1177</v>
      </c>
      <c r="D553" t="s">
        <v>1595</v>
      </c>
      <c r="E553" t="s">
        <v>1177</v>
      </c>
    </row>
    <row r="554" spans="1:5" x14ac:dyDescent="0.2">
      <c r="A554" t="s">
        <v>2286</v>
      </c>
      <c r="B554" t="s">
        <v>2287</v>
      </c>
      <c r="C554" t="s">
        <v>1177</v>
      </c>
      <c r="D554" t="s">
        <v>1595</v>
      </c>
      <c r="E554" t="s">
        <v>1177</v>
      </c>
    </row>
    <row r="555" spans="1:5" x14ac:dyDescent="0.2">
      <c r="A555" t="s">
        <v>2288</v>
      </c>
      <c r="B555" t="s">
        <v>2289</v>
      </c>
      <c r="C555" t="s">
        <v>1177</v>
      </c>
      <c r="D555" t="s">
        <v>1595</v>
      </c>
      <c r="E555" t="s">
        <v>1177</v>
      </c>
    </row>
    <row r="556" spans="1:5" x14ac:dyDescent="0.2">
      <c r="A556" t="s">
        <v>2290</v>
      </c>
      <c r="B556" t="s">
        <v>2291</v>
      </c>
      <c r="C556" t="s">
        <v>1177</v>
      </c>
      <c r="D556" t="s">
        <v>1595</v>
      </c>
      <c r="E556" t="s">
        <v>1177</v>
      </c>
    </row>
    <row r="557" spans="1:5" x14ac:dyDescent="0.2">
      <c r="A557" t="s">
        <v>2292</v>
      </c>
      <c r="B557" t="s">
        <v>2293</v>
      </c>
      <c r="C557" t="s">
        <v>1177</v>
      </c>
      <c r="D557" t="s">
        <v>1595</v>
      </c>
      <c r="E557" t="s">
        <v>1177</v>
      </c>
    </row>
    <row r="558" spans="1:5" x14ac:dyDescent="0.2">
      <c r="A558" t="s">
        <v>2294</v>
      </c>
      <c r="B558" t="s">
        <v>2295</v>
      </c>
      <c r="C558" t="s">
        <v>1177</v>
      </c>
      <c r="D558" t="s">
        <v>1595</v>
      </c>
      <c r="E558" t="s">
        <v>1177</v>
      </c>
    </row>
    <row r="559" spans="1:5" x14ac:dyDescent="0.2">
      <c r="A559" t="s">
        <v>2296</v>
      </c>
      <c r="B559" t="s">
        <v>2297</v>
      </c>
      <c r="C559" t="s">
        <v>1177</v>
      </c>
      <c r="D559" t="s">
        <v>1595</v>
      </c>
      <c r="E559" t="s">
        <v>1177</v>
      </c>
    </row>
    <row r="560" spans="1:5" x14ac:dyDescent="0.2">
      <c r="A560" t="s">
        <v>2298</v>
      </c>
      <c r="B560" t="s">
        <v>2299</v>
      </c>
      <c r="C560" t="s">
        <v>1177</v>
      </c>
      <c r="D560" t="s">
        <v>1595</v>
      </c>
      <c r="E560" t="s">
        <v>1177</v>
      </c>
    </row>
    <row r="561" spans="1:5" x14ac:dyDescent="0.2">
      <c r="A561" t="s">
        <v>2300</v>
      </c>
      <c r="B561" t="s">
        <v>2301</v>
      </c>
      <c r="C561" t="s">
        <v>1177</v>
      </c>
      <c r="D561" t="s">
        <v>1595</v>
      </c>
      <c r="E561" t="s">
        <v>1177</v>
      </c>
    </row>
    <row r="562" spans="1:5" x14ac:dyDescent="0.2">
      <c r="A562" t="s">
        <v>2302</v>
      </c>
      <c r="B562" t="s">
        <v>2303</v>
      </c>
      <c r="C562" t="s">
        <v>1177</v>
      </c>
      <c r="D562" t="s">
        <v>1595</v>
      </c>
      <c r="E562" t="s">
        <v>1177</v>
      </c>
    </row>
    <row r="563" spans="1:5" x14ac:dyDescent="0.2">
      <c r="A563" t="s">
        <v>2304</v>
      </c>
      <c r="B563" t="s">
        <v>2305</v>
      </c>
      <c r="C563" t="s">
        <v>1177</v>
      </c>
      <c r="D563" t="s">
        <v>1595</v>
      </c>
      <c r="E563" t="s">
        <v>1177</v>
      </c>
    </row>
    <row r="564" spans="1:5" x14ac:dyDescent="0.2">
      <c r="A564" t="s">
        <v>2306</v>
      </c>
      <c r="B564" t="s">
        <v>2307</v>
      </c>
      <c r="C564" t="s">
        <v>1177</v>
      </c>
      <c r="D564" t="s">
        <v>1595</v>
      </c>
      <c r="E564" t="s">
        <v>1177</v>
      </c>
    </row>
    <row r="565" spans="1:5" x14ac:dyDescent="0.2">
      <c r="A565" t="s">
        <v>2308</v>
      </c>
      <c r="B565" t="s">
        <v>2309</v>
      </c>
      <c r="C565" t="s">
        <v>1177</v>
      </c>
      <c r="D565" t="s">
        <v>1595</v>
      </c>
      <c r="E565" t="s">
        <v>1177</v>
      </c>
    </row>
    <row r="566" spans="1:5" x14ac:dyDescent="0.2">
      <c r="A566" t="s">
        <v>2310</v>
      </c>
      <c r="B566" t="s">
        <v>2311</v>
      </c>
      <c r="C566" t="s">
        <v>1177</v>
      </c>
      <c r="D566" t="s">
        <v>1595</v>
      </c>
      <c r="E566" t="s">
        <v>1177</v>
      </c>
    </row>
    <row r="567" spans="1:5" x14ac:dyDescent="0.2">
      <c r="A567" t="s">
        <v>2312</v>
      </c>
      <c r="B567" t="s">
        <v>2313</v>
      </c>
      <c r="C567" t="s">
        <v>1177</v>
      </c>
      <c r="D567" t="s">
        <v>1595</v>
      </c>
      <c r="E567" t="s">
        <v>1177</v>
      </c>
    </row>
    <row r="568" spans="1:5" x14ac:dyDescent="0.2">
      <c r="A568" t="s">
        <v>2314</v>
      </c>
      <c r="B568" t="s">
        <v>2315</v>
      </c>
      <c r="C568" t="s">
        <v>1177</v>
      </c>
      <c r="D568" t="s">
        <v>1595</v>
      </c>
      <c r="E568" t="s">
        <v>1177</v>
      </c>
    </row>
    <row r="569" spans="1:5" x14ac:dyDescent="0.2">
      <c r="A569" t="s">
        <v>2316</v>
      </c>
      <c r="B569" t="s">
        <v>2317</v>
      </c>
      <c r="C569" t="s">
        <v>1177</v>
      </c>
      <c r="D569" t="s">
        <v>1595</v>
      </c>
      <c r="E569" t="s">
        <v>1177</v>
      </c>
    </row>
    <row r="570" spans="1:5" x14ac:dyDescent="0.2">
      <c r="A570" t="s">
        <v>2318</v>
      </c>
      <c r="B570" t="s">
        <v>2319</v>
      </c>
      <c r="C570" t="s">
        <v>1177</v>
      </c>
      <c r="D570" t="s">
        <v>1595</v>
      </c>
      <c r="E570" t="s">
        <v>1177</v>
      </c>
    </row>
    <row r="571" spans="1:5" x14ac:dyDescent="0.2">
      <c r="A571" t="s">
        <v>2320</v>
      </c>
      <c r="B571" t="s">
        <v>2321</v>
      </c>
      <c r="C571" t="s">
        <v>1177</v>
      </c>
      <c r="D571" t="s">
        <v>1595</v>
      </c>
      <c r="E571" t="s">
        <v>1177</v>
      </c>
    </row>
    <row r="572" spans="1:5" x14ac:dyDescent="0.2">
      <c r="A572" t="s">
        <v>2322</v>
      </c>
      <c r="B572" t="s">
        <v>2323</v>
      </c>
      <c r="C572" t="s">
        <v>1177</v>
      </c>
      <c r="D572" t="s">
        <v>1595</v>
      </c>
      <c r="E572" t="s">
        <v>1177</v>
      </c>
    </row>
    <row r="573" spans="1:5" x14ac:dyDescent="0.2">
      <c r="A573" t="s">
        <v>2324</v>
      </c>
      <c r="B573" t="s">
        <v>2325</v>
      </c>
      <c r="C573" t="s">
        <v>1177</v>
      </c>
      <c r="D573" t="s">
        <v>1595</v>
      </c>
      <c r="E573" t="s">
        <v>1177</v>
      </c>
    </row>
    <row r="574" spans="1:5" x14ac:dyDescent="0.2">
      <c r="A574" t="s">
        <v>2326</v>
      </c>
      <c r="B574" t="s">
        <v>2327</v>
      </c>
      <c r="C574" t="s">
        <v>1177</v>
      </c>
      <c r="D574" t="s">
        <v>1595</v>
      </c>
      <c r="E574" t="s">
        <v>1177</v>
      </c>
    </row>
    <row r="575" spans="1:5" x14ac:dyDescent="0.2">
      <c r="A575" t="s">
        <v>2328</v>
      </c>
      <c r="B575" t="s">
        <v>2329</v>
      </c>
      <c r="C575" t="s">
        <v>1177</v>
      </c>
      <c r="D575" t="s">
        <v>1595</v>
      </c>
      <c r="E575" t="s">
        <v>1177</v>
      </c>
    </row>
    <row r="576" spans="1:5" x14ac:dyDescent="0.2">
      <c r="A576" t="s">
        <v>2330</v>
      </c>
      <c r="B576" t="s">
        <v>2331</v>
      </c>
      <c r="C576" t="s">
        <v>1177</v>
      </c>
      <c r="D576" t="s">
        <v>1595</v>
      </c>
      <c r="E576" t="s">
        <v>1177</v>
      </c>
    </row>
    <row r="577" spans="1:5" x14ac:dyDescent="0.2">
      <c r="A577" t="s">
        <v>2332</v>
      </c>
      <c r="B577" t="s">
        <v>2333</v>
      </c>
      <c r="C577" t="s">
        <v>1177</v>
      </c>
      <c r="D577" t="s">
        <v>1595</v>
      </c>
      <c r="E577" t="s">
        <v>1177</v>
      </c>
    </row>
    <row r="578" spans="1:5" x14ac:dyDescent="0.2">
      <c r="A578" t="s">
        <v>2334</v>
      </c>
      <c r="B578" t="s">
        <v>2335</v>
      </c>
      <c r="C578" t="s">
        <v>1177</v>
      </c>
      <c r="D578" t="s">
        <v>1595</v>
      </c>
      <c r="E578" t="s">
        <v>1177</v>
      </c>
    </row>
    <row r="579" spans="1:5" x14ac:dyDescent="0.2">
      <c r="A579" t="s">
        <v>2336</v>
      </c>
      <c r="B579" t="s">
        <v>2337</v>
      </c>
      <c r="C579" t="s">
        <v>1177</v>
      </c>
      <c r="D579" t="s">
        <v>1595</v>
      </c>
      <c r="E579" t="s">
        <v>1177</v>
      </c>
    </row>
    <row r="580" spans="1:5" x14ac:dyDescent="0.2">
      <c r="A580" t="s">
        <v>2338</v>
      </c>
      <c r="B580" t="s">
        <v>2339</v>
      </c>
      <c r="C580" t="s">
        <v>1177</v>
      </c>
      <c r="D580" t="s">
        <v>1595</v>
      </c>
      <c r="E580" t="s">
        <v>1177</v>
      </c>
    </row>
    <row r="581" spans="1:5" x14ac:dyDescent="0.2">
      <c r="A581" t="s">
        <v>2340</v>
      </c>
      <c r="B581" t="s">
        <v>2341</v>
      </c>
      <c r="C581" t="s">
        <v>1177</v>
      </c>
      <c r="D581" t="s">
        <v>1595</v>
      </c>
      <c r="E581" t="s">
        <v>1177</v>
      </c>
    </row>
    <row r="582" spans="1:5" x14ac:dyDescent="0.2">
      <c r="A582" t="s">
        <v>2342</v>
      </c>
      <c r="B582" t="s">
        <v>2343</v>
      </c>
      <c r="C582" t="s">
        <v>1177</v>
      </c>
      <c r="D582" t="s">
        <v>1595</v>
      </c>
      <c r="E582" t="s">
        <v>1177</v>
      </c>
    </row>
    <row r="583" spans="1:5" x14ac:dyDescent="0.2">
      <c r="A583" t="s">
        <v>2344</v>
      </c>
      <c r="B583" t="s">
        <v>2345</v>
      </c>
      <c r="C583" t="s">
        <v>1177</v>
      </c>
      <c r="D583" t="s">
        <v>1595</v>
      </c>
      <c r="E583" t="s">
        <v>1177</v>
      </c>
    </row>
    <row r="584" spans="1:5" x14ac:dyDescent="0.2">
      <c r="A584" t="s">
        <v>2346</v>
      </c>
      <c r="B584" t="s">
        <v>2347</v>
      </c>
      <c r="C584" t="s">
        <v>1177</v>
      </c>
      <c r="D584" t="s">
        <v>1595</v>
      </c>
      <c r="E584" t="s">
        <v>1177</v>
      </c>
    </row>
    <row r="585" spans="1:5" x14ac:dyDescent="0.2">
      <c r="A585" t="s">
        <v>2348</v>
      </c>
      <c r="B585" t="s">
        <v>2349</v>
      </c>
      <c r="C585" t="s">
        <v>1177</v>
      </c>
      <c r="D585" t="s">
        <v>1595</v>
      </c>
      <c r="E585" t="s">
        <v>1177</v>
      </c>
    </row>
    <row r="586" spans="1:5" x14ac:dyDescent="0.2">
      <c r="A586" t="s">
        <v>2350</v>
      </c>
      <c r="B586" t="s">
        <v>2351</v>
      </c>
      <c r="C586" t="s">
        <v>1177</v>
      </c>
      <c r="D586" t="s">
        <v>1595</v>
      </c>
      <c r="E586" t="s">
        <v>1177</v>
      </c>
    </row>
    <row r="587" spans="1:5" x14ac:dyDescent="0.2">
      <c r="A587" t="s">
        <v>2352</v>
      </c>
      <c r="B587" t="s">
        <v>2353</v>
      </c>
      <c r="C587" t="s">
        <v>1177</v>
      </c>
      <c r="D587" t="s">
        <v>1595</v>
      </c>
      <c r="E587" t="s">
        <v>1177</v>
      </c>
    </row>
    <row r="588" spans="1:5" x14ac:dyDescent="0.2">
      <c r="A588" t="s">
        <v>2354</v>
      </c>
      <c r="B588" t="s">
        <v>2355</v>
      </c>
      <c r="C588" t="s">
        <v>1177</v>
      </c>
      <c r="D588" t="s">
        <v>1595</v>
      </c>
      <c r="E588" t="s">
        <v>1177</v>
      </c>
    </row>
    <row r="589" spans="1:5" x14ac:dyDescent="0.2">
      <c r="A589" t="s">
        <v>2356</v>
      </c>
      <c r="B589" t="s">
        <v>2357</v>
      </c>
      <c r="C589" t="s">
        <v>1177</v>
      </c>
      <c r="D589" t="s">
        <v>1595</v>
      </c>
      <c r="E589" t="s">
        <v>1177</v>
      </c>
    </row>
    <row r="590" spans="1:5" x14ac:dyDescent="0.2">
      <c r="A590" t="s">
        <v>2358</v>
      </c>
      <c r="B590" t="s">
        <v>2359</v>
      </c>
      <c r="C590" t="s">
        <v>1177</v>
      </c>
      <c r="D590" t="s">
        <v>1595</v>
      </c>
      <c r="E590" t="s">
        <v>1177</v>
      </c>
    </row>
    <row r="591" spans="1:5" x14ac:dyDescent="0.2">
      <c r="A591" t="s">
        <v>2360</v>
      </c>
      <c r="B591" t="s">
        <v>2361</v>
      </c>
      <c r="C591" t="s">
        <v>1177</v>
      </c>
      <c r="D591" t="s">
        <v>1595</v>
      </c>
      <c r="E591" t="s">
        <v>1177</v>
      </c>
    </row>
    <row r="592" spans="1:5" x14ac:dyDescent="0.2">
      <c r="A592" t="s">
        <v>2362</v>
      </c>
      <c r="B592" t="s">
        <v>2363</v>
      </c>
      <c r="C592" t="s">
        <v>1177</v>
      </c>
      <c r="D592" t="s">
        <v>1595</v>
      </c>
      <c r="E592" t="s">
        <v>1177</v>
      </c>
    </row>
    <row r="593" spans="1:5" x14ac:dyDescent="0.2">
      <c r="A593" t="s">
        <v>2364</v>
      </c>
      <c r="B593" t="s">
        <v>2365</v>
      </c>
      <c r="C593" t="s">
        <v>1177</v>
      </c>
      <c r="D593" t="s">
        <v>1595</v>
      </c>
      <c r="E593" t="s">
        <v>1177</v>
      </c>
    </row>
    <row r="594" spans="1:5" x14ac:dyDescent="0.2">
      <c r="A594" t="s">
        <v>2366</v>
      </c>
      <c r="B594" t="s">
        <v>2367</v>
      </c>
      <c r="C594" t="s">
        <v>1177</v>
      </c>
      <c r="D594" t="s">
        <v>1595</v>
      </c>
      <c r="E594" t="s">
        <v>1177</v>
      </c>
    </row>
    <row r="595" spans="1:5" x14ac:dyDescent="0.2">
      <c r="A595" t="s">
        <v>2368</v>
      </c>
      <c r="B595" t="s">
        <v>2369</v>
      </c>
      <c r="C595" t="s">
        <v>1177</v>
      </c>
      <c r="D595" t="s">
        <v>1595</v>
      </c>
      <c r="E595" t="s">
        <v>1177</v>
      </c>
    </row>
    <row r="596" spans="1:5" x14ac:dyDescent="0.2">
      <c r="A596" t="s">
        <v>2370</v>
      </c>
      <c r="B596" t="s">
        <v>2371</v>
      </c>
      <c r="C596" t="s">
        <v>1177</v>
      </c>
      <c r="D596" t="s">
        <v>1595</v>
      </c>
      <c r="E596" t="s">
        <v>1177</v>
      </c>
    </row>
    <row r="597" spans="1:5" x14ac:dyDescent="0.2">
      <c r="A597" t="s">
        <v>2372</v>
      </c>
      <c r="B597" t="s">
        <v>2373</v>
      </c>
      <c r="C597" t="s">
        <v>1177</v>
      </c>
      <c r="D597" t="s">
        <v>1595</v>
      </c>
      <c r="E597" t="s">
        <v>1177</v>
      </c>
    </row>
    <row r="598" spans="1:5" x14ac:dyDescent="0.2">
      <c r="A598" t="s">
        <v>2374</v>
      </c>
      <c r="B598" t="s">
        <v>2375</v>
      </c>
      <c r="C598" t="s">
        <v>1177</v>
      </c>
      <c r="D598" t="s">
        <v>1595</v>
      </c>
      <c r="E598" t="s">
        <v>1177</v>
      </c>
    </row>
    <row r="599" spans="1:5" x14ac:dyDescent="0.2">
      <c r="A599" t="s">
        <v>2376</v>
      </c>
      <c r="B599" t="s">
        <v>2377</v>
      </c>
      <c r="C599" t="s">
        <v>1177</v>
      </c>
      <c r="D599" t="s">
        <v>1595</v>
      </c>
      <c r="E599" t="s">
        <v>1177</v>
      </c>
    </row>
    <row r="600" spans="1:5" x14ac:dyDescent="0.2">
      <c r="A600" t="s">
        <v>2378</v>
      </c>
      <c r="B600" t="s">
        <v>2379</v>
      </c>
      <c r="C600" t="s">
        <v>1177</v>
      </c>
      <c r="D600" t="s">
        <v>1595</v>
      </c>
      <c r="E600" t="s">
        <v>1177</v>
      </c>
    </row>
    <row r="601" spans="1:5" x14ac:dyDescent="0.2">
      <c r="A601" t="s">
        <v>2380</v>
      </c>
      <c r="B601" t="s">
        <v>2381</v>
      </c>
      <c r="C601" t="s">
        <v>1177</v>
      </c>
      <c r="D601" t="s">
        <v>1595</v>
      </c>
      <c r="E601" t="s">
        <v>1177</v>
      </c>
    </row>
    <row r="602" spans="1:5" x14ac:dyDescent="0.2">
      <c r="A602" t="s">
        <v>2382</v>
      </c>
      <c r="B602" t="s">
        <v>2383</v>
      </c>
      <c r="C602" t="s">
        <v>1177</v>
      </c>
      <c r="D602" t="s">
        <v>1595</v>
      </c>
      <c r="E602" t="s">
        <v>1177</v>
      </c>
    </row>
    <row r="603" spans="1:5" x14ac:dyDescent="0.2">
      <c r="A603" t="s">
        <v>2384</v>
      </c>
      <c r="B603" t="s">
        <v>2385</v>
      </c>
      <c r="C603" t="s">
        <v>1177</v>
      </c>
      <c r="D603" t="s">
        <v>1595</v>
      </c>
      <c r="E603" t="s">
        <v>1177</v>
      </c>
    </row>
    <row r="604" spans="1:5" x14ac:dyDescent="0.2">
      <c r="A604" t="s">
        <v>2386</v>
      </c>
      <c r="B604" t="s">
        <v>2387</v>
      </c>
      <c r="C604" t="s">
        <v>1177</v>
      </c>
      <c r="D604" t="s">
        <v>1595</v>
      </c>
      <c r="E604" t="s">
        <v>1177</v>
      </c>
    </row>
    <row r="605" spans="1:5" x14ac:dyDescent="0.2">
      <c r="A605" t="s">
        <v>2388</v>
      </c>
      <c r="B605" t="s">
        <v>2389</v>
      </c>
      <c r="C605" t="s">
        <v>1177</v>
      </c>
      <c r="D605" t="s">
        <v>1595</v>
      </c>
      <c r="E605" t="s">
        <v>1177</v>
      </c>
    </row>
    <row r="606" spans="1:5" x14ac:dyDescent="0.2">
      <c r="A606" t="s">
        <v>2390</v>
      </c>
      <c r="B606" t="s">
        <v>2391</v>
      </c>
      <c r="C606" t="s">
        <v>1177</v>
      </c>
      <c r="D606" t="s">
        <v>1595</v>
      </c>
      <c r="E606" t="s">
        <v>1177</v>
      </c>
    </row>
    <row r="607" spans="1:5" x14ac:dyDescent="0.2">
      <c r="A607" t="s">
        <v>2392</v>
      </c>
      <c r="B607" t="s">
        <v>2393</v>
      </c>
      <c r="C607" t="s">
        <v>1177</v>
      </c>
      <c r="D607" t="s">
        <v>1595</v>
      </c>
      <c r="E607" t="s">
        <v>1177</v>
      </c>
    </row>
    <row r="608" spans="1:5" x14ac:dyDescent="0.2">
      <c r="A608" t="s">
        <v>2394</v>
      </c>
      <c r="B608" t="s">
        <v>2395</v>
      </c>
      <c r="C608" t="s">
        <v>1177</v>
      </c>
      <c r="D608" t="s">
        <v>1595</v>
      </c>
      <c r="E608" t="s">
        <v>1177</v>
      </c>
    </row>
    <row r="609" spans="1:5" x14ac:dyDescent="0.2">
      <c r="A609" t="s">
        <v>2396</v>
      </c>
      <c r="B609" t="s">
        <v>2397</v>
      </c>
      <c r="C609" t="s">
        <v>1177</v>
      </c>
      <c r="D609" t="s">
        <v>1595</v>
      </c>
      <c r="E609" t="s">
        <v>1177</v>
      </c>
    </row>
    <row r="610" spans="1:5" x14ac:dyDescent="0.2">
      <c r="A610" t="s">
        <v>2398</v>
      </c>
      <c r="B610" t="s">
        <v>2399</v>
      </c>
      <c r="C610" t="s">
        <v>1177</v>
      </c>
      <c r="D610" t="s">
        <v>1595</v>
      </c>
      <c r="E610" t="s">
        <v>1177</v>
      </c>
    </row>
    <row r="611" spans="1:5" x14ac:dyDescent="0.2">
      <c r="A611" t="s">
        <v>2400</v>
      </c>
      <c r="B611" t="s">
        <v>2401</v>
      </c>
      <c r="C611" t="s">
        <v>1177</v>
      </c>
      <c r="D611" t="s">
        <v>1595</v>
      </c>
      <c r="E611" t="s">
        <v>1177</v>
      </c>
    </row>
    <row r="612" spans="1:5" x14ac:dyDescent="0.2">
      <c r="A612" t="s">
        <v>2402</v>
      </c>
      <c r="B612" t="s">
        <v>2403</v>
      </c>
      <c r="C612" t="s">
        <v>1177</v>
      </c>
      <c r="D612" t="s">
        <v>1595</v>
      </c>
      <c r="E612" t="s">
        <v>1177</v>
      </c>
    </row>
    <row r="613" spans="1:5" x14ac:dyDescent="0.2">
      <c r="A613" t="s">
        <v>2404</v>
      </c>
      <c r="B613" t="s">
        <v>2405</v>
      </c>
      <c r="C613" t="s">
        <v>1177</v>
      </c>
      <c r="D613" t="s">
        <v>1595</v>
      </c>
      <c r="E613" t="s">
        <v>1177</v>
      </c>
    </row>
    <row r="614" spans="1:5" x14ac:dyDescent="0.2">
      <c r="A614" t="s">
        <v>2406</v>
      </c>
      <c r="B614" t="s">
        <v>2407</v>
      </c>
      <c r="C614" t="s">
        <v>1177</v>
      </c>
      <c r="D614" t="s">
        <v>1595</v>
      </c>
      <c r="E614" t="s">
        <v>1177</v>
      </c>
    </row>
    <row r="615" spans="1:5" x14ac:dyDescent="0.2">
      <c r="A615" t="s">
        <v>2408</v>
      </c>
      <c r="B615" t="s">
        <v>2409</v>
      </c>
      <c r="C615" t="s">
        <v>1177</v>
      </c>
      <c r="D615" t="s">
        <v>1595</v>
      </c>
      <c r="E615" t="s">
        <v>1177</v>
      </c>
    </row>
    <row r="616" spans="1:5" x14ac:dyDescent="0.2">
      <c r="A616" t="s">
        <v>2410</v>
      </c>
      <c r="B616" t="s">
        <v>2411</v>
      </c>
      <c r="C616" t="s">
        <v>1177</v>
      </c>
      <c r="D616" t="s">
        <v>1595</v>
      </c>
      <c r="E616" t="s">
        <v>1177</v>
      </c>
    </row>
    <row r="617" spans="1:5" x14ac:dyDescent="0.2">
      <c r="A617" t="s">
        <v>2412</v>
      </c>
      <c r="B617" t="s">
        <v>2413</v>
      </c>
      <c r="C617" t="s">
        <v>1177</v>
      </c>
      <c r="D617" t="s">
        <v>1595</v>
      </c>
      <c r="E617" t="s">
        <v>1177</v>
      </c>
    </row>
    <row r="618" spans="1:5" x14ac:dyDescent="0.2">
      <c r="A618" t="s">
        <v>2414</v>
      </c>
      <c r="B618" t="s">
        <v>2415</v>
      </c>
      <c r="C618" t="s">
        <v>1177</v>
      </c>
      <c r="D618" t="s">
        <v>1595</v>
      </c>
      <c r="E618" t="s">
        <v>1177</v>
      </c>
    </row>
    <row r="619" spans="1:5" x14ac:dyDescent="0.2">
      <c r="A619" t="s">
        <v>2416</v>
      </c>
      <c r="B619" t="s">
        <v>2417</v>
      </c>
      <c r="C619" t="s">
        <v>1177</v>
      </c>
      <c r="D619" t="s">
        <v>1595</v>
      </c>
      <c r="E619" t="s">
        <v>1177</v>
      </c>
    </row>
    <row r="620" spans="1:5" x14ac:dyDescent="0.2">
      <c r="A620" t="s">
        <v>2418</v>
      </c>
      <c r="B620" t="s">
        <v>2419</v>
      </c>
      <c r="C620" t="s">
        <v>1177</v>
      </c>
      <c r="D620" t="s">
        <v>1595</v>
      </c>
      <c r="E620" t="s">
        <v>1177</v>
      </c>
    </row>
    <row r="621" spans="1:5" x14ac:dyDescent="0.2">
      <c r="A621" t="s">
        <v>2420</v>
      </c>
      <c r="B621" t="s">
        <v>2421</v>
      </c>
      <c r="C621" t="s">
        <v>1177</v>
      </c>
      <c r="D621" t="s">
        <v>1595</v>
      </c>
      <c r="E621" t="s">
        <v>1177</v>
      </c>
    </row>
    <row r="622" spans="1:5" x14ac:dyDescent="0.2">
      <c r="A622" t="s">
        <v>2422</v>
      </c>
      <c r="B622" t="s">
        <v>2423</v>
      </c>
      <c r="C622" t="s">
        <v>1177</v>
      </c>
      <c r="D622" t="s">
        <v>1595</v>
      </c>
      <c r="E622" t="s">
        <v>1177</v>
      </c>
    </row>
    <row r="623" spans="1:5" x14ac:dyDescent="0.2">
      <c r="A623" t="s">
        <v>2424</v>
      </c>
      <c r="B623" t="s">
        <v>2425</v>
      </c>
      <c r="C623" t="s">
        <v>1177</v>
      </c>
      <c r="D623" t="s">
        <v>1595</v>
      </c>
      <c r="E623" t="s">
        <v>1177</v>
      </c>
    </row>
    <row r="624" spans="1:5" x14ac:dyDescent="0.2">
      <c r="A624" t="s">
        <v>2426</v>
      </c>
      <c r="B624" t="s">
        <v>2427</v>
      </c>
      <c r="C624" t="s">
        <v>1177</v>
      </c>
      <c r="D624" t="s">
        <v>1595</v>
      </c>
      <c r="E624" t="s">
        <v>1177</v>
      </c>
    </row>
    <row r="625" spans="1:5" x14ac:dyDescent="0.2">
      <c r="A625" t="s">
        <v>2428</v>
      </c>
      <c r="B625" t="s">
        <v>2429</v>
      </c>
      <c r="C625" t="s">
        <v>1177</v>
      </c>
      <c r="D625" t="s">
        <v>1595</v>
      </c>
      <c r="E625" t="s">
        <v>1177</v>
      </c>
    </row>
    <row r="626" spans="1:5" x14ac:dyDescent="0.2">
      <c r="A626" t="s">
        <v>2430</v>
      </c>
      <c r="B626" t="s">
        <v>2431</v>
      </c>
      <c r="C626" t="s">
        <v>1177</v>
      </c>
      <c r="D626" t="s">
        <v>1595</v>
      </c>
      <c r="E626" t="s">
        <v>1177</v>
      </c>
    </row>
    <row r="627" spans="1:5" x14ac:dyDescent="0.2">
      <c r="A627" t="s">
        <v>2432</v>
      </c>
      <c r="B627" t="s">
        <v>2433</v>
      </c>
      <c r="C627" t="s">
        <v>1177</v>
      </c>
      <c r="D627" t="s">
        <v>1595</v>
      </c>
      <c r="E627" t="s">
        <v>1177</v>
      </c>
    </row>
    <row r="628" spans="1:5" x14ac:dyDescent="0.2">
      <c r="A628" t="s">
        <v>2434</v>
      </c>
      <c r="B628" t="s">
        <v>2435</v>
      </c>
      <c r="C628" t="s">
        <v>1177</v>
      </c>
      <c r="D628" t="s">
        <v>1595</v>
      </c>
      <c r="E628" t="s">
        <v>1177</v>
      </c>
    </row>
    <row r="629" spans="1:5" x14ac:dyDescent="0.2">
      <c r="A629" t="s">
        <v>2436</v>
      </c>
      <c r="B629" t="s">
        <v>2437</v>
      </c>
      <c r="C629" t="s">
        <v>1177</v>
      </c>
      <c r="D629" t="s">
        <v>1595</v>
      </c>
      <c r="E629" t="s">
        <v>1177</v>
      </c>
    </row>
    <row r="630" spans="1:5" x14ac:dyDescent="0.2">
      <c r="A630" t="s">
        <v>2438</v>
      </c>
      <c r="B630" t="s">
        <v>2439</v>
      </c>
      <c r="C630" t="s">
        <v>1177</v>
      </c>
      <c r="D630" t="s">
        <v>1595</v>
      </c>
      <c r="E630" t="s">
        <v>1177</v>
      </c>
    </row>
    <row r="631" spans="1:5" x14ac:dyDescent="0.2">
      <c r="A631" t="s">
        <v>2440</v>
      </c>
      <c r="B631" t="s">
        <v>2441</v>
      </c>
      <c r="C631" t="s">
        <v>1177</v>
      </c>
      <c r="D631" t="s">
        <v>1595</v>
      </c>
      <c r="E631" t="s">
        <v>1177</v>
      </c>
    </row>
    <row r="632" spans="1:5" x14ac:dyDescent="0.2">
      <c r="A632" t="s">
        <v>2442</v>
      </c>
      <c r="B632" t="s">
        <v>2443</v>
      </c>
      <c r="C632" t="s">
        <v>1177</v>
      </c>
      <c r="D632" t="s">
        <v>1595</v>
      </c>
      <c r="E632" t="s">
        <v>1177</v>
      </c>
    </row>
    <row r="633" spans="1:5" x14ac:dyDescent="0.2">
      <c r="A633" t="s">
        <v>2444</v>
      </c>
      <c r="B633" t="s">
        <v>2445</v>
      </c>
      <c r="C633" t="s">
        <v>1177</v>
      </c>
      <c r="D633" t="s">
        <v>1595</v>
      </c>
      <c r="E633" t="s">
        <v>1177</v>
      </c>
    </row>
    <row r="634" spans="1:5" x14ac:dyDescent="0.2">
      <c r="A634" t="s">
        <v>2446</v>
      </c>
      <c r="B634" t="s">
        <v>2447</v>
      </c>
      <c r="C634" t="s">
        <v>1177</v>
      </c>
      <c r="D634" t="s">
        <v>1595</v>
      </c>
      <c r="E634" t="s">
        <v>1177</v>
      </c>
    </row>
    <row r="635" spans="1:5" x14ac:dyDescent="0.2">
      <c r="A635" t="s">
        <v>2448</v>
      </c>
      <c r="B635" t="s">
        <v>2449</v>
      </c>
      <c r="C635" t="s">
        <v>1177</v>
      </c>
      <c r="D635" t="s">
        <v>1595</v>
      </c>
      <c r="E635" t="s">
        <v>1177</v>
      </c>
    </row>
    <row r="636" spans="1:5" x14ac:dyDescent="0.2">
      <c r="A636" t="s">
        <v>2450</v>
      </c>
      <c r="B636" t="s">
        <v>2451</v>
      </c>
      <c r="C636" t="s">
        <v>1177</v>
      </c>
      <c r="D636" t="s">
        <v>1595</v>
      </c>
      <c r="E636" t="s">
        <v>1177</v>
      </c>
    </row>
    <row r="637" spans="1:5" x14ac:dyDescent="0.2">
      <c r="A637" t="s">
        <v>2452</v>
      </c>
      <c r="B637" t="s">
        <v>2453</v>
      </c>
      <c r="C637" t="s">
        <v>1177</v>
      </c>
      <c r="D637" t="s">
        <v>1595</v>
      </c>
      <c r="E637" t="s">
        <v>1177</v>
      </c>
    </row>
    <row r="638" spans="1:5" x14ac:dyDescent="0.2">
      <c r="A638" t="s">
        <v>2454</v>
      </c>
      <c r="B638" t="s">
        <v>2455</v>
      </c>
      <c r="C638" t="s">
        <v>1177</v>
      </c>
      <c r="D638" t="s">
        <v>1595</v>
      </c>
      <c r="E638" t="s">
        <v>1177</v>
      </c>
    </row>
    <row r="639" spans="1:5" x14ac:dyDescent="0.2">
      <c r="A639" t="s">
        <v>2456</v>
      </c>
      <c r="B639" t="s">
        <v>2457</v>
      </c>
      <c r="C639" t="s">
        <v>1177</v>
      </c>
      <c r="D639" t="s">
        <v>1595</v>
      </c>
      <c r="E639" t="s">
        <v>1177</v>
      </c>
    </row>
    <row r="640" spans="1:5" x14ac:dyDescent="0.2">
      <c r="A640" t="s">
        <v>2458</v>
      </c>
      <c r="B640" t="s">
        <v>2459</v>
      </c>
      <c r="C640" t="s">
        <v>1177</v>
      </c>
      <c r="D640" t="s">
        <v>1595</v>
      </c>
      <c r="E640" t="s">
        <v>1177</v>
      </c>
    </row>
    <row r="641" spans="1:5" x14ac:dyDescent="0.2">
      <c r="A641" t="s">
        <v>2460</v>
      </c>
      <c r="B641" t="s">
        <v>2461</v>
      </c>
      <c r="C641" t="s">
        <v>1177</v>
      </c>
      <c r="D641" t="s">
        <v>1595</v>
      </c>
      <c r="E641" t="s">
        <v>1177</v>
      </c>
    </row>
    <row r="642" spans="1:5" x14ac:dyDescent="0.2">
      <c r="A642" t="s">
        <v>2462</v>
      </c>
      <c r="B642" t="s">
        <v>2463</v>
      </c>
      <c r="C642" t="s">
        <v>1177</v>
      </c>
      <c r="D642" t="s">
        <v>1595</v>
      </c>
      <c r="E642" t="s">
        <v>1177</v>
      </c>
    </row>
    <row r="643" spans="1:5" x14ac:dyDescent="0.2">
      <c r="A643" t="s">
        <v>2464</v>
      </c>
      <c r="B643" t="s">
        <v>2465</v>
      </c>
      <c r="C643" t="s">
        <v>1177</v>
      </c>
      <c r="D643" t="s">
        <v>1595</v>
      </c>
      <c r="E643" t="s">
        <v>1177</v>
      </c>
    </row>
    <row r="644" spans="1:5" x14ac:dyDescent="0.2">
      <c r="A644" t="s">
        <v>2466</v>
      </c>
      <c r="B644" t="s">
        <v>2467</v>
      </c>
      <c r="C644" t="s">
        <v>1177</v>
      </c>
      <c r="D644" t="s">
        <v>1595</v>
      </c>
      <c r="E644" t="s">
        <v>1177</v>
      </c>
    </row>
    <row r="645" spans="1:5" x14ac:dyDescent="0.2">
      <c r="A645" t="s">
        <v>2468</v>
      </c>
      <c r="B645" t="s">
        <v>2469</v>
      </c>
      <c r="C645" t="s">
        <v>1177</v>
      </c>
      <c r="D645" t="s">
        <v>1595</v>
      </c>
      <c r="E645" t="s">
        <v>1177</v>
      </c>
    </row>
    <row r="646" spans="1:5" x14ac:dyDescent="0.2">
      <c r="A646" t="s">
        <v>2470</v>
      </c>
      <c r="B646" t="s">
        <v>2471</v>
      </c>
      <c r="C646" t="s">
        <v>1177</v>
      </c>
      <c r="D646" t="s">
        <v>1595</v>
      </c>
      <c r="E646" t="s">
        <v>1177</v>
      </c>
    </row>
    <row r="647" spans="1:5" x14ac:dyDescent="0.2">
      <c r="A647" t="s">
        <v>2472</v>
      </c>
      <c r="B647" t="s">
        <v>2473</v>
      </c>
      <c r="C647" t="s">
        <v>1177</v>
      </c>
      <c r="D647" t="s">
        <v>1595</v>
      </c>
      <c r="E647" t="s">
        <v>1177</v>
      </c>
    </row>
    <row r="648" spans="1:5" x14ac:dyDescent="0.2">
      <c r="A648" t="s">
        <v>2474</v>
      </c>
      <c r="B648" t="s">
        <v>2475</v>
      </c>
      <c r="C648" t="s">
        <v>1177</v>
      </c>
      <c r="D648" t="s">
        <v>1595</v>
      </c>
      <c r="E648" t="s">
        <v>1177</v>
      </c>
    </row>
    <row r="649" spans="1:5" x14ac:dyDescent="0.2">
      <c r="A649" t="s">
        <v>2476</v>
      </c>
      <c r="B649" t="s">
        <v>2477</v>
      </c>
      <c r="C649" t="s">
        <v>1177</v>
      </c>
      <c r="D649" t="s">
        <v>1595</v>
      </c>
      <c r="E649" t="s">
        <v>1177</v>
      </c>
    </row>
    <row r="650" spans="1:5" x14ac:dyDescent="0.2">
      <c r="A650" t="s">
        <v>2478</v>
      </c>
      <c r="B650" t="s">
        <v>2479</v>
      </c>
      <c r="C650" t="s">
        <v>1177</v>
      </c>
      <c r="D650" t="s">
        <v>1595</v>
      </c>
      <c r="E650" t="s">
        <v>1177</v>
      </c>
    </row>
    <row r="651" spans="1:5" x14ac:dyDescent="0.2">
      <c r="A651" t="s">
        <v>2480</v>
      </c>
      <c r="B651" t="s">
        <v>2481</v>
      </c>
      <c r="C651" t="s">
        <v>1177</v>
      </c>
      <c r="D651" t="s">
        <v>1595</v>
      </c>
      <c r="E651" t="s">
        <v>1177</v>
      </c>
    </row>
    <row r="652" spans="1:5" x14ac:dyDescent="0.2">
      <c r="A652" t="s">
        <v>2482</v>
      </c>
      <c r="B652" t="s">
        <v>2483</v>
      </c>
      <c r="C652" t="s">
        <v>1177</v>
      </c>
      <c r="D652" t="s">
        <v>1595</v>
      </c>
      <c r="E652" t="s">
        <v>1177</v>
      </c>
    </row>
    <row r="653" spans="1:5" x14ac:dyDescent="0.2">
      <c r="A653" t="s">
        <v>2484</v>
      </c>
      <c r="B653" t="s">
        <v>2485</v>
      </c>
      <c r="C653" t="s">
        <v>1177</v>
      </c>
      <c r="D653" t="s">
        <v>1595</v>
      </c>
      <c r="E653" t="s">
        <v>1177</v>
      </c>
    </row>
    <row r="654" spans="1:5" x14ac:dyDescent="0.2">
      <c r="A654" t="s">
        <v>2486</v>
      </c>
      <c r="B654" t="s">
        <v>2487</v>
      </c>
      <c r="C654" t="s">
        <v>1177</v>
      </c>
      <c r="D654" t="s">
        <v>1595</v>
      </c>
      <c r="E654" t="s">
        <v>1177</v>
      </c>
    </row>
    <row r="655" spans="1:5" x14ac:dyDescent="0.2">
      <c r="A655" t="s">
        <v>2488</v>
      </c>
      <c r="B655" t="s">
        <v>2489</v>
      </c>
      <c r="C655" t="s">
        <v>1177</v>
      </c>
      <c r="D655" t="s">
        <v>1595</v>
      </c>
      <c r="E655" t="s">
        <v>1177</v>
      </c>
    </row>
    <row r="656" spans="1:5" x14ac:dyDescent="0.2">
      <c r="A656" t="s">
        <v>2490</v>
      </c>
      <c r="B656" t="s">
        <v>2491</v>
      </c>
      <c r="C656" t="s">
        <v>1177</v>
      </c>
      <c r="D656" t="s">
        <v>1595</v>
      </c>
      <c r="E656" t="s">
        <v>1177</v>
      </c>
    </row>
    <row r="657" spans="1:5" x14ac:dyDescent="0.2">
      <c r="A657" t="s">
        <v>2492</v>
      </c>
      <c r="B657" t="s">
        <v>2493</v>
      </c>
      <c r="C657" t="s">
        <v>1177</v>
      </c>
      <c r="D657" t="s">
        <v>1595</v>
      </c>
      <c r="E657" t="s">
        <v>1177</v>
      </c>
    </row>
    <row r="658" spans="1:5" x14ac:dyDescent="0.2">
      <c r="A658" t="s">
        <v>2494</v>
      </c>
      <c r="B658" t="s">
        <v>2495</v>
      </c>
      <c r="C658" t="s">
        <v>1177</v>
      </c>
      <c r="D658" t="s">
        <v>1595</v>
      </c>
      <c r="E658" t="s">
        <v>1177</v>
      </c>
    </row>
    <row r="659" spans="1:5" x14ac:dyDescent="0.2">
      <c r="A659" t="s">
        <v>2496</v>
      </c>
      <c r="B659" t="s">
        <v>2497</v>
      </c>
      <c r="C659" t="s">
        <v>1177</v>
      </c>
      <c r="D659" t="s">
        <v>1595</v>
      </c>
      <c r="E659" t="s">
        <v>1177</v>
      </c>
    </row>
    <row r="660" spans="1:5" x14ac:dyDescent="0.2">
      <c r="A660" t="s">
        <v>2498</v>
      </c>
      <c r="B660" t="s">
        <v>2499</v>
      </c>
      <c r="C660" t="s">
        <v>1177</v>
      </c>
      <c r="D660" t="s">
        <v>1595</v>
      </c>
      <c r="E660" t="s">
        <v>1177</v>
      </c>
    </row>
    <row r="661" spans="1:5" x14ac:dyDescent="0.2">
      <c r="A661" t="s">
        <v>2500</v>
      </c>
      <c r="B661" t="s">
        <v>2501</v>
      </c>
      <c r="C661" t="s">
        <v>1177</v>
      </c>
      <c r="D661" t="s">
        <v>1595</v>
      </c>
      <c r="E661" t="s">
        <v>1177</v>
      </c>
    </row>
    <row r="662" spans="1:5" x14ac:dyDescent="0.2">
      <c r="A662" t="s">
        <v>2502</v>
      </c>
      <c r="B662" t="s">
        <v>2503</v>
      </c>
      <c r="C662" t="s">
        <v>1177</v>
      </c>
      <c r="D662" t="s">
        <v>1595</v>
      </c>
      <c r="E662" t="s">
        <v>1177</v>
      </c>
    </row>
    <row r="663" spans="1:5" x14ac:dyDescent="0.2">
      <c r="A663" t="s">
        <v>2504</v>
      </c>
      <c r="B663" t="s">
        <v>2505</v>
      </c>
      <c r="C663" t="s">
        <v>1177</v>
      </c>
      <c r="D663" t="s">
        <v>1595</v>
      </c>
      <c r="E663" t="s">
        <v>1177</v>
      </c>
    </row>
    <row r="664" spans="1:5" x14ac:dyDescent="0.2">
      <c r="A664" t="s">
        <v>2506</v>
      </c>
      <c r="B664" t="s">
        <v>2507</v>
      </c>
      <c r="C664" t="s">
        <v>1177</v>
      </c>
      <c r="D664" t="s">
        <v>1595</v>
      </c>
      <c r="E664" t="s">
        <v>1177</v>
      </c>
    </row>
    <row r="665" spans="1:5" x14ac:dyDescent="0.2">
      <c r="A665" t="s">
        <v>2508</v>
      </c>
      <c r="B665" t="s">
        <v>2509</v>
      </c>
      <c r="C665" t="s">
        <v>1177</v>
      </c>
      <c r="D665" t="s">
        <v>1595</v>
      </c>
      <c r="E665" t="s">
        <v>1177</v>
      </c>
    </row>
    <row r="666" spans="1:5" x14ac:dyDescent="0.2">
      <c r="A666" t="s">
        <v>2510</v>
      </c>
      <c r="B666" t="s">
        <v>2511</v>
      </c>
      <c r="C666" t="s">
        <v>1177</v>
      </c>
      <c r="D666" t="s">
        <v>1595</v>
      </c>
      <c r="E666" t="s">
        <v>1177</v>
      </c>
    </row>
    <row r="667" spans="1:5" x14ac:dyDescent="0.2">
      <c r="A667" t="s">
        <v>2512</v>
      </c>
      <c r="B667" t="s">
        <v>2513</v>
      </c>
      <c r="C667" t="s">
        <v>1177</v>
      </c>
      <c r="D667" t="s">
        <v>1595</v>
      </c>
      <c r="E667" t="s">
        <v>1177</v>
      </c>
    </row>
    <row r="668" spans="1:5" x14ac:dyDescent="0.2">
      <c r="A668" t="s">
        <v>2514</v>
      </c>
      <c r="B668" t="s">
        <v>2515</v>
      </c>
      <c r="C668" t="s">
        <v>1177</v>
      </c>
      <c r="D668" t="s">
        <v>1595</v>
      </c>
      <c r="E668" t="s">
        <v>1177</v>
      </c>
    </row>
    <row r="669" spans="1:5" x14ac:dyDescent="0.2">
      <c r="A669" t="s">
        <v>2516</v>
      </c>
      <c r="B669" t="s">
        <v>2517</v>
      </c>
      <c r="C669" t="s">
        <v>1177</v>
      </c>
      <c r="D669" t="s">
        <v>1595</v>
      </c>
      <c r="E669" t="s">
        <v>1177</v>
      </c>
    </row>
    <row r="670" spans="1:5" x14ac:dyDescent="0.2">
      <c r="A670" t="s">
        <v>2518</v>
      </c>
      <c r="B670" t="s">
        <v>2519</v>
      </c>
      <c r="C670" t="s">
        <v>1177</v>
      </c>
      <c r="D670" t="s">
        <v>1595</v>
      </c>
      <c r="E670" t="s">
        <v>1177</v>
      </c>
    </row>
    <row r="671" spans="1:5" x14ac:dyDescent="0.2">
      <c r="A671" t="s">
        <v>2520</v>
      </c>
      <c r="B671" t="s">
        <v>2521</v>
      </c>
      <c r="C671" t="s">
        <v>1177</v>
      </c>
      <c r="D671" t="s">
        <v>1595</v>
      </c>
      <c r="E671" t="s">
        <v>1177</v>
      </c>
    </row>
    <row r="672" spans="1:5" x14ac:dyDescent="0.2">
      <c r="A672" t="s">
        <v>2522</v>
      </c>
      <c r="B672" t="s">
        <v>2523</v>
      </c>
      <c r="C672" t="s">
        <v>1177</v>
      </c>
      <c r="D672" t="s">
        <v>1595</v>
      </c>
      <c r="E672" t="s">
        <v>1177</v>
      </c>
    </row>
    <row r="673" spans="1:5" x14ac:dyDescent="0.2">
      <c r="A673" t="s">
        <v>2524</v>
      </c>
      <c r="B673" t="s">
        <v>2525</v>
      </c>
      <c r="C673" t="s">
        <v>1177</v>
      </c>
      <c r="D673" t="s">
        <v>1595</v>
      </c>
      <c r="E673" t="s">
        <v>1177</v>
      </c>
    </row>
    <row r="674" spans="1:5" x14ac:dyDescent="0.2">
      <c r="A674" t="s">
        <v>2526</v>
      </c>
      <c r="B674" t="s">
        <v>2527</v>
      </c>
      <c r="C674" t="s">
        <v>1177</v>
      </c>
      <c r="D674" t="s">
        <v>1595</v>
      </c>
      <c r="E674" t="s">
        <v>1177</v>
      </c>
    </row>
    <row r="675" spans="1:5" x14ac:dyDescent="0.2">
      <c r="A675" t="s">
        <v>2528</v>
      </c>
      <c r="B675" t="s">
        <v>2529</v>
      </c>
      <c r="C675" t="s">
        <v>1177</v>
      </c>
      <c r="D675" t="s">
        <v>1595</v>
      </c>
      <c r="E675" t="s">
        <v>1177</v>
      </c>
    </row>
    <row r="676" spans="1:5" x14ac:dyDescent="0.2">
      <c r="A676" t="s">
        <v>2530</v>
      </c>
      <c r="B676" t="s">
        <v>2531</v>
      </c>
      <c r="C676" t="s">
        <v>1177</v>
      </c>
      <c r="D676" t="s">
        <v>1595</v>
      </c>
      <c r="E676" t="s">
        <v>1177</v>
      </c>
    </row>
    <row r="677" spans="1:5" x14ac:dyDescent="0.2">
      <c r="A677" t="s">
        <v>2532</v>
      </c>
      <c r="B677" t="s">
        <v>2533</v>
      </c>
      <c r="C677" t="s">
        <v>1177</v>
      </c>
      <c r="D677" t="s">
        <v>1595</v>
      </c>
      <c r="E677" t="s">
        <v>1177</v>
      </c>
    </row>
    <row r="678" spans="1:5" x14ac:dyDescent="0.2">
      <c r="A678" t="s">
        <v>2534</v>
      </c>
      <c r="B678" t="s">
        <v>2535</v>
      </c>
      <c r="C678" t="s">
        <v>1177</v>
      </c>
      <c r="D678" t="s">
        <v>1595</v>
      </c>
      <c r="E678" t="s">
        <v>1177</v>
      </c>
    </row>
    <row r="679" spans="1:5" x14ac:dyDescent="0.2">
      <c r="A679" t="s">
        <v>2536</v>
      </c>
      <c r="B679" t="s">
        <v>2537</v>
      </c>
      <c r="C679" t="s">
        <v>1177</v>
      </c>
      <c r="D679" t="s">
        <v>1595</v>
      </c>
      <c r="E679" t="s">
        <v>1177</v>
      </c>
    </row>
    <row r="680" spans="1:5" x14ac:dyDescent="0.2">
      <c r="A680" t="s">
        <v>2538</v>
      </c>
      <c r="B680" t="s">
        <v>2539</v>
      </c>
      <c r="C680" t="s">
        <v>1177</v>
      </c>
      <c r="D680" t="s">
        <v>1595</v>
      </c>
      <c r="E680" t="s">
        <v>1177</v>
      </c>
    </row>
    <row r="681" spans="1:5" x14ac:dyDescent="0.2">
      <c r="A681" t="s">
        <v>2540</v>
      </c>
      <c r="B681" t="s">
        <v>2541</v>
      </c>
      <c r="C681" t="s">
        <v>1177</v>
      </c>
      <c r="D681" t="s">
        <v>1595</v>
      </c>
      <c r="E681" t="s">
        <v>1177</v>
      </c>
    </row>
    <row r="682" spans="1:5" x14ac:dyDescent="0.2">
      <c r="A682" t="s">
        <v>2542</v>
      </c>
      <c r="B682" t="s">
        <v>2543</v>
      </c>
      <c r="C682" t="s">
        <v>1177</v>
      </c>
      <c r="D682" t="s">
        <v>1595</v>
      </c>
      <c r="E682" t="s">
        <v>1177</v>
      </c>
    </row>
    <row r="683" spans="1:5" x14ac:dyDescent="0.2">
      <c r="A683" t="s">
        <v>2544</v>
      </c>
      <c r="B683" t="s">
        <v>2545</v>
      </c>
      <c r="C683" t="s">
        <v>1177</v>
      </c>
      <c r="D683" t="s">
        <v>1595</v>
      </c>
      <c r="E683" t="s">
        <v>1177</v>
      </c>
    </row>
    <row r="684" spans="1:5" x14ac:dyDescent="0.2">
      <c r="A684" t="s">
        <v>2546</v>
      </c>
      <c r="B684" t="s">
        <v>2547</v>
      </c>
      <c r="C684" t="s">
        <v>1177</v>
      </c>
      <c r="D684" t="s">
        <v>1595</v>
      </c>
      <c r="E684" t="s">
        <v>1177</v>
      </c>
    </row>
    <row r="685" spans="1:5" x14ac:dyDescent="0.2">
      <c r="A685" t="s">
        <v>2548</v>
      </c>
      <c r="B685" t="s">
        <v>2549</v>
      </c>
      <c r="C685" t="s">
        <v>1177</v>
      </c>
      <c r="D685" t="s">
        <v>1595</v>
      </c>
      <c r="E685" t="s">
        <v>1177</v>
      </c>
    </row>
    <row r="686" spans="1:5" x14ac:dyDescent="0.2">
      <c r="A686" t="s">
        <v>2550</v>
      </c>
      <c r="B686" t="s">
        <v>2551</v>
      </c>
      <c r="C686" t="s">
        <v>1177</v>
      </c>
      <c r="D686" t="s">
        <v>1595</v>
      </c>
      <c r="E686" t="s">
        <v>1177</v>
      </c>
    </row>
    <row r="687" spans="1:5" x14ac:dyDescent="0.2">
      <c r="A687" t="s">
        <v>2552</v>
      </c>
      <c r="B687" t="s">
        <v>2553</v>
      </c>
      <c r="C687" t="s">
        <v>1177</v>
      </c>
      <c r="D687" t="s">
        <v>1595</v>
      </c>
      <c r="E687" t="s">
        <v>1177</v>
      </c>
    </row>
    <row r="688" spans="1:5" x14ac:dyDescent="0.2">
      <c r="A688" t="s">
        <v>2554</v>
      </c>
      <c r="B688" t="s">
        <v>2555</v>
      </c>
      <c r="C688" t="s">
        <v>1177</v>
      </c>
      <c r="D688" t="s">
        <v>1595</v>
      </c>
      <c r="E688" t="s">
        <v>1177</v>
      </c>
    </row>
    <row r="689" spans="1:5" x14ac:dyDescent="0.2">
      <c r="A689" t="s">
        <v>2556</v>
      </c>
      <c r="B689" t="s">
        <v>2557</v>
      </c>
      <c r="C689" t="s">
        <v>1177</v>
      </c>
      <c r="D689" t="s">
        <v>1595</v>
      </c>
      <c r="E689" t="s">
        <v>1177</v>
      </c>
    </row>
    <row r="690" spans="1:5" x14ac:dyDescent="0.2">
      <c r="A690" t="s">
        <v>2558</v>
      </c>
      <c r="B690" t="s">
        <v>2559</v>
      </c>
      <c r="C690" t="s">
        <v>1177</v>
      </c>
      <c r="D690" t="s">
        <v>1595</v>
      </c>
      <c r="E690" t="s">
        <v>1177</v>
      </c>
    </row>
    <row r="691" spans="1:5" x14ac:dyDescent="0.2">
      <c r="A691" t="s">
        <v>2560</v>
      </c>
      <c r="B691" t="s">
        <v>2561</v>
      </c>
      <c r="C691" t="s">
        <v>1177</v>
      </c>
      <c r="D691" t="s">
        <v>1595</v>
      </c>
      <c r="E691" t="s">
        <v>1177</v>
      </c>
    </row>
    <row r="692" spans="1:5" x14ac:dyDescent="0.2">
      <c r="A692" t="s">
        <v>2562</v>
      </c>
      <c r="B692" t="s">
        <v>2563</v>
      </c>
      <c r="C692" t="s">
        <v>1177</v>
      </c>
      <c r="D692" t="s">
        <v>1595</v>
      </c>
      <c r="E692" t="s">
        <v>1177</v>
      </c>
    </row>
    <row r="693" spans="1:5" x14ac:dyDescent="0.2">
      <c r="A693" t="s">
        <v>2564</v>
      </c>
      <c r="B693" t="s">
        <v>2565</v>
      </c>
      <c r="C693" t="s">
        <v>1177</v>
      </c>
      <c r="D693" t="s">
        <v>1595</v>
      </c>
      <c r="E693" t="s">
        <v>1177</v>
      </c>
    </row>
    <row r="694" spans="1:5" x14ac:dyDescent="0.2">
      <c r="A694" t="s">
        <v>2566</v>
      </c>
      <c r="B694" t="s">
        <v>2567</v>
      </c>
      <c r="C694" t="s">
        <v>1177</v>
      </c>
      <c r="D694" t="s">
        <v>1595</v>
      </c>
      <c r="E694" t="s">
        <v>1177</v>
      </c>
    </row>
    <row r="695" spans="1:5" x14ac:dyDescent="0.2">
      <c r="A695" t="s">
        <v>2568</v>
      </c>
      <c r="B695" t="s">
        <v>2569</v>
      </c>
      <c r="C695" t="s">
        <v>1177</v>
      </c>
      <c r="D695" t="s">
        <v>1595</v>
      </c>
      <c r="E695" t="s">
        <v>1177</v>
      </c>
    </row>
    <row r="696" spans="1:5" x14ac:dyDescent="0.2">
      <c r="A696" t="s">
        <v>2570</v>
      </c>
      <c r="B696" t="s">
        <v>2571</v>
      </c>
      <c r="C696" t="s">
        <v>1177</v>
      </c>
      <c r="D696" t="s">
        <v>1595</v>
      </c>
      <c r="E696" t="s">
        <v>1177</v>
      </c>
    </row>
    <row r="697" spans="1:5" x14ac:dyDescent="0.2">
      <c r="A697" t="s">
        <v>2572</v>
      </c>
      <c r="B697" t="s">
        <v>2573</v>
      </c>
      <c r="C697" t="s">
        <v>1177</v>
      </c>
      <c r="D697" t="s">
        <v>1595</v>
      </c>
      <c r="E697" t="s">
        <v>1177</v>
      </c>
    </row>
    <row r="698" spans="1:5" x14ac:dyDescent="0.2">
      <c r="A698" t="s">
        <v>2574</v>
      </c>
      <c r="B698" t="s">
        <v>2575</v>
      </c>
      <c r="C698" t="s">
        <v>1177</v>
      </c>
      <c r="D698" t="s">
        <v>1595</v>
      </c>
      <c r="E698" t="s">
        <v>1177</v>
      </c>
    </row>
    <row r="699" spans="1:5" x14ac:dyDescent="0.2">
      <c r="A699" t="s">
        <v>2576</v>
      </c>
      <c r="B699" t="s">
        <v>2577</v>
      </c>
      <c r="C699" t="s">
        <v>1177</v>
      </c>
      <c r="D699" t="s">
        <v>1595</v>
      </c>
      <c r="E699" t="s">
        <v>1177</v>
      </c>
    </row>
    <row r="700" spans="1:5" x14ac:dyDescent="0.2">
      <c r="A700" t="s">
        <v>2578</v>
      </c>
      <c r="B700" t="s">
        <v>2579</v>
      </c>
      <c r="C700" t="s">
        <v>1177</v>
      </c>
      <c r="D700" t="s">
        <v>1595</v>
      </c>
      <c r="E700" t="s">
        <v>1177</v>
      </c>
    </row>
    <row r="701" spans="1:5" x14ac:dyDescent="0.2">
      <c r="A701" t="s">
        <v>2580</v>
      </c>
      <c r="B701" t="s">
        <v>2581</v>
      </c>
      <c r="C701" t="s">
        <v>1177</v>
      </c>
      <c r="D701" t="s">
        <v>1595</v>
      </c>
      <c r="E701" t="s">
        <v>1177</v>
      </c>
    </row>
    <row r="702" spans="1:5" x14ac:dyDescent="0.2">
      <c r="A702" t="s">
        <v>2582</v>
      </c>
      <c r="B702" t="s">
        <v>2583</v>
      </c>
      <c r="C702" t="s">
        <v>1177</v>
      </c>
      <c r="D702" t="s">
        <v>1595</v>
      </c>
      <c r="E702" t="s">
        <v>1177</v>
      </c>
    </row>
    <row r="703" spans="1:5" x14ac:dyDescent="0.2">
      <c r="A703" t="s">
        <v>2584</v>
      </c>
      <c r="B703" t="s">
        <v>2585</v>
      </c>
      <c r="C703" t="s">
        <v>1177</v>
      </c>
      <c r="D703" t="s">
        <v>1595</v>
      </c>
      <c r="E703" t="s">
        <v>1177</v>
      </c>
    </row>
    <row r="704" spans="1:5" x14ac:dyDescent="0.2">
      <c r="A704" t="s">
        <v>2586</v>
      </c>
      <c r="B704" t="s">
        <v>2587</v>
      </c>
      <c r="C704" t="s">
        <v>1177</v>
      </c>
      <c r="D704" t="s">
        <v>1595</v>
      </c>
      <c r="E704" t="s">
        <v>1177</v>
      </c>
    </row>
    <row r="705" spans="1:5" x14ac:dyDescent="0.2">
      <c r="A705" t="s">
        <v>2588</v>
      </c>
      <c r="B705" t="s">
        <v>2589</v>
      </c>
      <c r="C705" t="s">
        <v>1177</v>
      </c>
      <c r="D705" t="s">
        <v>1595</v>
      </c>
      <c r="E705" t="s">
        <v>1177</v>
      </c>
    </row>
    <row r="706" spans="1:5" x14ac:dyDescent="0.2">
      <c r="A706" t="s">
        <v>2590</v>
      </c>
      <c r="B706" t="s">
        <v>2591</v>
      </c>
      <c r="C706" t="s">
        <v>1177</v>
      </c>
      <c r="D706" t="s">
        <v>1595</v>
      </c>
      <c r="E706" t="s">
        <v>1177</v>
      </c>
    </row>
    <row r="707" spans="1:5" x14ac:dyDescent="0.2">
      <c r="A707" t="s">
        <v>2592</v>
      </c>
      <c r="B707" t="s">
        <v>2593</v>
      </c>
      <c r="C707" t="s">
        <v>1177</v>
      </c>
      <c r="D707" t="s">
        <v>1595</v>
      </c>
      <c r="E707" t="s">
        <v>1177</v>
      </c>
    </row>
    <row r="708" spans="1:5" x14ac:dyDescent="0.2">
      <c r="A708" t="s">
        <v>2594</v>
      </c>
      <c r="B708" t="s">
        <v>2595</v>
      </c>
      <c r="C708" t="s">
        <v>1177</v>
      </c>
      <c r="D708" t="s">
        <v>1595</v>
      </c>
      <c r="E708" t="s">
        <v>1177</v>
      </c>
    </row>
    <row r="709" spans="1:5" x14ac:dyDescent="0.2">
      <c r="A709" t="s">
        <v>2596</v>
      </c>
      <c r="B709" t="s">
        <v>2597</v>
      </c>
      <c r="C709" t="s">
        <v>1177</v>
      </c>
      <c r="D709" t="s">
        <v>1595</v>
      </c>
      <c r="E709" t="s">
        <v>1177</v>
      </c>
    </row>
    <row r="710" spans="1:5" x14ac:dyDescent="0.2">
      <c r="A710" t="s">
        <v>2598</v>
      </c>
      <c r="B710" t="s">
        <v>2599</v>
      </c>
      <c r="C710" t="s">
        <v>1177</v>
      </c>
      <c r="D710" t="s">
        <v>1595</v>
      </c>
      <c r="E710" t="s">
        <v>1177</v>
      </c>
    </row>
    <row r="711" spans="1:5" x14ac:dyDescent="0.2">
      <c r="A711" t="s">
        <v>2600</v>
      </c>
      <c r="B711" t="s">
        <v>2601</v>
      </c>
      <c r="C711" t="s">
        <v>1177</v>
      </c>
      <c r="D711" t="s">
        <v>1595</v>
      </c>
      <c r="E711" t="s">
        <v>1177</v>
      </c>
    </row>
    <row r="712" spans="1:5" x14ac:dyDescent="0.2">
      <c r="A712" t="s">
        <v>2602</v>
      </c>
      <c r="B712" t="s">
        <v>2603</v>
      </c>
      <c r="C712" t="s">
        <v>1177</v>
      </c>
      <c r="D712" t="s">
        <v>1595</v>
      </c>
      <c r="E712" t="s">
        <v>1177</v>
      </c>
    </row>
    <row r="713" spans="1:5" x14ac:dyDescent="0.2">
      <c r="A713" t="s">
        <v>2604</v>
      </c>
      <c r="B713" t="s">
        <v>2605</v>
      </c>
      <c r="C713" t="s">
        <v>1177</v>
      </c>
      <c r="D713" t="s">
        <v>1595</v>
      </c>
      <c r="E713" t="s">
        <v>1177</v>
      </c>
    </row>
    <row r="714" spans="1:5" x14ac:dyDescent="0.2">
      <c r="A714" t="s">
        <v>2606</v>
      </c>
      <c r="B714" t="s">
        <v>2607</v>
      </c>
      <c r="C714" t="s">
        <v>1177</v>
      </c>
      <c r="D714" t="s">
        <v>1595</v>
      </c>
      <c r="E714" t="s">
        <v>1177</v>
      </c>
    </row>
    <row r="715" spans="1:5" x14ac:dyDescent="0.2">
      <c r="A715" t="s">
        <v>2608</v>
      </c>
      <c r="B715" t="s">
        <v>2609</v>
      </c>
      <c r="C715" t="s">
        <v>1177</v>
      </c>
      <c r="D715" t="s">
        <v>1595</v>
      </c>
      <c r="E715" t="s">
        <v>1177</v>
      </c>
    </row>
    <row r="716" spans="1:5" x14ac:dyDescent="0.2">
      <c r="A716" t="s">
        <v>2610</v>
      </c>
      <c r="B716" t="s">
        <v>2611</v>
      </c>
      <c r="C716" t="s">
        <v>1177</v>
      </c>
      <c r="D716" t="s">
        <v>1595</v>
      </c>
      <c r="E716" t="s">
        <v>1177</v>
      </c>
    </row>
    <row r="717" spans="1:5" x14ac:dyDescent="0.2">
      <c r="A717" t="s">
        <v>2612</v>
      </c>
      <c r="B717" t="s">
        <v>2613</v>
      </c>
      <c r="C717" t="s">
        <v>1177</v>
      </c>
      <c r="D717" t="s">
        <v>1595</v>
      </c>
      <c r="E717" t="s">
        <v>1177</v>
      </c>
    </row>
    <row r="718" spans="1:5" x14ac:dyDescent="0.2">
      <c r="A718" t="s">
        <v>2614</v>
      </c>
      <c r="B718" t="s">
        <v>2615</v>
      </c>
      <c r="C718" t="s">
        <v>1177</v>
      </c>
      <c r="D718" t="s">
        <v>1595</v>
      </c>
      <c r="E718" t="s">
        <v>1177</v>
      </c>
    </row>
    <row r="719" spans="1:5" x14ac:dyDescent="0.2">
      <c r="A719" t="s">
        <v>2616</v>
      </c>
      <c r="B719" t="s">
        <v>2617</v>
      </c>
      <c r="C719" t="s">
        <v>1177</v>
      </c>
      <c r="D719" t="s">
        <v>1595</v>
      </c>
      <c r="E719" t="s">
        <v>1177</v>
      </c>
    </row>
    <row r="720" spans="1:5" x14ac:dyDescent="0.2">
      <c r="A720" t="s">
        <v>2618</v>
      </c>
      <c r="B720" t="s">
        <v>2619</v>
      </c>
      <c r="C720" t="s">
        <v>1177</v>
      </c>
      <c r="D720" t="s">
        <v>1595</v>
      </c>
      <c r="E720" t="s">
        <v>1177</v>
      </c>
    </row>
    <row r="721" spans="1:5" x14ac:dyDescent="0.2">
      <c r="A721" t="s">
        <v>2620</v>
      </c>
      <c r="B721" t="s">
        <v>2621</v>
      </c>
      <c r="C721" t="s">
        <v>1177</v>
      </c>
      <c r="D721" t="s">
        <v>1595</v>
      </c>
      <c r="E721" t="s">
        <v>1177</v>
      </c>
    </row>
    <row r="722" spans="1:5" x14ac:dyDescent="0.2">
      <c r="A722" t="s">
        <v>2622</v>
      </c>
      <c r="B722" t="s">
        <v>2623</v>
      </c>
      <c r="C722" t="s">
        <v>1177</v>
      </c>
      <c r="D722" t="s">
        <v>1595</v>
      </c>
      <c r="E722" t="s">
        <v>1177</v>
      </c>
    </row>
    <row r="723" spans="1:5" x14ac:dyDescent="0.2">
      <c r="A723" t="s">
        <v>2624</v>
      </c>
      <c r="B723" t="s">
        <v>2625</v>
      </c>
      <c r="C723" t="s">
        <v>1177</v>
      </c>
      <c r="D723" t="s">
        <v>1595</v>
      </c>
      <c r="E723" t="s">
        <v>1177</v>
      </c>
    </row>
    <row r="724" spans="1:5" x14ac:dyDescent="0.2">
      <c r="A724" t="s">
        <v>2626</v>
      </c>
      <c r="B724" t="s">
        <v>2627</v>
      </c>
      <c r="C724" t="s">
        <v>1177</v>
      </c>
      <c r="D724" t="s">
        <v>1595</v>
      </c>
      <c r="E724" t="s">
        <v>1177</v>
      </c>
    </row>
    <row r="725" spans="1:5" x14ac:dyDescent="0.2">
      <c r="A725" t="s">
        <v>2628</v>
      </c>
      <c r="B725" t="s">
        <v>2629</v>
      </c>
      <c r="C725" t="s">
        <v>1177</v>
      </c>
      <c r="D725" t="s">
        <v>1595</v>
      </c>
      <c r="E725" t="s">
        <v>1177</v>
      </c>
    </row>
    <row r="726" spans="1:5" x14ac:dyDescent="0.2">
      <c r="A726" t="s">
        <v>2630</v>
      </c>
      <c r="B726" t="s">
        <v>2631</v>
      </c>
      <c r="C726" t="s">
        <v>1177</v>
      </c>
      <c r="D726" t="s">
        <v>1595</v>
      </c>
      <c r="E726" t="s">
        <v>1177</v>
      </c>
    </row>
    <row r="727" spans="1:5" x14ac:dyDescent="0.2">
      <c r="A727" t="s">
        <v>2632</v>
      </c>
      <c r="B727" t="s">
        <v>2633</v>
      </c>
      <c r="C727" t="s">
        <v>1177</v>
      </c>
      <c r="D727" t="s">
        <v>1595</v>
      </c>
      <c r="E727" t="s">
        <v>1177</v>
      </c>
    </row>
    <row r="728" spans="1:5" x14ac:dyDescent="0.2">
      <c r="A728" t="s">
        <v>2634</v>
      </c>
      <c r="B728" t="s">
        <v>2635</v>
      </c>
      <c r="C728" t="s">
        <v>1177</v>
      </c>
      <c r="D728" t="s">
        <v>1595</v>
      </c>
      <c r="E728" t="s">
        <v>1177</v>
      </c>
    </row>
    <row r="729" spans="1:5" x14ac:dyDescent="0.2">
      <c r="A729" t="s">
        <v>2636</v>
      </c>
      <c r="B729" t="s">
        <v>2637</v>
      </c>
      <c r="C729" t="s">
        <v>1177</v>
      </c>
      <c r="D729" t="s">
        <v>1595</v>
      </c>
      <c r="E729" t="s">
        <v>1177</v>
      </c>
    </row>
    <row r="730" spans="1:5" x14ac:dyDescent="0.2">
      <c r="A730" t="s">
        <v>2638</v>
      </c>
      <c r="B730" t="s">
        <v>2639</v>
      </c>
      <c r="C730" t="s">
        <v>1177</v>
      </c>
      <c r="D730" t="s">
        <v>1595</v>
      </c>
      <c r="E730" t="s">
        <v>1177</v>
      </c>
    </row>
    <row r="731" spans="1:5" x14ac:dyDescent="0.2">
      <c r="A731" t="s">
        <v>2640</v>
      </c>
      <c r="B731" t="s">
        <v>2641</v>
      </c>
      <c r="C731" t="s">
        <v>1177</v>
      </c>
      <c r="D731" t="s">
        <v>1595</v>
      </c>
      <c r="E731" t="s">
        <v>1177</v>
      </c>
    </row>
    <row r="732" spans="1:5" x14ac:dyDescent="0.2">
      <c r="A732" t="s">
        <v>2642</v>
      </c>
      <c r="B732" t="s">
        <v>2643</v>
      </c>
      <c r="C732" t="s">
        <v>1177</v>
      </c>
      <c r="D732" t="s">
        <v>1595</v>
      </c>
      <c r="E732" t="s">
        <v>1177</v>
      </c>
    </row>
    <row r="733" spans="1:5" x14ac:dyDescent="0.2">
      <c r="A733" t="s">
        <v>2644</v>
      </c>
      <c r="B733" t="s">
        <v>2645</v>
      </c>
      <c r="C733" t="s">
        <v>1177</v>
      </c>
      <c r="D733" t="s">
        <v>1595</v>
      </c>
      <c r="E733" t="s">
        <v>1177</v>
      </c>
    </row>
    <row r="734" spans="1:5" x14ac:dyDescent="0.2">
      <c r="A734" t="s">
        <v>2646</v>
      </c>
      <c r="B734" t="s">
        <v>2647</v>
      </c>
      <c r="C734" t="s">
        <v>1177</v>
      </c>
      <c r="D734" t="s">
        <v>1595</v>
      </c>
      <c r="E734" t="s">
        <v>1177</v>
      </c>
    </row>
    <row r="735" spans="1:5" x14ac:dyDescent="0.2">
      <c r="A735" t="s">
        <v>2648</v>
      </c>
      <c r="B735" t="s">
        <v>2649</v>
      </c>
      <c r="C735" t="s">
        <v>1177</v>
      </c>
      <c r="D735" t="s">
        <v>1595</v>
      </c>
      <c r="E735" t="s">
        <v>1177</v>
      </c>
    </row>
    <row r="736" spans="1:5" x14ac:dyDescent="0.2">
      <c r="A736" t="s">
        <v>2650</v>
      </c>
      <c r="B736" t="s">
        <v>2651</v>
      </c>
      <c r="C736" t="s">
        <v>1177</v>
      </c>
      <c r="D736" t="s">
        <v>1595</v>
      </c>
      <c r="E736" t="s">
        <v>1177</v>
      </c>
    </row>
    <row r="737" spans="1:5" x14ac:dyDescent="0.2">
      <c r="A737" t="s">
        <v>2652</v>
      </c>
      <c r="B737" t="s">
        <v>2653</v>
      </c>
      <c r="C737" t="s">
        <v>1177</v>
      </c>
      <c r="D737" t="s">
        <v>1595</v>
      </c>
      <c r="E737" t="s">
        <v>1177</v>
      </c>
    </row>
    <row r="738" spans="1:5" x14ac:dyDescent="0.2">
      <c r="A738" t="s">
        <v>2654</v>
      </c>
      <c r="B738" t="s">
        <v>2655</v>
      </c>
      <c r="C738" t="s">
        <v>1177</v>
      </c>
      <c r="D738" t="s">
        <v>1595</v>
      </c>
      <c r="E738" t="s">
        <v>1177</v>
      </c>
    </row>
    <row r="739" spans="1:5" x14ac:dyDescent="0.2">
      <c r="A739" t="s">
        <v>2656</v>
      </c>
      <c r="B739" t="s">
        <v>2657</v>
      </c>
      <c r="C739" t="s">
        <v>1177</v>
      </c>
      <c r="D739" t="s">
        <v>1595</v>
      </c>
      <c r="E739" t="s">
        <v>1177</v>
      </c>
    </row>
    <row r="740" spans="1:5" x14ac:dyDescent="0.2">
      <c r="A740" t="s">
        <v>2658</v>
      </c>
      <c r="B740" t="s">
        <v>2659</v>
      </c>
      <c r="C740" t="s">
        <v>1177</v>
      </c>
      <c r="D740" t="s">
        <v>1595</v>
      </c>
      <c r="E740" t="s">
        <v>1177</v>
      </c>
    </row>
    <row r="741" spans="1:5" x14ac:dyDescent="0.2">
      <c r="A741" t="s">
        <v>2660</v>
      </c>
      <c r="B741" t="s">
        <v>2661</v>
      </c>
      <c r="C741" t="s">
        <v>1177</v>
      </c>
      <c r="D741" t="s">
        <v>1595</v>
      </c>
      <c r="E741" t="s">
        <v>1177</v>
      </c>
    </row>
    <row r="742" spans="1:5" x14ac:dyDescent="0.2">
      <c r="A742" t="s">
        <v>2662</v>
      </c>
      <c r="B742" t="s">
        <v>2663</v>
      </c>
      <c r="C742" t="s">
        <v>1177</v>
      </c>
      <c r="D742" t="s">
        <v>1595</v>
      </c>
      <c r="E742" t="s">
        <v>1177</v>
      </c>
    </row>
    <row r="743" spans="1:5" x14ac:dyDescent="0.2">
      <c r="A743" t="s">
        <v>2664</v>
      </c>
      <c r="B743" t="s">
        <v>2665</v>
      </c>
      <c r="C743" t="s">
        <v>1177</v>
      </c>
      <c r="D743" t="s">
        <v>1595</v>
      </c>
      <c r="E743" t="s">
        <v>1177</v>
      </c>
    </row>
    <row r="744" spans="1:5" x14ac:dyDescent="0.2">
      <c r="A744" t="s">
        <v>2666</v>
      </c>
      <c r="B744" t="s">
        <v>2667</v>
      </c>
      <c r="C744" t="s">
        <v>1177</v>
      </c>
      <c r="D744" t="s">
        <v>1595</v>
      </c>
      <c r="E744" t="s">
        <v>1177</v>
      </c>
    </row>
    <row r="745" spans="1:5" x14ac:dyDescent="0.2">
      <c r="A745" t="s">
        <v>2668</v>
      </c>
      <c r="B745" t="s">
        <v>2669</v>
      </c>
      <c r="C745" t="s">
        <v>1177</v>
      </c>
      <c r="D745" t="s">
        <v>1595</v>
      </c>
      <c r="E745" t="s">
        <v>1177</v>
      </c>
    </row>
    <row r="746" spans="1:5" x14ac:dyDescent="0.2">
      <c r="A746" t="s">
        <v>2670</v>
      </c>
      <c r="B746" t="s">
        <v>2671</v>
      </c>
      <c r="C746" t="s">
        <v>1177</v>
      </c>
      <c r="D746" t="s">
        <v>1595</v>
      </c>
      <c r="E746" t="s">
        <v>1177</v>
      </c>
    </row>
    <row r="747" spans="1:5" x14ac:dyDescent="0.2">
      <c r="A747" t="s">
        <v>2672</v>
      </c>
      <c r="B747" t="s">
        <v>2673</v>
      </c>
      <c r="C747" t="s">
        <v>1177</v>
      </c>
      <c r="D747" t="s">
        <v>1595</v>
      </c>
      <c r="E747" t="s">
        <v>1177</v>
      </c>
    </row>
    <row r="748" spans="1:5" x14ac:dyDescent="0.2">
      <c r="A748" t="s">
        <v>2674</v>
      </c>
      <c r="B748" t="s">
        <v>2675</v>
      </c>
      <c r="C748" t="s">
        <v>1177</v>
      </c>
      <c r="D748" t="s">
        <v>1595</v>
      </c>
      <c r="E748" t="s">
        <v>1177</v>
      </c>
    </row>
    <row r="749" spans="1:5" x14ac:dyDescent="0.2">
      <c r="A749" t="s">
        <v>2676</v>
      </c>
      <c r="B749" t="s">
        <v>2677</v>
      </c>
      <c r="C749" t="s">
        <v>1177</v>
      </c>
      <c r="D749" t="s">
        <v>1595</v>
      </c>
      <c r="E749" t="s">
        <v>1177</v>
      </c>
    </row>
    <row r="750" spans="1:5" x14ac:dyDescent="0.2">
      <c r="A750" t="s">
        <v>2678</v>
      </c>
      <c r="B750" t="s">
        <v>2679</v>
      </c>
      <c r="C750" t="s">
        <v>1177</v>
      </c>
      <c r="D750" t="s">
        <v>1595</v>
      </c>
      <c r="E750" t="s">
        <v>1177</v>
      </c>
    </row>
    <row r="751" spans="1:5" x14ac:dyDescent="0.2">
      <c r="A751" t="s">
        <v>2680</v>
      </c>
      <c r="B751" t="s">
        <v>2681</v>
      </c>
      <c r="C751" t="s">
        <v>1177</v>
      </c>
      <c r="D751" t="s">
        <v>1595</v>
      </c>
      <c r="E751" t="s">
        <v>1177</v>
      </c>
    </row>
    <row r="752" spans="1:5" x14ac:dyDescent="0.2">
      <c r="A752" t="s">
        <v>2682</v>
      </c>
      <c r="B752" t="s">
        <v>2683</v>
      </c>
      <c r="C752" t="s">
        <v>1177</v>
      </c>
      <c r="D752" t="s">
        <v>1595</v>
      </c>
      <c r="E752" t="s">
        <v>1177</v>
      </c>
    </row>
    <row r="753" spans="1:5" x14ac:dyDescent="0.2">
      <c r="A753" t="s">
        <v>2684</v>
      </c>
      <c r="B753" t="s">
        <v>2685</v>
      </c>
      <c r="C753" t="s">
        <v>1177</v>
      </c>
      <c r="D753" t="s">
        <v>1595</v>
      </c>
      <c r="E753" t="s">
        <v>1177</v>
      </c>
    </row>
    <row r="754" spans="1:5" x14ac:dyDescent="0.2">
      <c r="A754" t="s">
        <v>2686</v>
      </c>
      <c r="B754" t="s">
        <v>2687</v>
      </c>
      <c r="C754" t="s">
        <v>1177</v>
      </c>
      <c r="D754" t="s">
        <v>1595</v>
      </c>
      <c r="E754" t="s">
        <v>1177</v>
      </c>
    </row>
    <row r="755" spans="1:5" x14ac:dyDescent="0.2">
      <c r="A755" t="s">
        <v>2688</v>
      </c>
      <c r="B755" t="s">
        <v>2689</v>
      </c>
      <c r="C755" t="s">
        <v>1177</v>
      </c>
      <c r="D755" t="s">
        <v>1595</v>
      </c>
      <c r="E755" t="s">
        <v>1177</v>
      </c>
    </row>
    <row r="756" spans="1:5" x14ac:dyDescent="0.2">
      <c r="A756" t="s">
        <v>2690</v>
      </c>
      <c r="B756" t="s">
        <v>2691</v>
      </c>
      <c r="C756" t="s">
        <v>1177</v>
      </c>
      <c r="D756" t="s">
        <v>1595</v>
      </c>
      <c r="E756" t="s">
        <v>1177</v>
      </c>
    </row>
    <row r="757" spans="1:5" x14ac:dyDescent="0.2">
      <c r="A757" t="s">
        <v>2692</v>
      </c>
      <c r="B757" t="s">
        <v>2693</v>
      </c>
      <c r="C757" t="s">
        <v>1177</v>
      </c>
      <c r="D757" t="s">
        <v>1595</v>
      </c>
      <c r="E757" t="s">
        <v>1177</v>
      </c>
    </row>
    <row r="758" spans="1:5" x14ac:dyDescent="0.2">
      <c r="A758" t="s">
        <v>2694</v>
      </c>
      <c r="B758" t="s">
        <v>2695</v>
      </c>
      <c r="C758" t="s">
        <v>1177</v>
      </c>
      <c r="D758" t="s">
        <v>1595</v>
      </c>
      <c r="E758" t="s">
        <v>1177</v>
      </c>
    </row>
    <row r="759" spans="1:5" x14ac:dyDescent="0.2">
      <c r="A759" t="s">
        <v>2696</v>
      </c>
      <c r="B759" t="s">
        <v>2697</v>
      </c>
      <c r="C759" t="s">
        <v>1177</v>
      </c>
      <c r="D759" t="s">
        <v>1595</v>
      </c>
      <c r="E759" t="s">
        <v>1177</v>
      </c>
    </row>
    <row r="760" spans="1:5" x14ac:dyDescent="0.2">
      <c r="A760" t="s">
        <v>2698</v>
      </c>
      <c r="B760" t="s">
        <v>2699</v>
      </c>
      <c r="C760" t="s">
        <v>1177</v>
      </c>
      <c r="D760" t="s">
        <v>1595</v>
      </c>
      <c r="E760" t="s">
        <v>1177</v>
      </c>
    </row>
    <row r="761" spans="1:5" x14ac:dyDescent="0.2">
      <c r="A761" t="s">
        <v>2700</v>
      </c>
      <c r="B761" t="s">
        <v>2701</v>
      </c>
      <c r="C761" t="s">
        <v>1177</v>
      </c>
      <c r="D761" t="s">
        <v>1595</v>
      </c>
      <c r="E761" t="s">
        <v>1177</v>
      </c>
    </row>
    <row r="762" spans="1:5" x14ac:dyDescent="0.2">
      <c r="A762" t="s">
        <v>2702</v>
      </c>
      <c r="B762" t="s">
        <v>2703</v>
      </c>
      <c r="C762" t="s">
        <v>1177</v>
      </c>
      <c r="D762" t="s">
        <v>1595</v>
      </c>
      <c r="E762" t="s">
        <v>1177</v>
      </c>
    </row>
    <row r="763" spans="1:5" x14ac:dyDescent="0.2">
      <c r="A763" t="s">
        <v>2704</v>
      </c>
      <c r="B763" t="s">
        <v>2705</v>
      </c>
      <c r="C763" t="s">
        <v>1177</v>
      </c>
      <c r="D763" t="s">
        <v>1595</v>
      </c>
      <c r="E763" t="s">
        <v>1177</v>
      </c>
    </row>
    <row r="764" spans="1:5" x14ac:dyDescent="0.2">
      <c r="A764" t="s">
        <v>2706</v>
      </c>
      <c r="B764" t="s">
        <v>2707</v>
      </c>
      <c r="C764" t="s">
        <v>1177</v>
      </c>
      <c r="D764" t="s">
        <v>1595</v>
      </c>
      <c r="E764" t="s">
        <v>1177</v>
      </c>
    </row>
    <row r="765" spans="1:5" x14ac:dyDescent="0.2">
      <c r="A765" t="s">
        <v>2708</v>
      </c>
      <c r="B765" t="s">
        <v>2709</v>
      </c>
      <c r="C765" t="s">
        <v>1177</v>
      </c>
      <c r="D765" t="s">
        <v>1595</v>
      </c>
      <c r="E765" t="s">
        <v>1177</v>
      </c>
    </row>
    <row r="766" spans="1:5" x14ac:dyDescent="0.2">
      <c r="A766" t="s">
        <v>2710</v>
      </c>
      <c r="B766" t="s">
        <v>2711</v>
      </c>
      <c r="C766" t="s">
        <v>1177</v>
      </c>
      <c r="D766" t="s">
        <v>1595</v>
      </c>
      <c r="E766" t="s">
        <v>1177</v>
      </c>
    </row>
    <row r="767" spans="1:5" x14ac:dyDescent="0.2">
      <c r="A767" t="s">
        <v>2712</v>
      </c>
      <c r="B767" t="s">
        <v>2713</v>
      </c>
      <c r="C767" t="s">
        <v>1177</v>
      </c>
      <c r="D767" t="s">
        <v>1595</v>
      </c>
      <c r="E767" t="s">
        <v>1177</v>
      </c>
    </row>
    <row r="768" spans="1:5" x14ac:dyDescent="0.2">
      <c r="A768" t="s">
        <v>2714</v>
      </c>
      <c r="B768" t="s">
        <v>2715</v>
      </c>
      <c r="C768" t="s">
        <v>1177</v>
      </c>
      <c r="D768" t="s">
        <v>1595</v>
      </c>
      <c r="E768" t="s">
        <v>1177</v>
      </c>
    </row>
    <row r="769" spans="1:5" x14ac:dyDescent="0.2">
      <c r="A769" t="s">
        <v>2716</v>
      </c>
      <c r="B769" t="s">
        <v>2717</v>
      </c>
      <c r="C769" t="s">
        <v>1177</v>
      </c>
      <c r="D769" t="s">
        <v>1595</v>
      </c>
      <c r="E769" t="s">
        <v>1177</v>
      </c>
    </row>
    <row r="770" spans="1:5" x14ac:dyDescent="0.2">
      <c r="A770" t="s">
        <v>2718</v>
      </c>
      <c r="B770" t="s">
        <v>2719</v>
      </c>
      <c r="C770" t="s">
        <v>1177</v>
      </c>
      <c r="D770" t="s">
        <v>1595</v>
      </c>
      <c r="E770" t="s">
        <v>1177</v>
      </c>
    </row>
    <row r="771" spans="1:5" x14ac:dyDescent="0.2">
      <c r="A771" t="s">
        <v>2720</v>
      </c>
      <c r="B771" t="s">
        <v>2721</v>
      </c>
      <c r="C771" t="s">
        <v>1177</v>
      </c>
      <c r="D771" t="s">
        <v>1595</v>
      </c>
      <c r="E771" t="s">
        <v>1177</v>
      </c>
    </row>
    <row r="772" spans="1:5" x14ac:dyDescent="0.2">
      <c r="A772" t="s">
        <v>2722</v>
      </c>
      <c r="B772" t="s">
        <v>2723</v>
      </c>
      <c r="C772" t="s">
        <v>1177</v>
      </c>
      <c r="D772" t="s">
        <v>1595</v>
      </c>
      <c r="E772" t="s">
        <v>1177</v>
      </c>
    </row>
    <row r="773" spans="1:5" x14ac:dyDescent="0.2">
      <c r="A773" t="s">
        <v>2724</v>
      </c>
      <c r="B773" t="s">
        <v>2725</v>
      </c>
      <c r="C773" t="s">
        <v>1177</v>
      </c>
      <c r="D773" t="s">
        <v>1595</v>
      </c>
      <c r="E773" t="s">
        <v>1177</v>
      </c>
    </row>
    <row r="774" spans="1:5" x14ac:dyDescent="0.2">
      <c r="A774" t="s">
        <v>2726</v>
      </c>
      <c r="B774" t="s">
        <v>2727</v>
      </c>
      <c r="C774" t="s">
        <v>1177</v>
      </c>
      <c r="D774" t="s">
        <v>1595</v>
      </c>
      <c r="E774" t="s">
        <v>1177</v>
      </c>
    </row>
    <row r="775" spans="1:5" x14ac:dyDescent="0.2">
      <c r="A775" t="s">
        <v>2728</v>
      </c>
      <c r="B775" t="s">
        <v>2729</v>
      </c>
      <c r="C775" t="s">
        <v>1177</v>
      </c>
      <c r="D775" t="s">
        <v>1595</v>
      </c>
      <c r="E775" t="s">
        <v>1177</v>
      </c>
    </row>
    <row r="776" spans="1:5" x14ac:dyDescent="0.2">
      <c r="A776" t="s">
        <v>2730</v>
      </c>
      <c r="B776" t="s">
        <v>2731</v>
      </c>
      <c r="C776" t="s">
        <v>1177</v>
      </c>
      <c r="D776" t="s">
        <v>1595</v>
      </c>
      <c r="E776" t="s">
        <v>1177</v>
      </c>
    </row>
    <row r="777" spans="1:5" x14ac:dyDescent="0.2">
      <c r="A777" t="s">
        <v>2732</v>
      </c>
      <c r="B777" t="s">
        <v>2733</v>
      </c>
      <c r="C777" t="s">
        <v>1177</v>
      </c>
      <c r="D777" t="s">
        <v>1595</v>
      </c>
      <c r="E777" t="s">
        <v>1177</v>
      </c>
    </row>
    <row r="778" spans="1:5" x14ac:dyDescent="0.2">
      <c r="A778" t="s">
        <v>2734</v>
      </c>
      <c r="B778" t="s">
        <v>2735</v>
      </c>
      <c r="C778" t="s">
        <v>1177</v>
      </c>
      <c r="D778" t="s">
        <v>1595</v>
      </c>
      <c r="E778" t="s">
        <v>1177</v>
      </c>
    </row>
    <row r="779" spans="1:5" x14ac:dyDescent="0.2">
      <c r="A779" t="s">
        <v>2736</v>
      </c>
      <c r="B779" t="s">
        <v>2737</v>
      </c>
      <c r="C779" t="s">
        <v>1177</v>
      </c>
      <c r="D779" t="s">
        <v>1595</v>
      </c>
      <c r="E779" t="s">
        <v>1177</v>
      </c>
    </row>
    <row r="780" spans="1:5" x14ac:dyDescent="0.2">
      <c r="A780" t="s">
        <v>2738</v>
      </c>
      <c r="B780" t="s">
        <v>2739</v>
      </c>
      <c r="C780" t="s">
        <v>1177</v>
      </c>
      <c r="D780" t="s">
        <v>1595</v>
      </c>
      <c r="E780" t="s">
        <v>1177</v>
      </c>
    </row>
    <row r="781" spans="1:5" x14ac:dyDescent="0.2">
      <c r="A781" t="s">
        <v>2740</v>
      </c>
      <c r="B781" t="s">
        <v>2741</v>
      </c>
      <c r="C781" t="s">
        <v>1177</v>
      </c>
      <c r="D781" t="s">
        <v>1595</v>
      </c>
      <c r="E781" t="s">
        <v>1177</v>
      </c>
    </row>
    <row r="782" spans="1:5" x14ac:dyDescent="0.2">
      <c r="A782" t="s">
        <v>2742</v>
      </c>
      <c r="B782" t="s">
        <v>2743</v>
      </c>
      <c r="C782" t="s">
        <v>1177</v>
      </c>
      <c r="D782" t="s">
        <v>1595</v>
      </c>
      <c r="E782" t="s">
        <v>1177</v>
      </c>
    </row>
    <row r="783" spans="1:5" x14ac:dyDescent="0.2">
      <c r="A783" t="s">
        <v>2744</v>
      </c>
      <c r="B783" t="s">
        <v>2745</v>
      </c>
      <c r="C783" t="s">
        <v>1177</v>
      </c>
      <c r="D783" t="s">
        <v>1595</v>
      </c>
      <c r="E783" t="s">
        <v>1177</v>
      </c>
    </row>
    <row r="784" spans="1:5" x14ac:dyDescent="0.2">
      <c r="A784" t="s">
        <v>2746</v>
      </c>
      <c r="B784" t="s">
        <v>2747</v>
      </c>
      <c r="C784" t="s">
        <v>1177</v>
      </c>
      <c r="D784" t="s">
        <v>1595</v>
      </c>
      <c r="E784" t="s">
        <v>1177</v>
      </c>
    </row>
    <row r="785" spans="1:5" x14ac:dyDescent="0.2">
      <c r="A785" t="s">
        <v>2748</v>
      </c>
      <c r="B785" t="s">
        <v>2749</v>
      </c>
      <c r="C785" t="s">
        <v>1177</v>
      </c>
      <c r="D785" t="s">
        <v>1595</v>
      </c>
      <c r="E785" t="s">
        <v>1177</v>
      </c>
    </row>
    <row r="786" spans="1:5" x14ac:dyDescent="0.2">
      <c r="A786" t="s">
        <v>2750</v>
      </c>
      <c r="B786" t="s">
        <v>2751</v>
      </c>
      <c r="C786" t="s">
        <v>1177</v>
      </c>
      <c r="D786" t="s">
        <v>1595</v>
      </c>
      <c r="E786" t="s">
        <v>1177</v>
      </c>
    </row>
    <row r="787" spans="1:5" x14ac:dyDescent="0.2">
      <c r="A787" t="s">
        <v>2752</v>
      </c>
      <c r="B787" t="s">
        <v>2753</v>
      </c>
      <c r="C787" t="s">
        <v>1177</v>
      </c>
      <c r="D787" t="s">
        <v>1595</v>
      </c>
      <c r="E787" t="s">
        <v>1177</v>
      </c>
    </row>
    <row r="788" spans="1:5" x14ac:dyDescent="0.2">
      <c r="A788" t="s">
        <v>2754</v>
      </c>
      <c r="B788" t="s">
        <v>2755</v>
      </c>
      <c r="C788" t="s">
        <v>1177</v>
      </c>
      <c r="D788" t="s">
        <v>1595</v>
      </c>
      <c r="E788" t="s">
        <v>1177</v>
      </c>
    </row>
    <row r="789" spans="1:5" x14ac:dyDescent="0.2">
      <c r="A789" t="s">
        <v>2756</v>
      </c>
      <c r="B789" t="s">
        <v>2757</v>
      </c>
      <c r="C789" t="s">
        <v>1177</v>
      </c>
      <c r="D789" t="s">
        <v>1595</v>
      </c>
      <c r="E789" t="s">
        <v>1177</v>
      </c>
    </row>
    <row r="790" spans="1:5" x14ac:dyDescent="0.2">
      <c r="A790" t="s">
        <v>2758</v>
      </c>
      <c r="B790" t="s">
        <v>2759</v>
      </c>
      <c r="C790" t="s">
        <v>1177</v>
      </c>
      <c r="D790" t="s">
        <v>1595</v>
      </c>
      <c r="E790" t="s">
        <v>1177</v>
      </c>
    </row>
    <row r="791" spans="1:5" x14ac:dyDescent="0.2">
      <c r="A791" t="s">
        <v>2760</v>
      </c>
      <c r="B791" t="s">
        <v>2761</v>
      </c>
      <c r="C791" t="s">
        <v>1177</v>
      </c>
      <c r="D791" t="s">
        <v>1595</v>
      </c>
      <c r="E791" t="s">
        <v>1177</v>
      </c>
    </row>
    <row r="792" spans="1:5" x14ac:dyDescent="0.2">
      <c r="A792" t="s">
        <v>2762</v>
      </c>
      <c r="B792" t="s">
        <v>2763</v>
      </c>
      <c r="C792" t="s">
        <v>1177</v>
      </c>
      <c r="D792" t="s">
        <v>1595</v>
      </c>
      <c r="E792" t="s">
        <v>1177</v>
      </c>
    </row>
    <row r="793" spans="1:5" x14ac:dyDescent="0.2">
      <c r="A793" t="s">
        <v>2764</v>
      </c>
      <c r="B793" t="s">
        <v>2765</v>
      </c>
      <c r="C793" t="s">
        <v>1177</v>
      </c>
      <c r="D793" t="s">
        <v>1595</v>
      </c>
      <c r="E793" t="s">
        <v>1177</v>
      </c>
    </row>
    <row r="794" spans="1:5" x14ac:dyDescent="0.2">
      <c r="A794" t="s">
        <v>2766</v>
      </c>
      <c r="B794" t="s">
        <v>2767</v>
      </c>
      <c r="C794" t="s">
        <v>1177</v>
      </c>
      <c r="D794" t="s">
        <v>1595</v>
      </c>
      <c r="E794" t="s">
        <v>1177</v>
      </c>
    </row>
    <row r="795" spans="1:5" x14ac:dyDescent="0.2">
      <c r="A795" t="s">
        <v>2768</v>
      </c>
      <c r="B795" t="s">
        <v>2769</v>
      </c>
      <c r="C795" t="s">
        <v>1177</v>
      </c>
      <c r="D795" t="s">
        <v>1595</v>
      </c>
      <c r="E795" t="s">
        <v>1177</v>
      </c>
    </row>
    <row r="796" spans="1:5" x14ac:dyDescent="0.2">
      <c r="A796" t="s">
        <v>2770</v>
      </c>
      <c r="B796" t="s">
        <v>2771</v>
      </c>
      <c r="C796" t="s">
        <v>1177</v>
      </c>
      <c r="D796" t="s">
        <v>1595</v>
      </c>
      <c r="E796" t="s">
        <v>1177</v>
      </c>
    </row>
    <row r="797" spans="1:5" x14ac:dyDescent="0.2">
      <c r="A797" t="s">
        <v>2772</v>
      </c>
      <c r="B797" t="s">
        <v>2773</v>
      </c>
      <c r="C797" t="s">
        <v>1177</v>
      </c>
      <c r="D797" t="s">
        <v>1595</v>
      </c>
      <c r="E797" t="s">
        <v>1177</v>
      </c>
    </row>
    <row r="798" spans="1:5" x14ac:dyDescent="0.2">
      <c r="A798" t="s">
        <v>2774</v>
      </c>
      <c r="B798" t="s">
        <v>2775</v>
      </c>
      <c r="C798" t="s">
        <v>1177</v>
      </c>
      <c r="D798" t="s">
        <v>1595</v>
      </c>
      <c r="E798" t="s">
        <v>1177</v>
      </c>
    </row>
    <row r="799" spans="1:5" x14ac:dyDescent="0.2">
      <c r="A799" t="s">
        <v>2776</v>
      </c>
      <c r="B799" t="s">
        <v>2777</v>
      </c>
      <c r="C799" t="s">
        <v>1177</v>
      </c>
      <c r="D799" t="s">
        <v>1595</v>
      </c>
      <c r="E799" t="s">
        <v>1177</v>
      </c>
    </row>
    <row r="800" spans="1:5" x14ac:dyDescent="0.2">
      <c r="A800" t="s">
        <v>2778</v>
      </c>
      <c r="B800" t="s">
        <v>2779</v>
      </c>
      <c r="C800" t="s">
        <v>1177</v>
      </c>
      <c r="D800" t="s">
        <v>1595</v>
      </c>
      <c r="E800" t="s">
        <v>1177</v>
      </c>
    </row>
    <row r="801" spans="1:5" x14ac:dyDescent="0.2">
      <c r="A801" t="s">
        <v>2780</v>
      </c>
      <c r="B801" t="s">
        <v>2781</v>
      </c>
      <c r="C801" t="s">
        <v>1177</v>
      </c>
      <c r="D801" t="s">
        <v>1595</v>
      </c>
      <c r="E801" t="s">
        <v>1177</v>
      </c>
    </row>
    <row r="802" spans="1:5" x14ac:dyDescent="0.2">
      <c r="A802" t="s">
        <v>2782</v>
      </c>
      <c r="B802" t="s">
        <v>2783</v>
      </c>
      <c r="C802" t="s">
        <v>1177</v>
      </c>
      <c r="D802" t="s">
        <v>1595</v>
      </c>
      <c r="E802" t="s">
        <v>1177</v>
      </c>
    </row>
    <row r="803" spans="1:5" x14ac:dyDescent="0.2">
      <c r="A803" t="s">
        <v>2784</v>
      </c>
      <c r="B803" t="s">
        <v>2785</v>
      </c>
      <c r="C803" t="s">
        <v>1177</v>
      </c>
      <c r="D803" t="s">
        <v>1595</v>
      </c>
      <c r="E803" t="s">
        <v>1177</v>
      </c>
    </row>
    <row r="804" spans="1:5" x14ac:dyDescent="0.2">
      <c r="A804" t="s">
        <v>2786</v>
      </c>
      <c r="B804" t="s">
        <v>2787</v>
      </c>
      <c r="C804" t="s">
        <v>1177</v>
      </c>
      <c r="D804" t="s">
        <v>1595</v>
      </c>
      <c r="E804" t="s">
        <v>1177</v>
      </c>
    </row>
    <row r="805" spans="1:5" x14ac:dyDescent="0.2">
      <c r="A805" t="s">
        <v>2788</v>
      </c>
      <c r="B805" t="s">
        <v>2789</v>
      </c>
      <c r="C805" t="s">
        <v>1177</v>
      </c>
      <c r="D805" t="s">
        <v>1595</v>
      </c>
      <c r="E805" t="s">
        <v>1177</v>
      </c>
    </row>
    <row r="806" spans="1:5" x14ac:dyDescent="0.2">
      <c r="A806" t="s">
        <v>2790</v>
      </c>
      <c r="B806" t="s">
        <v>2791</v>
      </c>
      <c r="C806" t="s">
        <v>1177</v>
      </c>
      <c r="D806" t="s">
        <v>1595</v>
      </c>
      <c r="E806" t="s">
        <v>1177</v>
      </c>
    </row>
    <row r="807" spans="1:5" x14ac:dyDescent="0.2">
      <c r="A807" t="s">
        <v>2792</v>
      </c>
      <c r="B807" t="s">
        <v>2793</v>
      </c>
      <c r="C807" t="s">
        <v>1177</v>
      </c>
      <c r="D807" t="s">
        <v>1595</v>
      </c>
      <c r="E807" t="s">
        <v>1177</v>
      </c>
    </row>
    <row r="808" spans="1:5" x14ac:dyDescent="0.2">
      <c r="A808" t="s">
        <v>2794</v>
      </c>
      <c r="B808" t="s">
        <v>2795</v>
      </c>
      <c r="C808" t="s">
        <v>1177</v>
      </c>
      <c r="D808" t="s">
        <v>1595</v>
      </c>
      <c r="E808" t="s">
        <v>1177</v>
      </c>
    </row>
    <row r="809" spans="1:5" x14ac:dyDescent="0.2">
      <c r="A809" t="s">
        <v>2796</v>
      </c>
      <c r="B809" t="s">
        <v>2797</v>
      </c>
      <c r="C809" t="s">
        <v>1177</v>
      </c>
      <c r="D809" t="s">
        <v>1595</v>
      </c>
      <c r="E809" t="s">
        <v>1177</v>
      </c>
    </row>
    <row r="810" spans="1:5" x14ac:dyDescent="0.2">
      <c r="A810" t="s">
        <v>2798</v>
      </c>
      <c r="B810" t="s">
        <v>2799</v>
      </c>
      <c r="C810" t="s">
        <v>1177</v>
      </c>
      <c r="D810" t="s">
        <v>1595</v>
      </c>
      <c r="E810" t="s">
        <v>1177</v>
      </c>
    </row>
    <row r="811" spans="1:5" x14ac:dyDescent="0.2">
      <c r="A811" t="s">
        <v>2800</v>
      </c>
      <c r="B811" t="s">
        <v>2801</v>
      </c>
      <c r="C811" t="s">
        <v>1177</v>
      </c>
      <c r="D811" t="s">
        <v>1595</v>
      </c>
      <c r="E811" t="s">
        <v>1177</v>
      </c>
    </row>
    <row r="812" spans="1:5" x14ac:dyDescent="0.2">
      <c r="A812" t="s">
        <v>2802</v>
      </c>
      <c r="B812" t="s">
        <v>2803</v>
      </c>
      <c r="C812" t="s">
        <v>1177</v>
      </c>
      <c r="D812" t="s">
        <v>1595</v>
      </c>
      <c r="E812" t="s">
        <v>1177</v>
      </c>
    </row>
    <row r="813" spans="1:5" x14ac:dyDescent="0.2">
      <c r="A813" t="s">
        <v>2804</v>
      </c>
      <c r="B813" t="s">
        <v>2805</v>
      </c>
      <c r="C813" t="s">
        <v>1177</v>
      </c>
      <c r="D813" t="s">
        <v>1595</v>
      </c>
      <c r="E813" t="s">
        <v>1177</v>
      </c>
    </row>
    <row r="814" spans="1:5" x14ac:dyDescent="0.2">
      <c r="A814" t="s">
        <v>2806</v>
      </c>
      <c r="B814" t="s">
        <v>2807</v>
      </c>
      <c r="C814" t="s">
        <v>1177</v>
      </c>
      <c r="D814" t="s">
        <v>1595</v>
      </c>
      <c r="E814" t="s">
        <v>1177</v>
      </c>
    </row>
    <row r="815" spans="1:5" x14ac:dyDescent="0.2">
      <c r="A815" t="s">
        <v>2808</v>
      </c>
      <c r="B815" t="s">
        <v>2809</v>
      </c>
      <c r="C815" t="s">
        <v>1177</v>
      </c>
      <c r="D815" t="s">
        <v>1595</v>
      </c>
      <c r="E815" t="s">
        <v>1177</v>
      </c>
    </row>
    <row r="816" spans="1:5" x14ac:dyDescent="0.2">
      <c r="A816" t="s">
        <v>2810</v>
      </c>
      <c r="B816" t="s">
        <v>2811</v>
      </c>
      <c r="C816" t="s">
        <v>1177</v>
      </c>
      <c r="D816" t="s">
        <v>1595</v>
      </c>
      <c r="E816" t="s">
        <v>1177</v>
      </c>
    </row>
    <row r="817" spans="1:5" x14ac:dyDescent="0.2">
      <c r="A817" t="s">
        <v>2812</v>
      </c>
      <c r="B817" t="s">
        <v>2813</v>
      </c>
      <c r="C817" t="s">
        <v>1177</v>
      </c>
      <c r="D817" t="s">
        <v>1595</v>
      </c>
      <c r="E817" t="s">
        <v>1177</v>
      </c>
    </row>
    <row r="818" spans="1:5" x14ac:dyDescent="0.2">
      <c r="A818" t="s">
        <v>2814</v>
      </c>
      <c r="B818" t="s">
        <v>2815</v>
      </c>
      <c r="C818" t="s">
        <v>1177</v>
      </c>
      <c r="D818" t="s">
        <v>1595</v>
      </c>
      <c r="E818" t="s">
        <v>1177</v>
      </c>
    </row>
    <row r="819" spans="1:5" x14ac:dyDescent="0.2">
      <c r="A819" t="s">
        <v>2816</v>
      </c>
      <c r="B819" t="s">
        <v>2817</v>
      </c>
      <c r="C819" t="s">
        <v>1177</v>
      </c>
      <c r="D819" t="s">
        <v>1595</v>
      </c>
      <c r="E819" t="s">
        <v>1177</v>
      </c>
    </row>
    <row r="820" spans="1:5" x14ac:dyDescent="0.2">
      <c r="A820" t="s">
        <v>2818</v>
      </c>
      <c r="B820" t="s">
        <v>2819</v>
      </c>
      <c r="C820" t="s">
        <v>1177</v>
      </c>
      <c r="D820" t="s">
        <v>1595</v>
      </c>
      <c r="E820" t="s">
        <v>1177</v>
      </c>
    </row>
    <row r="821" spans="1:5" x14ac:dyDescent="0.2">
      <c r="A821" t="s">
        <v>2820</v>
      </c>
      <c r="B821" t="s">
        <v>2821</v>
      </c>
      <c r="C821" t="s">
        <v>1177</v>
      </c>
      <c r="D821" t="s">
        <v>1595</v>
      </c>
      <c r="E821" t="s">
        <v>1177</v>
      </c>
    </row>
    <row r="822" spans="1:5" x14ac:dyDescent="0.2">
      <c r="A822" t="s">
        <v>2822</v>
      </c>
      <c r="B822" t="s">
        <v>2823</v>
      </c>
      <c r="C822" t="s">
        <v>1177</v>
      </c>
      <c r="D822" t="s">
        <v>1595</v>
      </c>
      <c r="E822" t="s">
        <v>1177</v>
      </c>
    </row>
    <row r="823" spans="1:5" x14ac:dyDescent="0.2">
      <c r="A823" t="s">
        <v>2824</v>
      </c>
      <c r="B823" t="s">
        <v>2825</v>
      </c>
      <c r="C823" t="s">
        <v>1177</v>
      </c>
      <c r="D823" t="s">
        <v>1595</v>
      </c>
      <c r="E823" t="s">
        <v>1177</v>
      </c>
    </row>
    <row r="824" spans="1:5" x14ac:dyDescent="0.2">
      <c r="A824" t="s">
        <v>2826</v>
      </c>
      <c r="B824" t="s">
        <v>2827</v>
      </c>
      <c r="C824" t="s">
        <v>1177</v>
      </c>
      <c r="D824" t="s">
        <v>1595</v>
      </c>
      <c r="E824" t="s">
        <v>1177</v>
      </c>
    </row>
    <row r="825" spans="1:5" x14ac:dyDescent="0.2">
      <c r="A825" t="s">
        <v>2828</v>
      </c>
      <c r="B825" t="s">
        <v>2829</v>
      </c>
      <c r="C825" t="s">
        <v>1177</v>
      </c>
      <c r="D825" t="s">
        <v>1595</v>
      </c>
      <c r="E825" t="s">
        <v>1177</v>
      </c>
    </row>
    <row r="826" spans="1:5" x14ac:dyDescent="0.2">
      <c r="A826" t="s">
        <v>2830</v>
      </c>
      <c r="B826" t="s">
        <v>2831</v>
      </c>
      <c r="C826" t="s">
        <v>1177</v>
      </c>
      <c r="D826" t="s">
        <v>1595</v>
      </c>
      <c r="E826" t="s">
        <v>1177</v>
      </c>
    </row>
    <row r="827" spans="1:5" x14ac:dyDescent="0.2">
      <c r="A827" t="s">
        <v>2832</v>
      </c>
      <c r="B827" t="s">
        <v>2833</v>
      </c>
      <c r="C827" t="s">
        <v>1177</v>
      </c>
      <c r="D827" t="s">
        <v>1595</v>
      </c>
      <c r="E827" t="s">
        <v>1177</v>
      </c>
    </row>
    <row r="828" spans="1:5" x14ac:dyDescent="0.2">
      <c r="A828" t="s">
        <v>2834</v>
      </c>
      <c r="B828" t="s">
        <v>2835</v>
      </c>
      <c r="C828" t="s">
        <v>1177</v>
      </c>
      <c r="D828" t="s">
        <v>1595</v>
      </c>
      <c r="E828" t="s">
        <v>1177</v>
      </c>
    </row>
    <row r="829" spans="1:5" x14ac:dyDescent="0.2">
      <c r="A829" t="s">
        <v>2836</v>
      </c>
      <c r="B829" t="s">
        <v>2837</v>
      </c>
      <c r="C829" t="s">
        <v>1177</v>
      </c>
      <c r="D829" t="s">
        <v>1595</v>
      </c>
      <c r="E829" t="s">
        <v>1177</v>
      </c>
    </row>
    <row r="830" spans="1:5" x14ac:dyDescent="0.2">
      <c r="A830" t="s">
        <v>2838</v>
      </c>
      <c r="B830" t="s">
        <v>2839</v>
      </c>
      <c r="C830" t="s">
        <v>1177</v>
      </c>
      <c r="D830" t="s">
        <v>1595</v>
      </c>
      <c r="E830" t="s">
        <v>1177</v>
      </c>
    </row>
    <row r="831" spans="1:5" x14ac:dyDescent="0.2">
      <c r="A831" t="s">
        <v>2840</v>
      </c>
      <c r="B831" t="s">
        <v>2841</v>
      </c>
      <c r="C831" t="s">
        <v>1177</v>
      </c>
      <c r="D831" t="s">
        <v>1595</v>
      </c>
      <c r="E831" t="s">
        <v>1177</v>
      </c>
    </row>
    <row r="832" spans="1:5" x14ac:dyDescent="0.2">
      <c r="A832" t="s">
        <v>2842</v>
      </c>
      <c r="B832" t="s">
        <v>2843</v>
      </c>
      <c r="C832" t="s">
        <v>1177</v>
      </c>
      <c r="D832" t="s">
        <v>1595</v>
      </c>
      <c r="E832" t="s">
        <v>1177</v>
      </c>
    </row>
    <row r="833" spans="1:5" x14ac:dyDescent="0.2">
      <c r="A833" t="s">
        <v>2844</v>
      </c>
      <c r="B833" t="s">
        <v>2845</v>
      </c>
      <c r="C833" t="s">
        <v>1177</v>
      </c>
      <c r="D833" t="s">
        <v>1595</v>
      </c>
      <c r="E833" t="s">
        <v>1177</v>
      </c>
    </row>
    <row r="834" spans="1:5" x14ac:dyDescent="0.2">
      <c r="A834" t="s">
        <v>2846</v>
      </c>
      <c r="B834" t="s">
        <v>2847</v>
      </c>
      <c r="C834" t="s">
        <v>1177</v>
      </c>
      <c r="D834" t="s">
        <v>1595</v>
      </c>
      <c r="E834" t="s">
        <v>1177</v>
      </c>
    </row>
    <row r="835" spans="1:5" x14ac:dyDescent="0.2">
      <c r="A835" t="s">
        <v>2848</v>
      </c>
      <c r="B835" t="s">
        <v>2849</v>
      </c>
      <c r="C835" t="s">
        <v>1177</v>
      </c>
      <c r="D835" t="s">
        <v>1595</v>
      </c>
      <c r="E835" t="s">
        <v>1177</v>
      </c>
    </row>
    <row r="836" spans="1:5" x14ac:dyDescent="0.2">
      <c r="A836" t="s">
        <v>2850</v>
      </c>
      <c r="B836" t="s">
        <v>2851</v>
      </c>
      <c r="C836" t="s">
        <v>1177</v>
      </c>
      <c r="D836" t="s">
        <v>1595</v>
      </c>
      <c r="E836" t="s">
        <v>1177</v>
      </c>
    </row>
    <row r="837" spans="1:5" x14ac:dyDescent="0.2">
      <c r="A837" t="s">
        <v>2852</v>
      </c>
      <c r="B837" t="s">
        <v>2853</v>
      </c>
      <c r="C837" t="s">
        <v>1177</v>
      </c>
      <c r="D837" t="s">
        <v>1595</v>
      </c>
      <c r="E837" t="s">
        <v>1177</v>
      </c>
    </row>
    <row r="838" spans="1:5" x14ac:dyDescent="0.2">
      <c r="A838" t="s">
        <v>2854</v>
      </c>
      <c r="B838" t="s">
        <v>2855</v>
      </c>
      <c r="C838" t="s">
        <v>1177</v>
      </c>
      <c r="D838" t="s">
        <v>1595</v>
      </c>
      <c r="E838" t="s">
        <v>1177</v>
      </c>
    </row>
    <row r="839" spans="1:5" x14ac:dyDescent="0.2">
      <c r="A839" t="s">
        <v>2856</v>
      </c>
      <c r="B839" t="s">
        <v>2857</v>
      </c>
      <c r="C839" t="s">
        <v>1177</v>
      </c>
      <c r="D839" t="s">
        <v>1595</v>
      </c>
      <c r="E839" t="s">
        <v>1177</v>
      </c>
    </row>
    <row r="840" spans="1:5" x14ac:dyDescent="0.2">
      <c r="A840" t="s">
        <v>2858</v>
      </c>
      <c r="B840" t="s">
        <v>2859</v>
      </c>
      <c r="C840" t="s">
        <v>1177</v>
      </c>
      <c r="D840" t="s">
        <v>1595</v>
      </c>
      <c r="E840" t="s">
        <v>1177</v>
      </c>
    </row>
    <row r="841" spans="1:5" x14ac:dyDescent="0.2">
      <c r="A841" t="s">
        <v>2860</v>
      </c>
      <c r="B841" t="s">
        <v>2861</v>
      </c>
      <c r="C841" t="s">
        <v>1177</v>
      </c>
      <c r="D841" t="s">
        <v>1595</v>
      </c>
      <c r="E841" t="s">
        <v>1177</v>
      </c>
    </row>
    <row r="842" spans="1:5" x14ac:dyDescent="0.2">
      <c r="A842" t="s">
        <v>2862</v>
      </c>
      <c r="B842" t="s">
        <v>2863</v>
      </c>
      <c r="C842" t="s">
        <v>1177</v>
      </c>
      <c r="D842" t="s">
        <v>1595</v>
      </c>
      <c r="E842" t="s">
        <v>1177</v>
      </c>
    </row>
    <row r="843" spans="1:5" x14ac:dyDescent="0.2">
      <c r="A843" t="s">
        <v>2864</v>
      </c>
      <c r="B843" t="s">
        <v>2865</v>
      </c>
      <c r="C843" t="s">
        <v>1177</v>
      </c>
      <c r="D843" t="s">
        <v>1595</v>
      </c>
      <c r="E843" t="s">
        <v>1177</v>
      </c>
    </row>
    <row r="844" spans="1:5" x14ac:dyDescent="0.2">
      <c r="A844" t="s">
        <v>2866</v>
      </c>
      <c r="B844" t="s">
        <v>2867</v>
      </c>
      <c r="C844" t="s">
        <v>1177</v>
      </c>
      <c r="D844" t="s">
        <v>1595</v>
      </c>
      <c r="E844" t="s">
        <v>1177</v>
      </c>
    </row>
    <row r="845" spans="1:5" x14ac:dyDescent="0.2">
      <c r="A845" t="s">
        <v>2868</v>
      </c>
      <c r="B845" t="s">
        <v>2869</v>
      </c>
      <c r="C845" t="s">
        <v>1177</v>
      </c>
      <c r="D845" t="s">
        <v>1595</v>
      </c>
      <c r="E845" t="s">
        <v>1177</v>
      </c>
    </row>
    <row r="846" spans="1:5" x14ac:dyDescent="0.2">
      <c r="A846" t="s">
        <v>2870</v>
      </c>
      <c r="B846" t="s">
        <v>2871</v>
      </c>
      <c r="C846" t="s">
        <v>1177</v>
      </c>
      <c r="D846" t="s">
        <v>1595</v>
      </c>
      <c r="E846" t="s">
        <v>1177</v>
      </c>
    </row>
    <row r="847" spans="1:5" x14ac:dyDescent="0.2">
      <c r="A847" t="s">
        <v>2872</v>
      </c>
      <c r="B847" t="s">
        <v>2873</v>
      </c>
      <c r="C847" t="s">
        <v>1177</v>
      </c>
      <c r="D847" t="s">
        <v>1595</v>
      </c>
      <c r="E847" t="s">
        <v>1177</v>
      </c>
    </row>
    <row r="848" spans="1:5" x14ac:dyDescent="0.2">
      <c r="A848" t="s">
        <v>2874</v>
      </c>
      <c r="B848" t="s">
        <v>2875</v>
      </c>
      <c r="C848" t="s">
        <v>1177</v>
      </c>
      <c r="D848" t="s">
        <v>1595</v>
      </c>
      <c r="E848" t="s">
        <v>1177</v>
      </c>
    </row>
    <row r="849" spans="1:5" x14ac:dyDescent="0.2">
      <c r="A849" t="s">
        <v>2876</v>
      </c>
      <c r="B849" t="s">
        <v>2877</v>
      </c>
      <c r="C849" t="s">
        <v>1177</v>
      </c>
      <c r="D849" t="s">
        <v>1595</v>
      </c>
      <c r="E849" t="s">
        <v>1177</v>
      </c>
    </row>
    <row r="850" spans="1:5" x14ac:dyDescent="0.2">
      <c r="A850" t="s">
        <v>2878</v>
      </c>
      <c r="B850" t="s">
        <v>2879</v>
      </c>
      <c r="C850" t="s">
        <v>1177</v>
      </c>
      <c r="D850" t="s">
        <v>1595</v>
      </c>
      <c r="E850" t="s">
        <v>1177</v>
      </c>
    </row>
    <row r="851" spans="1:5" x14ac:dyDescent="0.2">
      <c r="A851" t="s">
        <v>2880</v>
      </c>
      <c r="B851" t="s">
        <v>2881</v>
      </c>
      <c r="C851" t="s">
        <v>1177</v>
      </c>
      <c r="D851" t="s">
        <v>1595</v>
      </c>
      <c r="E851" t="s">
        <v>1177</v>
      </c>
    </row>
    <row r="852" spans="1:5" x14ac:dyDescent="0.2">
      <c r="A852" t="s">
        <v>2882</v>
      </c>
      <c r="B852" t="s">
        <v>2883</v>
      </c>
      <c r="C852" t="s">
        <v>1177</v>
      </c>
      <c r="D852" t="s">
        <v>1595</v>
      </c>
      <c r="E852" t="s">
        <v>1177</v>
      </c>
    </row>
    <row r="853" spans="1:5" x14ac:dyDescent="0.2">
      <c r="A853" t="s">
        <v>2884</v>
      </c>
      <c r="B853" t="s">
        <v>2885</v>
      </c>
      <c r="C853" t="s">
        <v>1177</v>
      </c>
      <c r="D853" t="s">
        <v>1595</v>
      </c>
      <c r="E853" t="s">
        <v>1177</v>
      </c>
    </row>
    <row r="854" spans="1:5" x14ac:dyDescent="0.2">
      <c r="A854" t="s">
        <v>2886</v>
      </c>
      <c r="B854" t="s">
        <v>2887</v>
      </c>
      <c r="C854" t="s">
        <v>1177</v>
      </c>
      <c r="D854" t="s">
        <v>1595</v>
      </c>
      <c r="E854" t="s">
        <v>1177</v>
      </c>
    </row>
    <row r="855" spans="1:5" x14ac:dyDescent="0.2">
      <c r="A855" t="s">
        <v>2888</v>
      </c>
      <c r="B855" t="s">
        <v>2889</v>
      </c>
      <c r="C855" t="s">
        <v>1177</v>
      </c>
      <c r="D855" t="s">
        <v>1595</v>
      </c>
      <c r="E855" t="s">
        <v>1177</v>
      </c>
    </row>
    <row r="856" spans="1:5" x14ac:dyDescent="0.2">
      <c r="A856" t="s">
        <v>2890</v>
      </c>
      <c r="B856" t="s">
        <v>2891</v>
      </c>
      <c r="C856" t="s">
        <v>1177</v>
      </c>
      <c r="D856" t="s">
        <v>1595</v>
      </c>
      <c r="E856" t="s">
        <v>1177</v>
      </c>
    </row>
    <row r="857" spans="1:5" x14ac:dyDescent="0.2">
      <c r="A857" t="s">
        <v>2892</v>
      </c>
      <c r="B857" t="s">
        <v>2893</v>
      </c>
      <c r="C857" t="s">
        <v>1177</v>
      </c>
      <c r="D857" t="s">
        <v>1595</v>
      </c>
      <c r="E857" t="s">
        <v>1177</v>
      </c>
    </row>
    <row r="858" spans="1:5" x14ac:dyDescent="0.2">
      <c r="A858" t="s">
        <v>2894</v>
      </c>
      <c r="B858" t="s">
        <v>2895</v>
      </c>
      <c r="C858" t="s">
        <v>1177</v>
      </c>
      <c r="D858" t="s">
        <v>1595</v>
      </c>
      <c r="E858" t="s">
        <v>1177</v>
      </c>
    </row>
    <row r="859" spans="1:5" x14ac:dyDescent="0.2">
      <c r="A859" t="s">
        <v>2896</v>
      </c>
      <c r="B859" t="s">
        <v>2897</v>
      </c>
      <c r="C859" t="s">
        <v>1177</v>
      </c>
      <c r="D859" t="s">
        <v>1595</v>
      </c>
      <c r="E859" t="s">
        <v>1177</v>
      </c>
    </row>
    <row r="860" spans="1:5" x14ac:dyDescent="0.2">
      <c r="A860" t="s">
        <v>2898</v>
      </c>
      <c r="B860" t="s">
        <v>2899</v>
      </c>
      <c r="C860" t="s">
        <v>1177</v>
      </c>
      <c r="D860" t="s">
        <v>1595</v>
      </c>
      <c r="E860" t="s">
        <v>1177</v>
      </c>
    </row>
    <row r="861" spans="1:5" x14ac:dyDescent="0.2">
      <c r="A861" t="s">
        <v>2900</v>
      </c>
      <c r="B861" t="s">
        <v>2901</v>
      </c>
      <c r="C861" t="s">
        <v>1177</v>
      </c>
      <c r="D861" t="s">
        <v>1595</v>
      </c>
      <c r="E861" t="s">
        <v>1177</v>
      </c>
    </row>
    <row r="862" spans="1:5" x14ac:dyDescent="0.2">
      <c r="A862" t="s">
        <v>2902</v>
      </c>
      <c r="B862" t="s">
        <v>2903</v>
      </c>
      <c r="C862" t="s">
        <v>1177</v>
      </c>
      <c r="D862" t="s">
        <v>1595</v>
      </c>
      <c r="E862" t="s">
        <v>1177</v>
      </c>
    </row>
    <row r="863" spans="1:5" x14ac:dyDescent="0.2">
      <c r="A863" t="s">
        <v>2904</v>
      </c>
      <c r="B863" t="s">
        <v>2905</v>
      </c>
      <c r="C863" t="s">
        <v>1177</v>
      </c>
      <c r="D863" t="s">
        <v>1595</v>
      </c>
      <c r="E863" t="s">
        <v>1177</v>
      </c>
    </row>
    <row r="864" spans="1:5" x14ac:dyDescent="0.2">
      <c r="A864" t="s">
        <v>2906</v>
      </c>
      <c r="B864" t="s">
        <v>2907</v>
      </c>
      <c r="C864" t="s">
        <v>1177</v>
      </c>
      <c r="D864" t="s">
        <v>1595</v>
      </c>
      <c r="E864" t="s">
        <v>1177</v>
      </c>
    </row>
    <row r="865" spans="1:5" x14ac:dyDescent="0.2">
      <c r="A865" t="s">
        <v>2908</v>
      </c>
      <c r="B865" t="s">
        <v>2909</v>
      </c>
      <c r="C865" t="s">
        <v>1177</v>
      </c>
      <c r="D865" t="s">
        <v>1595</v>
      </c>
      <c r="E865" t="s">
        <v>1177</v>
      </c>
    </row>
    <row r="866" spans="1:5" x14ac:dyDescent="0.2">
      <c r="A866" t="s">
        <v>2910</v>
      </c>
      <c r="B866" t="s">
        <v>2911</v>
      </c>
      <c r="C866" t="s">
        <v>1177</v>
      </c>
      <c r="D866" t="s">
        <v>1595</v>
      </c>
      <c r="E866" t="s">
        <v>1177</v>
      </c>
    </row>
    <row r="867" spans="1:5" x14ac:dyDescent="0.2">
      <c r="A867" t="s">
        <v>2912</v>
      </c>
      <c r="B867" t="s">
        <v>2913</v>
      </c>
      <c r="C867" t="s">
        <v>1177</v>
      </c>
      <c r="D867" t="s">
        <v>1595</v>
      </c>
      <c r="E867" t="s">
        <v>1177</v>
      </c>
    </row>
    <row r="868" spans="1:5" x14ac:dyDescent="0.2">
      <c r="A868" t="s">
        <v>2914</v>
      </c>
      <c r="B868" t="s">
        <v>2915</v>
      </c>
      <c r="C868" t="s">
        <v>1177</v>
      </c>
      <c r="D868" t="s">
        <v>1595</v>
      </c>
      <c r="E868" t="s">
        <v>1177</v>
      </c>
    </row>
    <row r="869" spans="1:5" x14ac:dyDescent="0.2">
      <c r="A869" t="s">
        <v>2916</v>
      </c>
      <c r="B869" t="s">
        <v>2917</v>
      </c>
      <c r="C869" t="s">
        <v>1177</v>
      </c>
      <c r="D869" t="s">
        <v>1595</v>
      </c>
      <c r="E869" t="s">
        <v>1177</v>
      </c>
    </row>
    <row r="870" spans="1:5" x14ac:dyDescent="0.2">
      <c r="A870" t="s">
        <v>2918</v>
      </c>
      <c r="B870" t="s">
        <v>2919</v>
      </c>
      <c r="C870" t="s">
        <v>1177</v>
      </c>
      <c r="D870" t="s">
        <v>1595</v>
      </c>
      <c r="E870" t="s">
        <v>1177</v>
      </c>
    </row>
    <row r="871" spans="1:5" x14ac:dyDescent="0.2">
      <c r="A871" t="s">
        <v>2920</v>
      </c>
      <c r="B871" t="s">
        <v>2921</v>
      </c>
      <c r="C871" t="s">
        <v>1177</v>
      </c>
      <c r="D871" t="s">
        <v>1595</v>
      </c>
      <c r="E871" t="s">
        <v>1177</v>
      </c>
    </row>
    <row r="872" spans="1:5" x14ac:dyDescent="0.2">
      <c r="A872" t="s">
        <v>2922</v>
      </c>
      <c r="B872" t="s">
        <v>2923</v>
      </c>
      <c r="C872" t="s">
        <v>1177</v>
      </c>
      <c r="D872" t="s">
        <v>1595</v>
      </c>
      <c r="E872" t="s">
        <v>1177</v>
      </c>
    </row>
    <row r="873" spans="1:5" x14ac:dyDescent="0.2">
      <c r="A873" t="s">
        <v>2924</v>
      </c>
      <c r="B873" t="s">
        <v>2925</v>
      </c>
      <c r="C873" t="s">
        <v>1177</v>
      </c>
      <c r="D873" t="s">
        <v>1595</v>
      </c>
      <c r="E873" t="s">
        <v>1177</v>
      </c>
    </row>
    <row r="874" spans="1:5" x14ac:dyDescent="0.2">
      <c r="A874" t="s">
        <v>2926</v>
      </c>
      <c r="B874" t="s">
        <v>2927</v>
      </c>
      <c r="C874" t="s">
        <v>1177</v>
      </c>
      <c r="D874" t="s">
        <v>1595</v>
      </c>
      <c r="E874" t="s">
        <v>1177</v>
      </c>
    </row>
    <row r="875" spans="1:5" x14ac:dyDescent="0.2">
      <c r="A875" t="s">
        <v>2928</v>
      </c>
      <c r="B875" t="s">
        <v>2929</v>
      </c>
      <c r="C875" t="s">
        <v>1177</v>
      </c>
      <c r="D875" t="s">
        <v>1595</v>
      </c>
      <c r="E875" t="s">
        <v>1177</v>
      </c>
    </row>
    <row r="876" spans="1:5" x14ac:dyDescent="0.2">
      <c r="A876" t="s">
        <v>2930</v>
      </c>
      <c r="B876" t="s">
        <v>2931</v>
      </c>
      <c r="C876" t="s">
        <v>1177</v>
      </c>
      <c r="D876" t="s">
        <v>1595</v>
      </c>
      <c r="E876" t="s">
        <v>1177</v>
      </c>
    </row>
    <row r="877" spans="1:5" x14ac:dyDescent="0.2">
      <c r="A877" t="s">
        <v>2932</v>
      </c>
      <c r="B877" t="s">
        <v>2933</v>
      </c>
      <c r="C877" t="s">
        <v>1177</v>
      </c>
      <c r="D877" t="s">
        <v>1595</v>
      </c>
      <c r="E877" t="s">
        <v>1177</v>
      </c>
    </row>
    <row r="878" spans="1:5" x14ac:dyDescent="0.2">
      <c r="A878" t="s">
        <v>2934</v>
      </c>
      <c r="B878" t="s">
        <v>2935</v>
      </c>
      <c r="C878" t="s">
        <v>1177</v>
      </c>
      <c r="D878" t="s">
        <v>1595</v>
      </c>
      <c r="E878" t="s">
        <v>1177</v>
      </c>
    </row>
    <row r="879" spans="1:5" x14ac:dyDescent="0.2">
      <c r="A879" t="s">
        <v>2936</v>
      </c>
      <c r="B879" t="s">
        <v>2937</v>
      </c>
      <c r="C879" t="s">
        <v>1177</v>
      </c>
      <c r="D879" t="s">
        <v>1595</v>
      </c>
      <c r="E879" t="s">
        <v>1177</v>
      </c>
    </row>
    <row r="880" spans="1:5" x14ac:dyDescent="0.2">
      <c r="A880" t="s">
        <v>2938</v>
      </c>
      <c r="B880" t="s">
        <v>2939</v>
      </c>
      <c r="C880" t="s">
        <v>1177</v>
      </c>
      <c r="D880" t="s">
        <v>1595</v>
      </c>
      <c r="E880" t="s">
        <v>1177</v>
      </c>
    </row>
    <row r="881" spans="1:5" x14ac:dyDescent="0.2">
      <c r="A881" t="s">
        <v>2940</v>
      </c>
      <c r="B881" t="s">
        <v>2941</v>
      </c>
      <c r="C881" t="s">
        <v>1177</v>
      </c>
      <c r="D881" t="s">
        <v>1595</v>
      </c>
      <c r="E881" t="s">
        <v>1177</v>
      </c>
    </row>
    <row r="882" spans="1:5" x14ac:dyDescent="0.2">
      <c r="A882" t="s">
        <v>2942</v>
      </c>
      <c r="B882" t="s">
        <v>2943</v>
      </c>
      <c r="C882" t="s">
        <v>1177</v>
      </c>
      <c r="D882" t="s">
        <v>1595</v>
      </c>
      <c r="E882" t="s">
        <v>1177</v>
      </c>
    </row>
    <row r="883" spans="1:5" x14ac:dyDescent="0.2">
      <c r="A883" t="s">
        <v>2944</v>
      </c>
      <c r="B883" t="s">
        <v>2945</v>
      </c>
      <c r="C883" t="s">
        <v>1177</v>
      </c>
      <c r="D883" t="s">
        <v>1595</v>
      </c>
      <c r="E883" t="s">
        <v>1177</v>
      </c>
    </row>
    <row r="884" spans="1:5" x14ac:dyDescent="0.2">
      <c r="A884" t="s">
        <v>2946</v>
      </c>
      <c r="B884" t="s">
        <v>2947</v>
      </c>
      <c r="C884" t="s">
        <v>1177</v>
      </c>
      <c r="D884" t="s">
        <v>1595</v>
      </c>
      <c r="E884" t="s">
        <v>1177</v>
      </c>
    </row>
    <row r="885" spans="1:5" x14ac:dyDescent="0.2">
      <c r="A885" t="s">
        <v>2948</v>
      </c>
      <c r="B885" t="s">
        <v>2949</v>
      </c>
      <c r="C885" t="s">
        <v>1177</v>
      </c>
      <c r="D885" t="s">
        <v>1595</v>
      </c>
      <c r="E885" t="s">
        <v>1177</v>
      </c>
    </row>
    <row r="886" spans="1:5" x14ac:dyDescent="0.2">
      <c r="A886" t="s">
        <v>2950</v>
      </c>
      <c r="B886" t="s">
        <v>2951</v>
      </c>
      <c r="C886" t="s">
        <v>1177</v>
      </c>
      <c r="D886" t="s">
        <v>1595</v>
      </c>
      <c r="E886" t="s">
        <v>1177</v>
      </c>
    </row>
    <row r="887" spans="1:5" x14ac:dyDescent="0.2">
      <c r="A887" t="s">
        <v>2952</v>
      </c>
      <c r="B887" t="s">
        <v>2953</v>
      </c>
      <c r="C887" t="s">
        <v>1177</v>
      </c>
      <c r="D887" t="s">
        <v>1595</v>
      </c>
      <c r="E887" t="s">
        <v>1177</v>
      </c>
    </row>
    <row r="888" spans="1:5" x14ac:dyDescent="0.2">
      <c r="A888" t="s">
        <v>2954</v>
      </c>
      <c r="B888" t="s">
        <v>2955</v>
      </c>
      <c r="C888" t="s">
        <v>1177</v>
      </c>
      <c r="D888" t="s">
        <v>1595</v>
      </c>
      <c r="E888" t="s">
        <v>1177</v>
      </c>
    </row>
    <row r="889" spans="1:5" x14ac:dyDescent="0.2">
      <c r="A889" t="s">
        <v>2956</v>
      </c>
      <c r="B889" t="s">
        <v>2957</v>
      </c>
      <c r="C889" t="s">
        <v>1177</v>
      </c>
      <c r="D889" t="s">
        <v>1595</v>
      </c>
      <c r="E889" t="s">
        <v>1177</v>
      </c>
    </row>
    <row r="890" spans="1:5" x14ac:dyDescent="0.2">
      <c r="A890" t="s">
        <v>2958</v>
      </c>
      <c r="B890" t="s">
        <v>2959</v>
      </c>
      <c r="C890" t="s">
        <v>1177</v>
      </c>
      <c r="D890" t="s">
        <v>1595</v>
      </c>
      <c r="E890" t="s">
        <v>1177</v>
      </c>
    </row>
    <row r="891" spans="1:5" x14ac:dyDescent="0.2">
      <c r="A891" t="s">
        <v>2960</v>
      </c>
      <c r="B891" t="s">
        <v>2961</v>
      </c>
      <c r="C891" t="s">
        <v>1177</v>
      </c>
      <c r="D891" t="s">
        <v>1595</v>
      </c>
      <c r="E891" t="s">
        <v>1177</v>
      </c>
    </row>
    <row r="892" spans="1:5" x14ac:dyDescent="0.2">
      <c r="A892" t="s">
        <v>2962</v>
      </c>
      <c r="B892" t="s">
        <v>2963</v>
      </c>
      <c r="C892" t="s">
        <v>1177</v>
      </c>
      <c r="D892" t="s">
        <v>1595</v>
      </c>
      <c r="E892" t="s">
        <v>1177</v>
      </c>
    </row>
    <row r="893" spans="1:5" x14ac:dyDescent="0.2">
      <c r="A893" t="s">
        <v>2964</v>
      </c>
      <c r="B893" t="s">
        <v>2965</v>
      </c>
      <c r="C893" t="s">
        <v>1177</v>
      </c>
      <c r="D893" t="s">
        <v>1595</v>
      </c>
      <c r="E893" t="s">
        <v>1177</v>
      </c>
    </row>
    <row r="894" spans="1:5" x14ac:dyDescent="0.2">
      <c r="A894" t="s">
        <v>2966</v>
      </c>
      <c r="B894" t="s">
        <v>2967</v>
      </c>
      <c r="C894" t="s">
        <v>1177</v>
      </c>
      <c r="D894" t="s">
        <v>1595</v>
      </c>
      <c r="E894" t="s">
        <v>1177</v>
      </c>
    </row>
    <row r="895" spans="1:5" x14ac:dyDescent="0.2">
      <c r="A895" t="s">
        <v>2968</v>
      </c>
      <c r="B895" t="s">
        <v>2969</v>
      </c>
      <c r="C895" t="s">
        <v>1177</v>
      </c>
      <c r="D895" t="s">
        <v>1595</v>
      </c>
      <c r="E895" t="s">
        <v>1177</v>
      </c>
    </row>
    <row r="896" spans="1:5" x14ac:dyDescent="0.2">
      <c r="A896" t="s">
        <v>2970</v>
      </c>
      <c r="B896" t="s">
        <v>2971</v>
      </c>
      <c r="C896" t="s">
        <v>1177</v>
      </c>
      <c r="D896" t="s">
        <v>1595</v>
      </c>
      <c r="E896" t="s">
        <v>1177</v>
      </c>
    </row>
    <row r="897" spans="1:5" x14ac:dyDescent="0.2">
      <c r="A897" t="s">
        <v>2972</v>
      </c>
      <c r="B897" t="s">
        <v>2973</v>
      </c>
      <c r="C897" t="s">
        <v>1177</v>
      </c>
      <c r="D897" t="s">
        <v>1595</v>
      </c>
      <c r="E897" t="s">
        <v>1177</v>
      </c>
    </row>
    <row r="898" spans="1:5" x14ac:dyDescent="0.2">
      <c r="A898" t="s">
        <v>2974</v>
      </c>
      <c r="B898" t="s">
        <v>2975</v>
      </c>
      <c r="C898" t="s">
        <v>1177</v>
      </c>
      <c r="D898" t="s">
        <v>1595</v>
      </c>
      <c r="E898" t="s">
        <v>1177</v>
      </c>
    </row>
    <row r="899" spans="1:5" x14ac:dyDescent="0.2">
      <c r="A899" t="s">
        <v>2976</v>
      </c>
      <c r="B899" t="s">
        <v>2977</v>
      </c>
      <c r="C899" t="s">
        <v>1177</v>
      </c>
      <c r="D899" t="s">
        <v>1595</v>
      </c>
      <c r="E899" t="s">
        <v>1177</v>
      </c>
    </row>
    <row r="900" spans="1:5" x14ac:dyDescent="0.2">
      <c r="A900" t="s">
        <v>2978</v>
      </c>
      <c r="B900" t="s">
        <v>2979</v>
      </c>
      <c r="C900" t="s">
        <v>1177</v>
      </c>
      <c r="D900" t="s">
        <v>1595</v>
      </c>
      <c r="E900" t="s">
        <v>1177</v>
      </c>
    </row>
    <row r="901" spans="1:5" x14ac:dyDescent="0.2">
      <c r="A901" t="s">
        <v>2980</v>
      </c>
      <c r="B901" t="s">
        <v>2981</v>
      </c>
      <c r="C901" t="s">
        <v>1177</v>
      </c>
      <c r="D901" t="s">
        <v>1595</v>
      </c>
      <c r="E901" t="s">
        <v>1177</v>
      </c>
    </row>
    <row r="902" spans="1:5" x14ac:dyDescent="0.2">
      <c r="A902" t="s">
        <v>2982</v>
      </c>
      <c r="B902" t="s">
        <v>2983</v>
      </c>
      <c r="C902" t="s">
        <v>1177</v>
      </c>
      <c r="D902" t="s">
        <v>1595</v>
      </c>
      <c r="E902" t="s">
        <v>1177</v>
      </c>
    </row>
    <row r="903" spans="1:5" x14ac:dyDescent="0.2">
      <c r="A903" t="s">
        <v>2984</v>
      </c>
      <c r="B903" t="s">
        <v>2985</v>
      </c>
      <c r="C903" t="s">
        <v>1177</v>
      </c>
      <c r="D903" t="s">
        <v>1595</v>
      </c>
      <c r="E903" t="s">
        <v>1177</v>
      </c>
    </row>
    <row r="904" spans="1:5" x14ac:dyDescent="0.2">
      <c r="A904" t="s">
        <v>2986</v>
      </c>
      <c r="B904" t="s">
        <v>2987</v>
      </c>
      <c r="C904" t="s">
        <v>1177</v>
      </c>
      <c r="D904" t="s">
        <v>1595</v>
      </c>
      <c r="E904" t="s">
        <v>1177</v>
      </c>
    </row>
    <row r="905" spans="1:5" x14ac:dyDescent="0.2">
      <c r="A905" t="s">
        <v>2988</v>
      </c>
      <c r="B905" t="s">
        <v>2989</v>
      </c>
      <c r="C905" t="s">
        <v>1177</v>
      </c>
      <c r="D905" t="s">
        <v>1595</v>
      </c>
      <c r="E905" t="s">
        <v>1177</v>
      </c>
    </row>
    <row r="906" spans="1:5" x14ac:dyDescent="0.2">
      <c r="A906" t="s">
        <v>2990</v>
      </c>
      <c r="B906" t="s">
        <v>2991</v>
      </c>
      <c r="C906" t="s">
        <v>1177</v>
      </c>
      <c r="D906" t="s">
        <v>1595</v>
      </c>
      <c r="E906" t="s">
        <v>1177</v>
      </c>
    </row>
    <row r="907" spans="1:5" x14ac:dyDescent="0.2">
      <c r="A907" t="s">
        <v>2992</v>
      </c>
      <c r="B907" t="s">
        <v>2993</v>
      </c>
      <c r="C907" t="s">
        <v>1177</v>
      </c>
      <c r="D907" t="s">
        <v>1595</v>
      </c>
      <c r="E907" t="s">
        <v>1177</v>
      </c>
    </row>
    <row r="908" spans="1:5" x14ac:dyDescent="0.2">
      <c r="A908" t="s">
        <v>2994</v>
      </c>
      <c r="B908" t="s">
        <v>2995</v>
      </c>
      <c r="C908" t="s">
        <v>1177</v>
      </c>
      <c r="D908" t="s">
        <v>1595</v>
      </c>
      <c r="E908" t="s">
        <v>1177</v>
      </c>
    </row>
    <row r="909" spans="1:5" x14ac:dyDescent="0.2">
      <c r="A909" t="s">
        <v>2996</v>
      </c>
      <c r="B909" t="s">
        <v>2997</v>
      </c>
      <c r="C909" t="s">
        <v>1177</v>
      </c>
      <c r="D909" t="s">
        <v>1595</v>
      </c>
      <c r="E909" t="s">
        <v>1177</v>
      </c>
    </row>
    <row r="910" spans="1:5" x14ac:dyDescent="0.2">
      <c r="A910" t="s">
        <v>2998</v>
      </c>
      <c r="B910" t="s">
        <v>2999</v>
      </c>
      <c r="C910" t="s">
        <v>1177</v>
      </c>
      <c r="D910" t="s">
        <v>1595</v>
      </c>
      <c r="E910" t="s">
        <v>1177</v>
      </c>
    </row>
    <row r="911" spans="1:5" x14ac:dyDescent="0.2">
      <c r="A911" t="s">
        <v>3000</v>
      </c>
      <c r="B911" t="s">
        <v>3001</v>
      </c>
      <c r="C911" t="s">
        <v>1177</v>
      </c>
      <c r="D911" t="s">
        <v>1595</v>
      </c>
      <c r="E911" t="s">
        <v>1177</v>
      </c>
    </row>
    <row r="912" spans="1:5" x14ac:dyDescent="0.2">
      <c r="A912" t="s">
        <v>3002</v>
      </c>
      <c r="B912" t="s">
        <v>3003</v>
      </c>
      <c r="C912" t="s">
        <v>1177</v>
      </c>
      <c r="D912" t="s">
        <v>1595</v>
      </c>
      <c r="E912" t="s">
        <v>1177</v>
      </c>
    </row>
    <row r="913" spans="1:5" x14ac:dyDescent="0.2">
      <c r="A913" t="s">
        <v>3004</v>
      </c>
      <c r="B913" t="s">
        <v>3005</v>
      </c>
      <c r="C913" t="s">
        <v>1177</v>
      </c>
      <c r="D913" t="s">
        <v>1595</v>
      </c>
      <c r="E913" t="s">
        <v>1177</v>
      </c>
    </row>
    <row r="914" spans="1:5" x14ac:dyDescent="0.2">
      <c r="A914" t="s">
        <v>3006</v>
      </c>
      <c r="B914" t="s">
        <v>3007</v>
      </c>
      <c r="C914" t="s">
        <v>1177</v>
      </c>
      <c r="D914" t="s">
        <v>1595</v>
      </c>
      <c r="E914" t="s">
        <v>1177</v>
      </c>
    </row>
    <row r="915" spans="1:5" x14ac:dyDescent="0.2">
      <c r="A915" t="s">
        <v>3008</v>
      </c>
      <c r="B915" t="s">
        <v>3009</v>
      </c>
      <c r="C915" t="s">
        <v>1177</v>
      </c>
      <c r="D915" t="s">
        <v>1595</v>
      </c>
      <c r="E915" t="s">
        <v>1177</v>
      </c>
    </row>
    <row r="916" spans="1:5" x14ac:dyDescent="0.2">
      <c r="A916" t="s">
        <v>3010</v>
      </c>
      <c r="B916" t="s">
        <v>3011</v>
      </c>
      <c r="C916" t="s">
        <v>1177</v>
      </c>
      <c r="D916" t="s">
        <v>1595</v>
      </c>
      <c r="E916" t="s">
        <v>1177</v>
      </c>
    </row>
    <row r="917" spans="1:5" x14ac:dyDescent="0.2">
      <c r="A917" t="s">
        <v>3012</v>
      </c>
      <c r="B917" t="s">
        <v>3013</v>
      </c>
      <c r="C917" t="s">
        <v>1177</v>
      </c>
      <c r="D917" t="s">
        <v>1595</v>
      </c>
      <c r="E917" t="s">
        <v>1177</v>
      </c>
    </row>
    <row r="918" spans="1:5" x14ac:dyDescent="0.2">
      <c r="A918" t="s">
        <v>3014</v>
      </c>
      <c r="B918" t="s">
        <v>3015</v>
      </c>
      <c r="C918" t="s">
        <v>1177</v>
      </c>
      <c r="D918" t="s">
        <v>1595</v>
      </c>
      <c r="E918" t="s">
        <v>1177</v>
      </c>
    </row>
    <row r="919" spans="1:5" x14ac:dyDescent="0.2">
      <c r="A919" t="s">
        <v>3016</v>
      </c>
      <c r="B919" t="s">
        <v>3017</v>
      </c>
      <c r="C919" t="s">
        <v>1177</v>
      </c>
      <c r="D919" t="s">
        <v>1595</v>
      </c>
      <c r="E919" t="s">
        <v>1177</v>
      </c>
    </row>
    <row r="920" spans="1:5" x14ac:dyDescent="0.2">
      <c r="A920" t="s">
        <v>3018</v>
      </c>
      <c r="B920" t="s">
        <v>3019</v>
      </c>
      <c r="C920" t="s">
        <v>1177</v>
      </c>
      <c r="D920" t="s">
        <v>1595</v>
      </c>
      <c r="E920" t="s">
        <v>1177</v>
      </c>
    </row>
    <row r="921" spans="1:5" x14ac:dyDescent="0.2">
      <c r="A921" t="s">
        <v>3020</v>
      </c>
      <c r="B921" t="s">
        <v>3021</v>
      </c>
      <c r="C921" t="s">
        <v>1177</v>
      </c>
      <c r="D921" t="s">
        <v>1595</v>
      </c>
      <c r="E921" t="s">
        <v>1177</v>
      </c>
    </row>
    <row r="922" spans="1:5" x14ac:dyDescent="0.2">
      <c r="A922" t="s">
        <v>3022</v>
      </c>
      <c r="B922" t="s">
        <v>3023</v>
      </c>
      <c r="C922" t="s">
        <v>1177</v>
      </c>
      <c r="D922" t="s">
        <v>1177</v>
      </c>
      <c r="E922" t="s">
        <v>1177</v>
      </c>
    </row>
    <row r="923" spans="1:5" x14ac:dyDescent="0.2">
      <c r="A923" t="s">
        <v>3024</v>
      </c>
      <c r="B923" t="s">
        <v>3025</v>
      </c>
      <c r="C923" t="s">
        <v>1177</v>
      </c>
      <c r="D923" t="s">
        <v>1177</v>
      </c>
      <c r="E923" t="s">
        <v>1177</v>
      </c>
    </row>
    <row r="924" spans="1:5" x14ac:dyDescent="0.2">
      <c r="A924" t="s">
        <v>3026</v>
      </c>
      <c r="B924" t="s">
        <v>3023</v>
      </c>
      <c r="C924" t="s">
        <v>1177</v>
      </c>
      <c r="D924" t="s">
        <v>1177</v>
      </c>
      <c r="E924" t="s">
        <v>1177</v>
      </c>
    </row>
    <row r="925" spans="1:5" x14ac:dyDescent="0.2">
      <c r="A925" t="s">
        <v>3027</v>
      </c>
      <c r="B925" t="s">
        <v>3023</v>
      </c>
      <c r="C925" t="s">
        <v>1177</v>
      </c>
      <c r="D925" t="s">
        <v>1177</v>
      </c>
      <c r="E925" t="s">
        <v>1177</v>
      </c>
    </row>
    <row r="926" spans="1:5" x14ac:dyDescent="0.2">
      <c r="A926" t="s">
        <v>3028</v>
      </c>
      <c r="B926" t="s">
        <v>3025</v>
      </c>
      <c r="C926" t="s">
        <v>1177</v>
      </c>
      <c r="D926" t="s">
        <v>1177</v>
      </c>
      <c r="E926" t="s">
        <v>1177</v>
      </c>
    </row>
    <row r="927" spans="1:5" x14ac:dyDescent="0.2">
      <c r="A927" t="s">
        <v>3029</v>
      </c>
      <c r="B927" t="s">
        <v>3023</v>
      </c>
      <c r="C927" t="s">
        <v>1177</v>
      </c>
      <c r="D927" t="s">
        <v>1177</v>
      </c>
      <c r="E927" t="s">
        <v>1177</v>
      </c>
    </row>
    <row r="928" spans="1:5" x14ac:dyDescent="0.2">
      <c r="A928" t="s">
        <v>3030</v>
      </c>
      <c r="B928" t="s">
        <v>3023</v>
      </c>
      <c r="C928" t="s">
        <v>1177</v>
      </c>
      <c r="D928" t="s">
        <v>1177</v>
      </c>
      <c r="E928" t="s">
        <v>1177</v>
      </c>
    </row>
    <row r="929" spans="1:5" x14ac:dyDescent="0.2">
      <c r="A929" t="s">
        <v>3031</v>
      </c>
      <c r="B929" t="s">
        <v>3032</v>
      </c>
      <c r="C929" t="s">
        <v>1177</v>
      </c>
      <c r="D929" t="s">
        <v>1177</v>
      </c>
      <c r="E929" t="s">
        <v>1177</v>
      </c>
    </row>
    <row r="930" spans="1:5" x14ac:dyDescent="0.2">
      <c r="A930" t="s">
        <v>3033</v>
      </c>
      <c r="B930" t="s">
        <v>3023</v>
      </c>
      <c r="C930" t="s">
        <v>1177</v>
      </c>
      <c r="D930" t="s">
        <v>1177</v>
      </c>
      <c r="E930" t="s">
        <v>1177</v>
      </c>
    </row>
    <row r="931" spans="1:5" x14ac:dyDescent="0.2">
      <c r="A931" t="s">
        <v>3034</v>
      </c>
      <c r="B931" t="s">
        <v>3023</v>
      </c>
      <c r="C931" t="s">
        <v>1177</v>
      </c>
      <c r="D931" t="s">
        <v>1177</v>
      </c>
      <c r="E931" t="s">
        <v>1177</v>
      </c>
    </row>
    <row r="932" spans="1:5" x14ac:dyDescent="0.2">
      <c r="A932" t="s">
        <v>3035</v>
      </c>
      <c r="B932" t="s">
        <v>3036</v>
      </c>
      <c r="C932" t="s">
        <v>1177</v>
      </c>
      <c r="D932" t="s">
        <v>1177</v>
      </c>
      <c r="E932" t="s">
        <v>1177</v>
      </c>
    </row>
    <row r="933" spans="1:5" x14ac:dyDescent="0.2">
      <c r="A933" t="s">
        <v>3037</v>
      </c>
      <c r="B933" t="s">
        <v>3023</v>
      </c>
      <c r="C933" t="s">
        <v>1177</v>
      </c>
      <c r="D933" t="s">
        <v>1177</v>
      </c>
      <c r="E933" t="s">
        <v>1177</v>
      </c>
    </row>
    <row r="934" spans="1:5" x14ac:dyDescent="0.2">
      <c r="A934" t="s">
        <v>3038</v>
      </c>
      <c r="B934" t="s">
        <v>1548</v>
      </c>
      <c r="C934" t="s">
        <v>1177</v>
      </c>
      <c r="D934" t="s">
        <v>1177</v>
      </c>
      <c r="E934" t="s">
        <v>1177</v>
      </c>
    </row>
    <row r="935" spans="1:5" x14ac:dyDescent="0.2">
      <c r="A935" t="s">
        <v>3039</v>
      </c>
      <c r="B935" t="s">
        <v>3040</v>
      </c>
      <c r="C935" t="s">
        <v>1177</v>
      </c>
      <c r="D935" t="s">
        <v>1177</v>
      </c>
      <c r="E935" t="s">
        <v>1177</v>
      </c>
    </row>
    <row r="936" spans="1:5" x14ac:dyDescent="0.2">
      <c r="A936" t="s">
        <v>3041</v>
      </c>
      <c r="B936" t="s">
        <v>1548</v>
      </c>
      <c r="C936" t="s">
        <v>1177</v>
      </c>
      <c r="D936" t="s">
        <v>1177</v>
      </c>
      <c r="E936" t="s">
        <v>1177</v>
      </c>
    </row>
    <row r="937" spans="1:5" x14ac:dyDescent="0.2">
      <c r="A937" t="s">
        <v>3042</v>
      </c>
      <c r="B937" t="s">
        <v>1548</v>
      </c>
      <c r="C937" t="s">
        <v>1177</v>
      </c>
      <c r="D937" t="s">
        <v>1177</v>
      </c>
      <c r="E937" t="s">
        <v>1177</v>
      </c>
    </row>
    <row r="938" spans="1:5" x14ac:dyDescent="0.2">
      <c r="A938" t="s">
        <v>3043</v>
      </c>
      <c r="B938" t="s">
        <v>3025</v>
      </c>
      <c r="C938" t="s">
        <v>1177</v>
      </c>
      <c r="D938" t="s">
        <v>1177</v>
      </c>
      <c r="E938" t="s">
        <v>1177</v>
      </c>
    </row>
    <row r="939" spans="1:5" x14ac:dyDescent="0.2">
      <c r="A939" t="s">
        <v>3044</v>
      </c>
      <c r="B939" t="s">
        <v>1548</v>
      </c>
      <c r="C939" t="s">
        <v>1177</v>
      </c>
      <c r="D939" t="s">
        <v>1177</v>
      </c>
      <c r="E939" t="s">
        <v>1177</v>
      </c>
    </row>
    <row r="940" spans="1:5" x14ac:dyDescent="0.2">
      <c r="A940" t="s">
        <v>3045</v>
      </c>
      <c r="B940" t="s">
        <v>1548</v>
      </c>
      <c r="C940" t="s">
        <v>1177</v>
      </c>
      <c r="D940" t="s">
        <v>1177</v>
      </c>
      <c r="E940" t="s">
        <v>1177</v>
      </c>
    </row>
    <row r="941" spans="1:5" x14ac:dyDescent="0.2">
      <c r="A941" t="s">
        <v>3046</v>
      </c>
      <c r="B941" t="s">
        <v>3025</v>
      </c>
      <c r="C941" t="s">
        <v>1177</v>
      </c>
      <c r="D941" t="s">
        <v>1177</v>
      </c>
      <c r="E941" t="s">
        <v>1177</v>
      </c>
    </row>
    <row r="942" spans="1:5" x14ac:dyDescent="0.2">
      <c r="A942" t="s">
        <v>3047</v>
      </c>
      <c r="B942" t="s">
        <v>1548</v>
      </c>
      <c r="C942" t="s">
        <v>1177</v>
      </c>
      <c r="D942" t="s">
        <v>1177</v>
      </c>
      <c r="E942" t="s">
        <v>1177</v>
      </c>
    </row>
    <row r="943" spans="1:5" x14ac:dyDescent="0.2">
      <c r="A943" t="s">
        <v>3048</v>
      </c>
      <c r="B943" t="s">
        <v>1548</v>
      </c>
      <c r="C943" t="s">
        <v>1177</v>
      </c>
      <c r="D943" t="s">
        <v>1177</v>
      </c>
      <c r="E943" t="s">
        <v>1177</v>
      </c>
    </row>
    <row r="944" spans="1:5" x14ac:dyDescent="0.2">
      <c r="A944" t="s">
        <v>3049</v>
      </c>
      <c r="B944" t="s">
        <v>3050</v>
      </c>
      <c r="C944" t="s">
        <v>1177</v>
      </c>
      <c r="D944" t="s">
        <v>1177</v>
      </c>
      <c r="E944" t="s">
        <v>1177</v>
      </c>
    </row>
    <row r="945" spans="1:5" x14ac:dyDescent="0.2">
      <c r="A945" t="s">
        <v>3051</v>
      </c>
      <c r="B945" t="s">
        <v>1548</v>
      </c>
      <c r="C945" t="s">
        <v>1177</v>
      </c>
      <c r="D945" t="s">
        <v>1177</v>
      </c>
      <c r="E945" t="s">
        <v>1177</v>
      </c>
    </row>
    <row r="946" spans="1:5" x14ac:dyDescent="0.2">
      <c r="A946" t="s">
        <v>3052</v>
      </c>
      <c r="B946" t="s">
        <v>1548</v>
      </c>
      <c r="C946" t="s">
        <v>1177</v>
      </c>
      <c r="D946" t="s">
        <v>1177</v>
      </c>
      <c r="E946" t="s">
        <v>1177</v>
      </c>
    </row>
    <row r="947" spans="1:5" x14ac:dyDescent="0.2">
      <c r="A947" t="s">
        <v>3053</v>
      </c>
      <c r="B947" t="s">
        <v>3025</v>
      </c>
      <c r="C947" t="s">
        <v>1177</v>
      </c>
      <c r="D947" t="s">
        <v>1177</v>
      </c>
      <c r="E947" t="s">
        <v>1177</v>
      </c>
    </row>
    <row r="948" spans="1:5" x14ac:dyDescent="0.2">
      <c r="A948" t="s">
        <v>3054</v>
      </c>
      <c r="B948" t="s">
        <v>1548</v>
      </c>
      <c r="C948" t="s">
        <v>1177</v>
      </c>
      <c r="D948" t="s">
        <v>1177</v>
      </c>
      <c r="E948" t="s">
        <v>1177</v>
      </c>
    </row>
    <row r="949" spans="1:5" x14ac:dyDescent="0.2">
      <c r="A949" t="s">
        <v>3055</v>
      </c>
      <c r="B949" t="s">
        <v>1548</v>
      </c>
      <c r="C949" t="s">
        <v>1177</v>
      </c>
      <c r="D949" t="s">
        <v>1177</v>
      </c>
      <c r="E949" t="s">
        <v>1177</v>
      </c>
    </row>
    <row r="950" spans="1:5" x14ac:dyDescent="0.2">
      <c r="A950" t="s">
        <v>3056</v>
      </c>
      <c r="B950" t="s">
        <v>1548</v>
      </c>
      <c r="C950" t="s">
        <v>1177</v>
      </c>
      <c r="D950" t="s">
        <v>1177</v>
      </c>
      <c r="E950" t="s">
        <v>1177</v>
      </c>
    </row>
    <row r="951" spans="1:5" x14ac:dyDescent="0.2">
      <c r="A951" t="s">
        <v>3057</v>
      </c>
      <c r="B951" t="s">
        <v>1548</v>
      </c>
      <c r="C951" t="s">
        <v>1177</v>
      </c>
      <c r="D951" t="s">
        <v>1177</v>
      </c>
      <c r="E951" t="s">
        <v>1177</v>
      </c>
    </row>
    <row r="952" spans="1:5" x14ac:dyDescent="0.2">
      <c r="A952" t="s">
        <v>3058</v>
      </c>
      <c r="B952" t="s">
        <v>1548</v>
      </c>
      <c r="C952" t="s">
        <v>1177</v>
      </c>
      <c r="D952" t="s">
        <v>1177</v>
      </c>
      <c r="E952" t="s">
        <v>1177</v>
      </c>
    </row>
    <row r="953" spans="1:5" x14ac:dyDescent="0.2">
      <c r="A953" t="s">
        <v>3059</v>
      </c>
      <c r="B953" t="s">
        <v>3025</v>
      </c>
      <c r="C953" t="s">
        <v>1177</v>
      </c>
      <c r="D953" t="s">
        <v>1177</v>
      </c>
      <c r="E953" t="s">
        <v>1177</v>
      </c>
    </row>
    <row r="954" spans="1:5" x14ac:dyDescent="0.2">
      <c r="A954" t="s">
        <v>3060</v>
      </c>
      <c r="B954" t="s">
        <v>1548</v>
      </c>
      <c r="C954" t="s">
        <v>1177</v>
      </c>
      <c r="D954" t="s">
        <v>1177</v>
      </c>
      <c r="E954" t="s">
        <v>1177</v>
      </c>
    </row>
    <row r="955" spans="1:5" x14ac:dyDescent="0.2">
      <c r="A955" t="s">
        <v>3061</v>
      </c>
      <c r="B955" t="s">
        <v>1548</v>
      </c>
      <c r="C955" t="s">
        <v>1177</v>
      </c>
      <c r="D955" t="s">
        <v>1177</v>
      </c>
      <c r="E955" t="s">
        <v>1177</v>
      </c>
    </row>
    <row r="956" spans="1:5" x14ac:dyDescent="0.2">
      <c r="A956" t="s">
        <v>3062</v>
      </c>
      <c r="B956" t="s">
        <v>1548</v>
      </c>
      <c r="C956" t="s">
        <v>1177</v>
      </c>
      <c r="D956" t="s">
        <v>1177</v>
      </c>
      <c r="E956" t="s">
        <v>1177</v>
      </c>
    </row>
    <row r="957" spans="1:5" x14ac:dyDescent="0.2">
      <c r="A957" t="s">
        <v>3063</v>
      </c>
      <c r="B957" t="s">
        <v>1548</v>
      </c>
      <c r="C957" t="s">
        <v>1177</v>
      </c>
      <c r="D957" t="s">
        <v>1177</v>
      </c>
      <c r="E957" t="s">
        <v>1177</v>
      </c>
    </row>
    <row r="958" spans="1:5" x14ac:dyDescent="0.2">
      <c r="A958" t="s">
        <v>3064</v>
      </c>
      <c r="B958" t="s">
        <v>1097</v>
      </c>
      <c r="C958" t="s">
        <v>1177</v>
      </c>
      <c r="D958" t="s">
        <v>1177</v>
      </c>
      <c r="E958" t="s">
        <v>1177</v>
      </c>
    </row>
    <row r="959" spans="1:5" x14ac:dyDescent="0.2">
      <c r="A959" t="s">
        <v>3065</v>
      </c>
      <c r="B959" t="s">
        <v>1097</v>
      </c>
      <c r="C959" t="s">
        <v>1177</v>
      </c>
      <c r="D959" t="s">
        <v>1177</v>
      </c>
      <c r="E959" t="s">
        <v>1177</v>
      </c>
    </row>
    <row r="960" spans="1:5" x14ac:dyDescent="0.2">
      <c r="A960" t="s">
        <v>3066</v>
      </c>
      <c r="B960" t="s">
        <v>3036</v>
      </c>
      <c r="C960" t="s">
        <v>1177</v>
      </c>
      <c r="D960" t="s">
        <v>1177</v>
      </c>
      <c r="E960" t="s">
        <v>1177</v>
      </c>
    </row>
    <row r="961" spans="1:5" x14ac:dyDescent="0.2">
      <c r="A961" t="s">
        <v>3067</v>
      </c>
      <c r="B961" t="s">
        <v>1548</v>
      </c>
      <c r="C961" t="s">
        <v>1177</v>
      </c>
      <c r="D961" t="s">
        <v>1177</v>
      </c>
      <c r="E961" t="s">
        <v>1177</v>
      </c>
    </row>
    <row r="962" spans="1:5" x14ac:dyDescent="0.2">
      <c r="A962" t="s">
        <v>3068</v>
      </c>
      <c r="B962" t="s">
        <v>3025</v>
      </c>
      <c r="C962" t="s">
        <v>1177</v>
      </c>
      <c r="D962" t="s">
        <v>1177</v>
      </c>
      <c r="E962" t="s">
        <v>1177</v>
      </c>
    </row>
    <row r="963" spans="1:5" x14ac:dyDescent="0.2">
      <c r="A963" t="s">
        <v>3069</v>
      </c>
      <c r="B963" t="s">
        <v>3036</v>
      </c>
      <c r="C963" t="s">
        <v>1177</v>
      </c>
      <c r="D963" t="s">
        <v>1177</v>
      </c>
      <c r="E963" t="s">
        <v>1177</v>
      </c>
    </row>
    <row r="964" spans="1:5" x14ac:dyDescent="0.2">
      <c r="A964" t="s">
        <v>3070</v>
      </c>
      <c r="B964" t="s">
        <v>1095</v>
      </c>
      <c r="C964" t="s">
        <v>1177</v>
      </c>
      <c r="D964" t="s">
        <v>1177</v>
      </c>
      <c r="E964" t="s">
        <v>1177</v>
      </c>
    </row>
    <row r="965" spans="1:5" x14ac:dyDescent="0.2">
      <c r="A965" t="s">
        <v>3071</v>
      </c>
      <c r="B965" t="s">
        <v>3036</v>
      </c>
      <c r="C965" t="s">
        <v>1177</v>
      </c>
      <c r="D965" t="s">
        <v>1177</v>
      </c>
      <c r="E965" t="s">
        <v>1177</v>
      </c>
    </row>
    <row r="966" spans="1:5" x14ac:dyDescent="0.2">
      <c r="A966" t="s">
        <v>3072</v>
      </c>
      <c r="B966" t="s">
        <v>1548</v>
      </c>
      <c r="C966" t="s">
        <v>1177</v>
      </c>
      <c r="D966" t="s">
        <v>1177</v>
      </c>
      <c r="E966" t="s">
        <v>1177</v>
      </c>
    </row>
    <row r="967" spans="1:5" x14ac:dyDescent="0.2">
      <c r="A967" t="s">
        <v>3073</v>
      </c>
      <c r="B967" t="s">
        <v>1548</v>
      </c>
      <c r="C967" t="s">
        <v>1177</v>
      </c>
      <c r="D967" t="s">
        <v>1177</v>
      </c>
      <c r="E967" t="s">
        <v>1177</v>
      </c>
    </row>
    <row r="968" spans="1:5" x14ac:dyDescent="0.2">
      <c r="A968" t="s">
        <v>3074</v>
      </c>
      <c r="B968" t="s">
        <v>3036</v>
      </c>
      <c r="C968" t="s">
        <v>1177</v>
      </c>
      <c r="D968" t="s">
        <v>1177</v>
      </c>
      <c r="E968" t="s">
        <v>1177</v>
      </c>
    </row>
    <row r="969" spans="1:5" x14ac:dyDescent="0.2">
      <c r="A969" t="s">
        <v>3075</v>
      </c>
      <c r="B969" t="s">
        <v>1289</v>
      </c>
      <c r="C969" t="s">
        <v>1177</v>
      </c>
      <c r="D969" t="s">
        <v>1177</v>
      </c>
      <c r="E969" t="s">
        <v>1177</v>
      </c>
    </row>
    <row r="970" spans="1:5" x14ac:dyDescent="0.2">
      <c r="A970" t="s">
        <v>3076</v>
      </c>
      <c r="B970" t="s">
        <v>3077</v>
      </c>
      <c r="C970" t="s">
        <v>1177</v>
      </c>
      <c r="D970" t="s">
        <v>1177</v>
      </c>
      <c r="E970" t="s">
        <v>1177</v>
      </c>
    </row>
    <row r="971" spans="1:5" x14ac:dyDescent="0.2">
      <c r="A971" t="s">
        <v>3078</v>
      </c>
      <c r="B971" t="s">
        <v>3023</v>
      </c>
      <c r="C971" t="s">
        <v>1177</v>
      </c>
      <c r="D971" t="s">
        <v>1177</v>
      </c>
      <c r="E971" t="s">
        <v>1177</v>
      </c>
    </row>
    <row r="972" spans="1:5" x14ac:dyDescent="0.2">
      <c r="A972" t="s">
        <v>3079</v>
      </c>
      <c r="B972" t="s">
        <v>3025</v>
      </c>
      <c r="C972" t="s">
        <v>1177</v>
      </c>
      <c r="D972" t="s">
        <v>1177</v>
      </c>
      <c r="E972" t="s">
        <v>1177</v>
      </c>
    </row>
    <row r="973" spans="1:5" x14ac:dyDescent="0.2">
      <c r="A973" t="s">
        <v>3080</v>
      </c>
      <c r="B973" t="s">
        <v>3081</v>
      </c>
      <c r="C973" t="s">
        <v>1177</v>
      </c>
      <c r="D973" t="s">
        <v>1177</v>
      </c>
      <c r="E973" t="s">
        <v>1177</v>
      </c>
    </row>
    <row r="974" spans="1:5" x14ac:dyDescent="0.2">
      <c r="A974" t="s">
        <v>3082</v>
      </c>
      <c r="B974" t="s">
        <v>3083</v>
      </c>
      <c r="C974" t="s">
        <v>1177</v>
      </c>
      <c r="D974" t="s">
        <v>1177</v>
      </c>
      <c r="E974" t="s">
        <v>1177</v>
      </c>
    </row>
    <row r="975" spans="1:5" x14ac:dyDescent="0.2">
      <c r="A975" t="s">
        <v>3084</v>
      </c>
      <c r="B975" t="s">
        <v>3081</v>
      </c>
      <c r="C975" t="s">
        <v>1177</v>
      </c>
      <c r="D975" t="s">
        <v>1177</v>
      </c>
      <c r="E975" t="s">
        <v>1177</v>
      </c>
    </row>
    <row r="976" spans="1:5" x14ac:dyDescent="0.2">
      <c r="A976" t="s">
        <v>3085</v>
      </c>
      <c r="B976" t="s">
        <v>3086</v>
      </c>
      <c r="C976" t="s">
        <v>1177</v>
      </c>
      <c r="D976" t="s">
        <v>1177</v>
      </c>
      <c r="E976" t="s">
        <v>1177</v>
      </c>
    </row>
    <row r="977" spans="1:5" x14ac:dyDescent="0.2">
      <c r="A977" t="s">
        <v>3087</v>
      </c>
      <c r="B977" t="s">
        <v>3088</v>
      </c>
      <c r="C977" t="s">
        <v>1177</v>
      </c>
      <c r="D977" t="s">
        <v>1177</v>
      </c>
      <c r="E977" t="s">
        <v>1177</v>
      </c>
    </row>
    <row r="978" spans="1:5" x14ac:dyDescent="0.2">
      <c r="A978" t="s">
        <v>3089</v>
      </c>
      <c r="B978" t="s">
        <v>3090</v>
      </c>
      <c r="C978" t="s">
        <v>1177</v>
      </c>
      <c r="D978" t="s">
        <v>1177</v>
      </c>
      <c r="E978" t="s">
        <v>1177</v>
      </c>
    </row>
    <row r="979" spans="1:5" x14ac:dyDescent="0.2">
      <c r="A979" t="s">
        <v>3091</v>
      </c>
      <c r="B979" t="s">
        <v>3092</v>
      </c>
      <c r="C979" t="s">
        <v>1177</v>
      </c>
      <c r="D979" t="s">
        <v>1177</v>
      </c>
      <c r="E979" t="s">
        <v>1177</v>
      </c>
    </row>
    <row r="980" spans="1:5" x14ac:dyDescent="0.2">
      <c r="A980" t="s">
        <v>3093</v>
      </c>
      <c r="B980" t="s">
        <v>3094</v>
      </c>
      <c r="C980" t="s">
        <v>1177</v>
      </c>
      <c r="D980" t="s">
        <v>3095</v>
      </c>
      <c r="E980" t="s">
        <v>1177</v>
      </c>
    </row>
    <row r="981" spans="1:5" x14ac:dyDescent="0.2">
      <c r="A981" t="s">
        <v>3096</v>
      </c>
      <c r="B981" t="s">
        <v>3094</v>
      </c>
      <c r="C981" t="s">
        <v>1177</v>
      </c>
      <c r="D981" t="s">
        <v>1177</v>
      </c>
      <c r="E981" t="s">
        <v>1177</v>
      </c>
    </row>
    <row r="982" spans="1:5" x14ac:dyDescent="0.2">
      <c r="A982" t="s">
        <v>3097</v>
      </c>
      <c r="B982" t="s">
        <v>3098</v>
      </c>
      <c r="C982" t="s">
        <v>1177</v>
      </c>
      <c r="D982" t="s">
        <v>1177</v>
      </c>
      <c r="E982" t="s">
        <v>3099</v>
      </c>
    </row>
    <row r="983" spans="1:5" x14ac:dyDescent="0.2">
      <c r="A983" t="s">
        <v>3100</v>
      </c>
      <c r="B983" t="s">
        <v>3101</v>
      </c>
      <c r="C983" t="s">
        <v>1177</v>
      </c>
      <c r="D983" t="s">
        <v>1177</v>
      </c>
      <c r="E983" t="s">
        <v>3099</v>
      </c>
    </row>
    <row r="984" spans="1:5" x14ac:dyDescent="0.2">
      <c r="A984" t="s">
        <v>3102</v>
      </c>
      <c r="B984" t="s">
        <v>3103</v>
      </c>
      <c r="C984" t="s">
        <v>1177</v>
      </c>
      <c r="D984" t="s">
        <v>1177</v>
      </c>
      <c r="E984" t="s">
        <v>3104</v>
      </c>
    </row>
    <row r="985" spans="1:5" x14ac:dyDescent="0.2">
      <c r="A985" t="s">
        <v>3105</v>
      </c>
      <c r="B985" t="s">
        <v>3106</v>
      </c>
      <c r="C985" t="s">
        <v>1177</v>
      </c>
      <c r="D985" t="s">
        <v>1177</v>
      </c>
      <c r="E985" t="s">
        <v>3104</v>
      </c>
    </row>
    <row r="986" spans="1:5" x14ac:dyDescent="0.2">
      <c r="A986" t="s">
        <v>3107</v>
      </c>
      <c r="B986" t="s">
        <v>1548</v>
      </c>
      <c r="C986" t="s">
        <v>1177</v>
      </c>
      <c r="D986" t="s">
        <v>1177</v>
      </c>
      <c r="E986" t="s">
        <v>3104</v>
      </c>
    </row>
    <row r="987" spans="1:5" x14ac:dyDescent="0.2">
      <c r="A987" t="s">
        <v>3108</v>
      </c>
      <c r="B987" t="s">
        <v>3109</v>
      </c>
      <c r="C987" t="s">
        <v>3110</v>
      </c>
      <c r="D987" t="s">
        <v>1177</v>
      </c>
      <c r="E987" t="s">
        <v>1295</v>
      </c>
    </row>
    <row r="988" spans="1:5" x14ac:dyDescent="0.2">
      <c r="A988" t="s">
        <v>3111</v>
      </c>
      <c r="B988" t="s">
        <v>3112</v>
      </c>
      <c r="C988" t="s">
        <v>1177</v>
      </c>
      <c r="D988" t="s">
        <v>1177</v>
      </c>
      <c r="E988" t="s">
        <v>1177</v>
      </c>
    </row>
    <row r="989" spans="1:5" x14ac:dyDescent="0.2">
      <c r="A989" t="s">
        <v>3096</v>
      </c>
      <c r="B989" t="s">
        <v>3113</v>
      </c>
      <c r="C989" t="s">
        <v>1177</v>
      </c>
      <c r="D989" t="s">
        <v>1177</v>
      </c>
      <c r="E989" t="s">
        <v>1177</v>
      </c>
    </row>
    <row r="990" spans="1:5" x14ac:dyDescent="0.2">
      <c r="A990" t="s">
        <v>3114</v>
      </c>
      <c r="B990" t="s">
        <v>3115</v>
      </c>
      <c r="C990" t="s">
        <v>1177</v>
      </c>
      <c r="D990" t="s">
        <v>1177</v>
      </c>
      <c r="E990" t="s">
        <v>1177</v>
      </c>
    </row>
    <row r="991" spans="1:5" x14ac:dyDescent="0.2">
      <c r="A991" t="s">
        <v>3116</v>
      </c>
      <c r="B991" t="s">
        <v>3117</v>
      </c>
      <c r="C991" t="s">
        <v>1177</v>
      </c>
      <c r="D991" t="s">
        <v>1177</v>
      </c>
      <c r="E991" t="s">
        <v>1177</v>
      </c>
    </row>
    <row r="992" spans="1:5" x14ac:dyDescent="0.2">
      <c r="A992" t="s">
        <v>3118</v>
      </c>
      <c r="B992" t="s">
        <v>3117</v>
      </c>
      <c r="C992" t="s">
        <v>1177</v>
      </c>
      <c r="D992" t="s">
        <v>1177</v>
      </c>
      <c r="E992" t="s">
        <v>1177</v>
      </c>
    </row>
    <row r="993" spans="1:5" x14ac:dyDescent="0.2">
      <c r="A993" t="s">
        <v>3119</v>
      </c>
      <c r="B993" t="s">
        <v>3117</v>
      </c>
      <c r="C993" t="s">
        <v>1177</v>
      </c>
      <c r="D993" t="s">
        <v>1177</v>
      </c>
      <c r="E993" t="s">
        <v>1177</v>
      </c>
    </row>
    <row r="994" spans="1:5" x14ac:dyDescent="0.2">
      <c r="A994" t="s">
        <v>3120</v>
      </c>
      <c r="B994" t="s">
        <v>3117</v>
      </c>
      <c r="C994" t="s">
        <v>1177</v>
      </c>
      <c r="D994" t="s">
        <v>1177</v>
      </c>
      <c r="E994" t="s">
        <v>1177</v>
      </c>
    </row>
    <row r="995" spans="1:5" x14ac:dyDescent="0.2">
      <c r="A995" t="s">
        <v>3121</v>
      </c>
      <c r="B995" t="s">
        <v>3117</v>
      </c>
      <c r="C995" t="s">
        <v>1177</v>
      </c>
      <c r="D995" t="s">
        <v>1177</v>
      </c>
      <c r="E995" t="s">
        <v>1177</v>
      </c>
    </row>
    <row r="996" spans="1:5" x14ac:dyDescent="0.2">
      <c r="A996" t="s">
        <v>3122</v>
      </c>
      <c r="B996" t="s">
        <v>1119</v>
      </c>
      <c r="C996" t="s">
        <v>1177</v>
      </c>
      <c r="D996" t="s">
        <v>1177</v>
      </c>
      <c r="E996" t="s">
        <v>1177</v>
      </c>
    </row>
    <row r="997" spans="1:5" x14ac:dyDescent="0.2">
      <c r="A997" t="s">
        <v>3123</v>
      </c>
      <c r="B997" t="s">
        <v>3124</v>
      </c>
      <c r="C997" t="s">
        <v>1177</v>
      </c>
      <c r="D997" t="s">
        <v>1177</v>
      </c>
      <c r="E997" t="s">
        <v>1177</v>
      </c>
    </row>
    <row r="998" spans="1:5" x14ac:dyDescent="0.2">
      <c r="A998" t="s">
        <v>3125</v>
      </c>
      <c r="B998" t="s">
        <v>1458</v>
      </c>
      <c r="C998" t="s">
        <v>1177</v>
      </c>
      <c r="D998" t="s">
        <v>1177</v>
      </c>
      <c r="E998" t="s">
        <v>1177</v>
      </c>
    </row>
    <row r="999" spans="1:5" x14ac:dyDescent="0.2">
      <c r="A999" t="s">
        <v>3126</v>
      </c>
      <c r="B999" t="s">
        <v>3127</v>
      </c>
      <c r="C999" t="s">
        <v>1177</v>
      </c>
      <c r="D999" t="s">
        <v>1177</v>
      </c>
      <c r="E999" t="s">
        <v>1177</v>
      </c>
    </row>
    <row r="1000" spans="1:5" x14ac:dyDescent="0.2">
      <c r="A1000" t="s">
        <v>3128</v>
      </c>
      <c r="B1000" t="s">
        <v>3023</v>
      </c>
      <c r="C1000" t="s">
        <v>1177</v>
      </c>
      <c r="D1000" t="s">
        <v>1177</v>
      </c>
      <c r="E1000" t="s">
        <v>1177</v>
      </c>
    </row>
    <row r="1001" spans="1:5" x14ac:dyDescent="0.2">
      <c r="A1001" t="s">
        <v>3129</v>
      </c>
      <c r="B1001" t="s">
        <v>3130</v>
      </c>
      <c r="C1001" t="s">
        <v>1177</v>
      </c>
      <c r="D1001" t="s">
        <v>1177</v>
      </c>
      <c r="E1001" t="s">
        <v>1177</v>
      </c>
    </row>
    <row r="1002" spans="1:5" x14ac:dyDescent="0.2">
      <c r="A1002" t="s">
        <v>3131</v>
      </c>
      <c r="B1002" t="s">
        <v>3132</v>
      </c>
      <c r="C1002" t="s">
        <v>1177</v>
      </c>
      <c r="D1002" t="s">
        <v>1177</v>
      </c>
      <c r="E1002" t="s">
        <v>1177</v>
      </c>
    </row>
    <row r="1003" spans="1:5" x14ac:dyDescent="0.2">
      <c r="A1003" t="s">
        <v>3133</v>
      </c>
      <c r="B1003" t="s">
        <v>3134</v>
      </c>
      <c r="C1003" t="s">
        <v>1177</v>
      </c>
      <c r="D1003" t="s">
        <v>1177</v>
      </c>
      <c r="E1003" t="s">
        <v>1177</v>
      </c>
    </row>
    <row r="1004" spans="1:5" x14ac:dyDescent="0.2">
      <c r="A1004" t="s">
        <v>3135</v>
      </c>
      <c r="B1004" t="s">
        <v>3023</v>
      </c>
      <c r="C1004" t="s">
        <v>1177</v>
      </c>
      <c r="D1004" t="s">
        <v>1177</v>
      </c>
      <c r="E1004" t="s">
        <v>1177</v>
      </c>
    </row>
    <row r="1005" spans="1:5" x14ac:dyDescent="0.2">
      <c r="A1005" t="s">
        <v>3136</v>
      </c>
      <c r="B1005" t="s">
        <v>3137</v>
      </c>
      <c r="C1005" t="s">
        <v>1177</v>
      </c>
      <c r="D1005" t="s">
        <v>1177</v>
      </c>
      <c r="E1005" t="s">
        <v>1177</v>
      </c>
    </row>
    <row r="1006" spans="1:5" x14ac:dyDescent="0.2">
      <c r="A1006" t="s">
        <v>3138</v>
      </c>
      <c r="B1006" t="s">
        <v>3139</v>
      </c>
      <c r="C1006" t="s">
        <v>1177</v>
      </c>
      <c r="D1006" t="s">
        <v>1177</v>
      </c>
      <c r="E1006" t="s">
        <v>1177</v>
      </c>
    </row>
    <row r="1007" spans="1:5" x14ac:dyDescent="0.2">
      <c r="A1007" t="s">
        <v>3140</v>
      </c>
      <c r="B1007" t="s">
        <v>3141</v>
      </c>
      <c r="C1007" t="s">
        <v>1177</v>
      </c>
      <c r="D1007" t="s">
        <v>1177</v>
      </c>
      <c r="E1007" t="s">
        <v>1177</v>
      </c>
    </row>
    <row r="1008" spans="1:5" x14ac:dyDescent="0.2">
      <c r="A1008" t="s">
        <v>3142</v>
      </c>
      <c r="B1008" t="s">
        <v>3143</v>
      </c>
      <c r="C1008" t="s">
        <v>1177</v>
      </c>
      <c r="D1008" t="s">
        <v>1177</v>
      </c>
      <c r="E1008" t="s">
        <v>1177</v>
      </c>
    </row>
    <row r="1009" spans="1:5" x14ac:dyDescent="0.2">
      <c r="A1009" t="s">
        <v>3144</v>
      </c>
      <c r="B1009" t="s">
        <v>3145</v>
      </c>
      <c r="C1009" t="s">
        <v>1177</v>
      </c>
      <c r="D1009" t="s">
        <v>1177</v>
      </c>
      <c r="E1009" t="s">
        <v>1177</v>
      </c>
    </row>
    <row r="1010" spans="1:5" x14ac:dyDescent="0.2">
      <c r="A1010" t="s">
        <v>3146</v>
      </c>
      <c r="B1010" t="s">
        <v>3141</v>
      </c>
      <c r="C1010" t="s">
        <v>1177</v>
      </c>
      <c r="D1010" t="s">
        <v>1177</v>
      </c>
      <c r="E1010" t="s">
        <v>1177</v>
      </c>
    </row>
    <row r="1011" spans="1:5" x14ac:dyDescent="0.2">
      <c r="A1011" t="s">
        <v>3147</v>
      </c>
      <c r="B1011" t="s">
        <v>3143</v>
      </c>
      <c r="C1011" t="s">
        <v>1177</v>
      </c>
      <c r="D1011" t="s">
        <v>1177</v>
      </c>
      <c r="E1011" t="s">
        <v>1177</v>
      </c>
    </row>
    <row r="1012" spans="1:5" x14ac:dyDescent="0.2">
      <c r="A1012" t="s">
        <v>3148</v>
      </c>
      <c r="B1012" t="s">
        <v>3149</v>
      </c>
      <c r="C1012" t="s">
        <v>1177</v>
      </c>
      <c r="D1012" t="s">
        <v>1177</v>
      </c>
      <c r="E1012" t="s">
        <v>1177</v>
      </c>
    </row>
    <row r="1013" spans="1:5" x14ac:dyDescent="0.2">
      <c r="A1013" t="s">
        <v>3150</v>
      </c>
      <c r="B1013" t="s">
        <v>3040</v>
      </c>
      <c r="C1013" t="s">
        <v>1177</v>
      </c>
      <c r="D1013" t="s">
        <v>1177</v>
      </c>
      <c r="E1013" t="s">
        <v>1177</v>
      </c>
    </row>
    <row r="1014" spans="1:5" x14ac:dyDescent="0.2">
      <c r="A1014" t="s">
        <v>3151</v>
      </c>
      <c r="B1014" t="s">
        <v>3143</v>
      </c>
      <c r="C1014" t="s">
        <v>1177</v>
      </c>
      <c r="D1014" t="s">
        <v>1177</v>
      </c>
      <c r="E1014" t="s">
        <v>1177</v>
      </c>
    </row>
    <row r="1015" spans="1:5" x14ac:dyDescent="0.2">
      <c r="A1015" t="s">
        <v>3152</v>
      </c>
      <c r="B1015" t="s">
        <v>1188</v>
      </c>
      <c r="C1015" t="s">
        <v>1177</v>
      </c>
      <c r="D1015" t="s">
        <v>1177</v>
      </c>
      <c r="E1015" t="s">
        <v>1177</v>
      </c>
    </row>
    <row r="1016" spans="1:5" x14ac:dyDescent="0.2">
      <c r="A1016" t="s">
        <v>3153</v>
      </c>
      <c r="B1016" t="s">
        <v>3023</v>
      </c>
      <c r="C1016" t="s">
        <v>1177</v>
      </c>
      <c r="D1016" t="s">
        <v>1177</v>
      </c>
      <c r="E1016" t="s">
        <v>1177</v>
      </c>
    </row>
    <row r="1017" spans="1:5" x14ac:dyDescent="0.2">
      <c r="A1017" t="s">
        <v>3154</v>
      </c>
      <c r="B1017" t="s">
        <v>3143</v>
      </c>
      <c r="C1017" t="s">
        <v>1177</v>
      </c>
      <c r="D1017" t="s">
        <v>1177</v>
      </c>
      <c r="E1017" t="s">
        <v>1177</v>
      </c>
    </row>
    <row r="1018" spans="1:5" x14ac:dyDescent="0.2">
      <c r="A1018" t="s">
        <v>3155</v>
      </c>
      <c r="B1018" t="s">
        <v>1516</v>
      </c>
      <c r="C1018" t="s">
        <v>1177</v>
      </c>
      <c r="D1018" t="s">
        <v>1177</v>
      </c>
      <c r="E1018" t="s">
        <v>1177</v>
      </c>
    </row>
    <row r="1019" spans="1:5" x14ac:dyDescent="0.2">
      <c r="A1019" t="s">
        <v>3156</v>
      </c>
      <c r="B1019" t="s">
        <v>1318</v>
      </c>
      <c r="C1019" t="s">
        <v>1177</v>
      </c>
      <c r="D1019" t="s">
        <v>1177</v>
      </c>
      <c r="E1019" t="s">
        <v>1177</v>
      </c>
    </row>
    <row r="1020" spans="1:5" x14ac:dyDescent="0.2">
      <c r="A1020" t="s">
        <v>3157</v>
      </c>
      <c r="B1020" t="s">
        <v>3143</v>
      </c>
      <c r="C1020" t="s">
        <v>1177</v>
      </c>
      <c r="D1020" t="s">
        <v>1177</v>
      </c>
      <c r="E1020" t="s">
        <v>1177</v>
      </c>
    </row>
    <row r="1021" spans="1:5" x14ac:dyDescent="0.2">
      <c r="A1021" t="s">
        <v>3158</v>
      </c>
      <c r="B1021" t="s">
        <v>3159</v>
      </c>
      <c r="C1021" t="s">
        <v>1177</v>
      </c>
      <c r="D1021" t="s">
        <v>1177</v>
      </c>
      <c r="E1021" t="s">
        <v>1177</v>
      </c>
    </row>
    <row r="1022" spans="1:5" x14ac:dyDescent="0.2">
      <c r="A1022" t="s">
        <v>3160</v>
      </c>
      <c r="B1022" t="s">
        <v>1458</v>
      </c>
      <c r="C1022" t="s">
        <v>1177</v>
      </c>
      <c r="D1022" t="s">
        <v>1177</v>
      </c>
      <c r="E1022" t="s">
        <v>1177</v>
      </c>
    </row>
    <row r="1023" spans="1:5" x14ac:dyDescent="0.2">
      <c r="A1023" t="s">
        <v>3161</v>
      </c>
      <c r="B1023" t="s">
        <v>3127</v>
      </c>
      <c r="C1023" t="s">
        <v>1177</v>
      </c>
      <c r="D1023" t="s">
        <v>1177</v>
      </c>
      <c r="E1023" t="s">
        <v>1177</v>
      </c>
    </row>
    <row r="1024" spans="1:5" x14ac:dyDescent="0.2">
      <c r="A1024" t="s">
        <v>3162</v>
      </c>
      <c r="B1024" t="s">
        <v>3023</v>
      </c>
      <c r="C1024" t="s">
        <v>1177</v>
      </c>
      <c r="D1024" t="s">
        <v>1177</v>
      </c>
      <c r="E1024" t="s">
        <v>1177</v>
      </c>
    </row>
    <row r="1025" spans="1:5" x14ac:dyDescent="0.2">
      <c r="A1025" t="s">
        <v>3163</v>
      </c>
      <c r="B1025" t="s">
        <v>3023</v>
      </c>
      <c r="C1025" t="s">
        <v>1177</v>
      </c>
      <c r="D1025" t="s">
        <v>1177</v>
      </c>
      <c r="E1025" t="s">
        <v>1177</v>
      </c>
    </row>
    <row r="1026" spans="1:5" x14ac:dyDescent="0.2">
      <c r="A1026" t="s">
        <v>3164</v>
      </c>
      <c r="B1026" t="s">
        <v>3143</v>
      </c>
      <c r="C1026" t="s">
        <v>1177</v>
      </c>
      <c r="D1026" t="s">
        <v>1177</v>
      </c>
      <c r="E1026" t="s">
        <v>1177</v>
      </c>
    </row>
    <row r="1027" spans="1:5" x14ac:dyDescent="0.2">
      <c r="A1027" t="s">
        <v>3165</v>
      </c>
      <c r="B1027" t="s">
        <v>3166</v>
      </c>
      <c r="C1027" t="s">
        <v>1177</v>
      </c>
      <c r="D1027" t="s">
        <v>1177</v>
      </c>
      <c r="E1027" t="s">
        <v>1177</v>
      </c>
    </row>
    <row r="1028" spans="1:5" x14ac:dyDescent="0.2">
      <c r="A1028" t="s">
        <v>3167</v>
      </c>
      <c r="B1028" t="s">
        <v>1458</v>
      </c>
      <c r="C1028" t="s">
        <v>1177</v>
      </c>
      <c r="D1028" t="s">
        <v>1177</v>
      </c>
      <c r="E1028" t="s">
        <v>1177</v>
      </c>
    </row>
    <row r="1029" spans="1:5" x14ac:dyDescent="0.2">
      <c r="A1029" t="s">
        <v>3168</v>
      </c>
      <c r="B1029" t="s">
        <v>3127</v>
      </c>
      <c r="C1029" t="s">
        <v>1177</v>
      </c>
      <c r="D1029" t="s">
        <v>1177</v>
      </c>
      <c r="E1029" t="s">
        <v>1177</v>
      </c>
    </row>
    <row r="1030" spans="1:5" x14ac:dyDescent="0.2">
      <c r="A1030" t="s">
        <v>3169</v>
      </c>
      <c r="B1030" t="s">
        <v>3170</v>
      </c>
      <c r="C1030" t="s">
        <v>1177</v>
      </c>
      <c r="D1030" t="s">
        <v>1177</v>
      </c>
      <c r="E1030" t="s">
        <v>1177</v>
      </c>
    </row>
    <row r="1031" spans="1:5" x14ac:dyDescent="0.2">
      <c r="A1031" t="s">
        <v>3171</v>
      </c>
      <c r="B1031" t="s">
        <v>3172</v>
      </c>
      <c r="C1031" t="s">
        <v>1177</v>
      </c>
      <c r="D1031" t="s">
        <v>1177</v>
      </c>
      <c r="E1031" t="s">
        <v>1177</v>
      </c>
    </row>
    <row r="1032" spans="1:5" x14ac:dyDescent="0.2">
      <c r="A1032" t="s">
        <v>3173</v>
      </c>
      <c r="B1032" t="s">
        <v>3127</v>
      </c>
      <c r="C1032" t="s">
        <v>1177</v>
      </c>
      <c r="D1032" t="s">
        <v>1177</v>
      </c>
      <c r="E1032" t="s">
        <v>1177</v>
      </c>
    </row>
    <row r="1033" spans="1:5" x14ac:dyDescent="0.2">
      <c r="A1033" t="s">
        <v>3174</v>
      </c>
      <c r="B1033" t="s">
        <v>3175</v>
      </c>
      <c r="C1033" t="s">
        <v>1177</v>
      </c>
      <c r="D1033" t="s">
        <v>1177</v>
      </c>
      <c r="E1033" t="s">
        <v>1177</v>
      </c>
    </row>
    <row r="1034" spans="1:5" x14ac:dyDescent="0.2">
      <c r="A1034" t="s">
        <v>3176</v>
      </c>
      <c r="B1034" t="s">
        <v>3172</v>
      </c>
      <c r="C1034" t="s">
        <v>1177</v>
      </c>
      <c r="D1034" t="s">
        <v>1177</v>
      </c>
      <c r="E1034" t="s">
        <v>1177</v>
      </c>
    </row>
    <row r="1035" spans="1:5" x14ac:dyDescent="0.2">
      <c r="A1035" t="s">
        <v>3177</v>
      </c>
      <c r="B1035" t="s">
        <v>3127</v>
      </c>
      <c r="C1035" t="s">
        <v>1177</v>
      </c>
      <c r="D1035" t="s">
        <v>1177</v>
      </c>
      <c r="E1035" t="s">
        <v>1177</v>
      </c>
    </row>
    <row r="1036" spans="1:5" x14ac:dyDescent="0.2">
      <c r="A1036" t="s">
        <v>3178</v>
      </c>
      <c r="B1036" t="s">
        <v>3179</v>
      </c>
      <c r="C1036" t="s">
        <v>1177</v>
      </c>
      <c r="D1036" t="s">
        <v>1177</v>
      </c>
      <c r="E1036" t="s">
        <v>1177</v>
      </c>
    </row>
    <row r="1037" spans="1:5" x14ac:dyDescent="0.2">
      <c r="A1037" t="s">
        <v>3180</v>
      </c>
      <c r="B1037" t="s">
        <v>3181</v>
      </c>
      <c r="C1037" t="s">
        <v>1177</v>
      </c>
      <c r="D1037" t="s">
        <v>1177</v>
      </c>
      <c r="E1037" t="s">
        <v>1177</v>
      </c>
    </row>
    <row r="1038" spans="1:5" x14ac:dyDescent="0.2">
      <c r="A1038" t="s">
        <v>3182</v>
      </c>
      <c r="B1038" t="s">
        <v>3183</v>
      </c>
      <c r="C1038" t="s">
        <v>1177</v>
      </c>
      <c r="D1038" t="s">
        <v>1177</v>
      </c>
      <c r="E1038" t="s">
        <v>1177</v>
      </c>
    </row>
    <row r="1039" spans="1:5" x14ac:dyDescent="0.2">
      <c r="A1039" t="s">
        <v>3184</v>
      </c>
      <c r="B1039" t="s">
        <v>3185</v>
      </c>
      <c r="C1039" t="s">
        <v>1177</v>
      </c>
      <c r="D1039" t="s">
        <v>1177</v>
      </c>
      <c r="E1039" t="s">
        <v>1177</v>
      </c>
    </row>
    <row r="1040" spans="1:5" x14ac:dyDescent="0.2">
      <c r="A1040" t="s">
        <v>3186</v>
      </c>
      <c r="B1040" t="s">
        <v>3187</v>
      </c>
      <c r="C1040" t="s">
        <v>1177</v>
      </c>
      <c r="D1040" t="s">
        <v>1177</v>
      </c>
      <c r="E1040" t="s">
        <v>1177</v>
      </c>
    </row>
    <row r="1041" spans="1:5" x14ac:dyDescent="0.2">
      <c r="A1041" t="s">
        <v>3188</v>
      </c>
      <c r="B1041" t="s">
        <v>3189</v>
      </c>
      <c r="C1041" t="s">
        <v>1177</v>
      </c>
      <c r="D1041" t="s">
        <v>1177</v>
      </c>
      <c r="E1041" t="s">
        <v>1177</v>
      </c>
    </row>
    <row r="1042" spans="1:5" x14ac:dyDescent="0.2">
      <c r="A1042" t="s">
        <v>3190</v>
      </c>
      <c r="B1042" t="s">
        <v>3191</v>
      </c>
      <c r="C1042" t="s">
        <v>1177</v>
      </c>
      <c r="D1042" t="s">
        <v>1177</v>
      </c>
      <c r="E1042" t="s">
        <v>1177</v>
      </c>
    </row>
    <row r="1043" spans="1:5" x14ac:dyDescent="0.2">
      <c r="A1043" t="s">
        <v>3192</v>
      </c>
      <c r="B1043" t="s">
        <v>3193</v>
      </c>
      <c r="C1043" t="s">
        <v>1177</v>
      </c>
      <c r="D1043" t="s">
        <v>1177</v>
      </c>
      <c r="E1043" t="s">
        <v>1177</v>
      </c>
    </row>
    <row r="1044" spans="1:5" x14ac:dyDescent="0.2">
      <c r="A1044" t="s">
        <v>3194</v>
      </c>
      <c r="B1044" t="s">
        <v>3195</v>
      </c>
      <c r="C1044" t="s">
        <v>1177</v>
      </c>
      <c r="D1044" t="s">
        <v>1177</v>
      </c>
      <c r="E1044" t="s">
        <v>1177</v>
      </c>
    </row>
    <row r="1045" spans="1:5" x14ac:dyDescent="0.2">
      <c r="A1045" t="s">
        <v>3196</v>
      </c>
      <c r="B1045" t="s">
        <v>3197</v>
      </c>
      <c r="C1045" t="s">
        <v>1177</v>
      </c>
      <c r="D1045" t="s">
        <v>1177</v>
      </c>
      <c r="E1045" t="s">
        <v>1177</v>
      </c>
    </row>
    <row r="1046" spans="1:5" x14ac:dyDescent="0.2">
      <c r="A1046" t="s">
        <v>3198</v>
      </c>
      <c r="B1046" t="s">
        <v>3199</v>
      </c>
      <c r="C1046" t="s">
        <v>1177</v>
      </c>
      <c r="D1046" t="s">
        <v>1177</v>
      </c>
      <c r="E1046" t="s">
        <v>1177</v>
      </c>
    </row>
    <row r="1047" spans="1:5" x14ac:dyDescent="0.2">
      <c r="A1047" t="s">
        <v>3200</v>
      </c>
      <c r="B1047" t="s">
        <v>3201</v>
      </c>
      <c r="C1047" t="s">
        <v>1177</v>
      </c>
      <c r="D1047" t="s">
        <v>1177</v>
      </c>
      <c r="E1047" t="s">
        <v>1177</v>
      </c>
    </row>
    <row r="1048" spans="1:5" x14ac:dyDescent="0.2">
      <c r="A1048" t="s">
        <v>3202</v>
      </c>
      <c r="B1048" t="s">
        <v>3203</v>
      </c>
      <c r="C1048" t="s">
        <v>1177</v>
      </c>
      <c r="D1048" t="s">
        <v>1177</v>
      </c>
      <c r="E1048" t="s">
        <v>1177</v>
      </c>
    </row>
    <row r="1049" spans="1:5" x14ac:dyDescent="0.2">
      <c r="A1049" t="s">
        <v>3204</v>
      </c>
      <c r="B1049" t="s">
        <v>3127</v>
      </c>
      <c r="C1049" t="s">
        <v>1177</v>
      </c>
      <c r="D1049" t="s">
        <v>1177</v>
      </c>
      <c r="E1049" t="s">
        <v>1177</v>
      </c>
    </row>
    <row r="1050" spans="1:5" x14ac:dyDescent="0.2">
      <c r="A1050" t="s">
        <v>3205</v>
      </c>
      <c r="B1050" t="s">
        <v>3206</v>
      </c>
      <c r="C1050" t="s">
        <v>1177</v>
      </c>
      <c r="D1050" t="s">
        <v>1177</v>
      </c>
      <c r="E1050" t="s">
        <v>1177</v>
      </c>
    </row>
    <row r="1051" spans="1:5" x14ac:dyDescent="0.2">
      <c r="A1051" t="s">
        <v>3207</v>
      </c>
      <c r="B1051" t="s">
        <v>3127</v>
      </c>
      <c r="C1051" t="s">
        <v>1177</v>
      </c>
      <c r="D1051" t="s">
        <v>1177</v>
      </c>
      <c r="E1051" t="s">
        <v>1177</v>
      </c>
    </row>
    <row r="1052" spans="1:5" x14ac:dyDescent="0.2">
      <c r="A1052" t="s">
        <v>3208</v>
      </c>
      <c r="B1052" t="s">
        <v>3209</v>
      </c>
      <c r="C1052" t="s">
        <v>1177</v>
      </c>
      <c r="D1052" t="s">
        <v>1177</v>
      </c>
      <c r="E1052" t="s">
        <v>1177</v>
      </c>
    </row>
    <row r="1053" spans="1:5" x14ac:dyDescent="0.2">
      <c r="A1053" t="s">
        <v>3210</v>
      </c>
      <c r="B1053" t="s">
        <v>3211</v>
      </c>
      <c r="C1053" t="s">
        <v>1177</v>
      </c>
      <c r="D1053" t="s">
        <v>1177</v>
      </c>
      <c r="E1053" t="s">
        <v>1177</v>
      </c>
    </row>
    <row r="1054" spans="1:5" x14ac:dyDescent="0.2">
      <c r="A1054" t="s">
        <v>3212</v>
      </c>
      <c r="B1054" t="s">
        <v>3213</v>
      </c>
      <c r="C1054" t="s">
        <v>1177</v>
      </c>
      <c r="D1054" t="s">
        <v>1177</v>
      </c>
      <c r="E1054" t="s">
        <v>1177</v>
      </c>
    </row>
    <row r="1055" spans="1:5" x14ac:dyDescent="0.2">
      <c r="A1055" t="s">
        <v>3214</v>
      </c>
      <c r="B1055" t="s">
        <v>3077</v>
      </c>
      <c r="C1055" t="s">
        <v>1177</v>
      </c>
      <c r="D1055" t="s">
        <v>1177</v>
      </c>
      <c r="E1055" t="s">
        <v>1177</v>
      </c>
    </row>
    <row r="1056" spans="1:5" x14ac:dyDescent="0.2">
      <c r="A1056" t="s">
        <v>3215</v>
      </c>
      <c r="B1056" t="s">
        <v>3216</v>
      </c>
      <c r="C1056" t="s">
        <v>1177</v>
      </c>
      <c r="D1056" t="s">
        <v>1177</v>
      </c>
      <c r="E1056" t="s">
        <v>1177</v>
      </c>
    </row>
    <row r="1057" spans="1:5" x14ac:dyDescent="0.2">
      <c r="A1057" t="s">
        <v>3217</v>
      </c>
      <c r="B1057" t="s">
        <v>3218</v>
      </c>
      <c r="C1057" t="s">
        <v>1177</v>
      </c>
      <c r="D1057" t="s">
        <v>1177</v>
      </c>
      <c r="E1057" t="s">
        <v>1177</v>
      </c>
    </row>
    <row r="1058" spans="1:5" x14ac:dyDescent="0.2">
      <c r="A1058" t="s">
        <v>3219</v>
      </c>
      <c r="B1058" t="s">
        <v>3220</v>
      </c>
      <c r="C1058" t="s">
        <v>1177</v>
      </c>
      <c r="D1058" t="s">
        <v>1177</v>
      </c>
      <c r="E1058" t="s">
        <v>1177</v>
      </c>
    </row>
    <row r="1059" spans="1:5" x14ac:dyDescent="0.2">
      <c r="A1059" t="s">
        <v>3221</v>
      </c>
      <c r="B1059" t="s">
        <v>3222</v>
      </c>
      <c r="C1059" t="s">
        <v>1177</v>
      </c>
      <c r="D1059" t="s">
        <v>1177</v>
      </c>
      <c r="E1059" t="s">
        <v>1177</v>
      </c>
    </row>
    <row r="1060" spans="1:5" x14ac:dyDescent="0.2">
      <c r="A1060" t="s">
        <v>3223</v>
      </c>
      <c r="B1060" t="s">
        <v>3224</v>
      </c>
      <c r="C1060" t="s">
        <v>1177</v>
      </c>
      <c r="D1060" t="s">
        <v>1177</v>
      </c>
      <c r="E1060" t="s">
        <v>1177</v>
      </c>
    </row>
  </sheetData>
  <autoFilter ref="A1:E1060" xr:uid="{00000000-0001-0000-0100-000000000000}"/>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455F4-C8A4-4977-A881-71776865A3C4}">
  <dimension ref="B2:F30"/>
  <sheetViews>
    <sheetView showGridLines="0" zoomScale="130" zoomScaleNormal="130" workbookViewId="0">
      <selection activeCell="G14" sqref="G14"/>
    </sheetView>
  </sheetViews>
  <sheetFormatPr baseColWidth="10" defaultColWidth="11" defaultRowHeight="14.25" x14ac:dyDescent="0.2"/>
  <cols>
    <col min="2" max="2" width="12.875" customWidth="1"/>
    <col min="3" max="3" width="38.125" customWidth="1"/>
    <col min="4" max="4" width="22.375" customWidth="1"/>
    <col min="5" max="6" width="18.875" hidden="1" customWidth="1"/>
  </cols>
  <sheetData>
    <row r="2" spans="2:6" ht="18" x14ac:dyDescent="0.25">
      <c r="B2" s="424">
        <v>1</v>
      </c>
      <c r="C2" s="424">
        <v>2</v>
      </c>
      <c r="D2" s="424">
        <v>3</v>
      </c>
      <c r="E2" s="1225">
        <v>4</v>
      </c>
      <c r="F2" s="1225"/>
    </row>
    <row r="3" spans="2:6" ht="15" x14ac:dyDescent="0.2">
      <c r="D3" s="391" t="str">
        <f>COUNTA(D5:D30)&amp;" CAS"</f>
        <v>26 CAS</v>
      </c>
    </row>
    <row r="4" spans="2:6" ht="15" x14ac:dyDescent="0.2">
      <c r="B4" t="s">
        <v>3225</v>
      </c>
      <c r="C4" s="20" t="s">
        <v>3226</v>
      </c>
      <c r="D4" s="20" t="s">
        <v>3227</v>
      </c>
      <c r="E4" t="s">
        <v>135</v>
      </c>
      <c r="F4" t="s">
        <v>3228</v>
      </c>
    </row>
    <row r="5" spans="2:6" ht="21.75" customHeight="1" x14ac:dyDescent="0.2">
      <c r="B5" s="1233" t="s">
        <v>128</v>
      </c>
      <c r="C5" s="1234" t="s">
        <v>3229</v>
      </c>
      <c r="D5" s="385" t="s">
        <v>938</v>
      </c>
      <c r="E5" s="15"/>
      <c r="F5" s="15"/>
    </row>
    <row r="6" spans="2:6" ht="21.75" customHeight="1" x14ac:dyDescent="0.2">
      <c r="B6" s="1233"/>
      <c r="C6" s="1234"/>
      <c r="D6" s="385" t="s">
        <v>3230</v>
      </c>
      <c r="E6" s="15"/>
      <c r="F6" s="15"/>
    </row>
    <row r="7" spans="2:6" ht="21.75" customHeight="1" x14ac:dyDescent="0.2">
      <c r="B7" s="1233"/>
      <c r="C7" s="1234"/>
      <c r="D7" s="385" t="s">
        <v>727</v>
      </c>
      <c r="E7" s="15"/>
      <c r="F7" s="15"/>
    </row>
    <row r="8" spans="2:6" ht="21.75" customHeight="1" x14ac:dyDescent="0.2">
      <c r="B8" s="1233"/>
      <c r="C8" s="1234"/>
      <c r="D8" s="385" t="s">
        <v>189</v>
      </c>
      <c r="E8" s="15"/>
      <c r="F8" s="15"/>
    </row>
    <row r="9" spans="2:6" ht="21.75" customHeight="1" x14ac:dyDescent="0.2">
      <c r="B9" s="1233"/>
      <c r="C9" s="1234" t="s">
        <v>938</v>
      </c>
      <c r="D9" s="385" t="s">
        <v>938</v>
      </c>
      <c r="E9" s="15"/>
      <c r="F9" s="15"/>
    </row>
    <row r="10" spans="2:6" ht="21.75" customHeight="1" x14ac:dyDescent="0.2">
      <c r="B10" s="1233"/>
      <c r="C10" s="1234"/>
      <c r="D10" s="385" t="s">
        <v>727</v>
      </c>
      <c r="E10" s="15"/>
      <c r="F10" s="15"/>
    </row>
    <row r="11" spans="2:6" ht="21.75" customHeight="1" x14ac:dyDescent="0.2">
      <c r="B11" s="1233"/>
      <c r="C11" s="1234"/>
      <c r="D11" s="385" t="s">
        <v>189</v>
      </c>
      <c r="E11" s="15"/>
      <c r="F11" s="15"/>
    </row>
    <row r="12" spans="2:6" ht="33" customHeight="1" x14ac:dyDescent="0.2">
      <c r="B12" s="1235" t="s">
        <v>163</v>
      </c>
      <c r="C12" s="386" t="s">
        <v>3229</v>
      </c>
      <c r="D12" s="387" t="s">
        <v>938</v>
      </c>
      <c r="E12" s="15"/>
      <c r="F12" s="15"/>
    </row>
    <row r="13" spans="2:6" ht="33" customHeight="1" x14ac:dyDescent="0.2">
      <c r="B13" s="1235"/>
      <c r="C13" s="386" t="s">
        <v>938</v>
      </c>
      <c r="D13" s="387" t="s">
        <v>938</v>
      </c>
      <c r="E13" s="15"/>
      <c r="F13" s="15"/>
    </row>
    <row r="14" spans="2:6" ht="14.25" customHeight="1" x14ac:dyDescent="0.2">
      <c r="B14" s="1230" t="s">
        <v>170</v>
      </c>
      <c r="C14" s="1229" t="s">
        <v>3229</v>
      </c>
      <c r="D14" s="388" t="s">
        <v>938</v>
      </c>
      <c r="E14" s="15"/>
      <c r="F14" s="15"/>
    </row>
    <row r="15" spans="2:6" x14ac:dyDescent="0.2">
      <c r="B15" s="1230"/>
      <c r="C15" s="1229"/>
      <c r="D15" s="388" t="s">
        <v>3230</v>
      </c>
      <c r="E15" s="15"/>
      <c r="F15" s="15"/>
    </row>
    <row r="16" spans="2:6" x14ac:dyDescent="0.2">
      <c r="B16" s="1230"/>
      <c r="C16" s="1229"/>
      <c r="D16" s="388" t="s">
        <v>727</v>
      </c>
      <c r="E16" s="15"/>
      <c r="F16" s="15"/>
    </row>
    <row r="17" spans="2:6" x14ac:dyDescent="0.2">
      <c r="B17" s="1230"/>
      <c r="C17" s="1229"/>
      <c r="D17" s="388" t="s">
        <v>189</v>
      </c>
      <c r="E17" s="15"/>
      <c r="F17" s="15"/>
    </row>
    <row r="18" spans="2:6" x14ac:dyDescent="0.2">
      <c r="B18" s="1230"/>
      <c r="C18" s="1229" t="s">
        <v>938</v>
      </c>
      <c r="D18" s="388" t="s">
        <v>938</v>
      </c>
      <c r="E18" s="15"/>
      <c r="F18" s="15"/>
    </row>
    <row r="19" spans="2:6" x14ac:dyDescent="0.2">
      <c r="B19" s="1230"/>
      <c r="C19" s="1229"/>
      <c r="D19" s="388" t="s">
        <v>727</v>
      </c>
      <c r="E19" s="15"/>
      <c r="F19" s="15"/>
    </row>
    <row r="20" spans="2:6" x14ac:dyDescent="0.2">
      <c r="B20" s="1230"/>
      <c r="C20" s="1229"/>
      <c r="D20" s="388" t="s">
        <v>189</v>
      </c>
      <c r="E20" s="15"/>
      <c r="F20" s="15"/>
    </row>
    <row r="21" spans="2:6" ht="42.75" customHeight="1" x14ac:dyDescent="0.2">
      <c r="B21" s="1231" t="s">
        <v>3231</v>
      </c>
      <c r="C21" s="1226" t="s">
        <v>3229</v>
      </c>
      <c r="D21" s="390" t="s">
        <v>938</v>
      </c>
      <c r="E21" s="15"/>
      <c r="F21" s="15"/>
    </row>
    <row r="22" spans="2:6" x14ac:dyDescent="0.2">
      <c r="B22" s="1232"/>
      <c r="C22" s="1227"/>
      <c r="D22" s="390" t="s">
        <v>3230</v>
      </c>
      <c r="E22" s="15"/>
      <c r="F22" s="15"/>
    </row>
    <row r="23" spans="2:6" x14ac:dyDescent="0.2">
      <c r="B23" s="1232"/>
      <c r="C23" s="1228"/>
      <c r="D23" s="390" t="s">
        <v>727</v>
      </c>
      <c r="E23" s="15"/>
      <c r="F23" s="15"/>
    </row>
    <row r="24" spans="2:6" x14ac:dyDescent="0.2">
      <c r="B24" s="1232"/>
      <c r="C24" s="1226" t="s">
        <v>938</v>
      </c>
      <c r="D24" s="390" t="s">
        <v>938</v>
      </c>
      <c r="E24" s="15"/>
      <c r="F24" s="15"/>
    </row>
    <row r="25" spans="2:6" x14ac:dyDescent="0.2">
      <c r="B25" s="1232"/>
      <c r="C25" s="1228"/>
      <c r="D25" s="390" t="s">
        <v>727</v>
      </c>
      <c r="E25" s="15"/>
      <c r="F25" s="15"/>
    </row>
    <row r="26" spans="2:6" x14ac:dyDescent="0.2">
      <c r="B26" s="1231" t="s">
        <v>3232</v>
      </c>
      <c r="C26" s="1226" t="s">
        <v>3229</v>
      </c>
      <c r="D26" s="390" t="s">
        <v>938</v>
      </c>
      <c r="E26" s="15"/>
      <c r="F26" s="15"/>
    </row>
    <row r="27" spans="2:6" x14ac:dyDescent="0.2">
      <c r="B27" s="1232"/>
      <c r="C27" s="1227"/>
      <c r="D27" s="390" t="s">
        <v>3230</v>
      </c>
      <c r="E27" s="15"/>
      <c r="F27" s="15"/>
    </row>
    <row r="28" spans="2:6" x14ac:dyDescent="0.2">
      <c r="B28" s="1232"/>
      <c r="C28" s="1228"/>
      <c r="D28" s="390" t="s">
        <v>727</v>
      </c>
      <c r="E28" s="15"/>
      <c r="F28" s="15"/>
    </row>
    <row r="29" spans="2:6" x14ac:dyDescent="0.2">
      <c r="B29" s="1232"/>
      <c r="C29" s="1226" t="s">
        <v>938</v>
      </c>
      <c r="D29" s="390" t="s">
        <v>938</v>
      </c>
      <c r="E29" s="15"/>
      <c r="F29" s="15"/>
    </row>
    <row r="30" spans="2:6" x14ac:dyDescent="0.2">
      <c r="B30" s="1232"/>
      <c r="C30" s="1228"/>
      <c r="D30" s="390" t="s">
        <v>727</v>
      </c>
      <c r="E30" s="15"/>
      <c r="F30" s="15"/>
    </row>
  </sheetData>
  <mergeCells count="14">
    <mergeCell ref="E2:F2"/>
    <mergeCell ref="C26:C28"/>
    <mergeCell ref="C29:C30"/>
    <mergeCell ref="C18:C20"/>
    <mergeCell ref="B14:B20"/>
    <mergeCell ref="C21:C23"/>
    <mergeCell ref="C24:C25"/>
    <mergeCell ref="B21:B25"/>
    <mergeCell ref="B26:B30"/>
    <mergeCell ref="B5:B11"/>
    <mergeCell ref="C5:C8"/>
    <mergeCell ref="C9:C11"/>
    <mergeCell ref="B12:B13"/>
    <mergeCell ref="C14:C17"/>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6609C-8A76-4814-85E2-C2B6F8AA5194}">
  <sheetPr>
    <tabColor theme="0"/>
  </sheetPr>
  <dimension ref="C3:M127"/>
  <sheetViews>
    <sheetView showGridLines="0" topLeftCell="A19" zoomScale="115" zoomScaleNormal="115" workbookViewId="0">
      <selection activeCell="D13" sqref="D13"/>
    </sheetView>
  </sheetViews>
  <sheetFormatPr baseColWidth="10" defaultColWidth="11" defaultRowHeight="14.25" x14ac:dyDescent="0.2"/>
  <cols>
    <col min="3" max="3" width="30.25" bestFit="1" customWidth="1"/>
    <col min="4" max="4" width="36.25" customWidth="1"/>
    <col min="6" max="6" width="4.625" style="480" customWidth="1"/>
    <col min="7" max="7" width="5.375" customWidth="1"/>
    <col min="8" max="8" width="8.25" customWidth="1"/>
    <col min="9" max="9" width="18.125" customWidth="1"/>
  </cols>
  <sheetData>
    <row r="3" spans="3:13" ht="18" x14ac:dyDescent="0.25">
      <c r="C3" s="43" t="s">
        <v>3233</v>
      </c>
    </row>
    <row r="4" spans="3:13" ht="15" thickBot="1" x14ac:dyDescent="0.25"/>
    <row r="5" spans="3:13" ht="18" x14ac:dyDescent="0.2">
      <c r="C5" s="353" t="s">
        <v>3234</v>
      </c>
      <c r="D5" s="354" t="s">
        <v>3235</v>
      </c>
      <c r="F5" s="481" t="s">
        <v>3236</v>
      </c>
      <c r="G5" s="362"/>
      <c r="H5" s="362"/>
      <c r="I5" s="362"/>
      <c r="J5" s="362"/>
      <c r="K5" s="362"/>
      <c r="L5" s="362"/>
      <c r="M5" s="358"/>
    </row>
    <row r="6" spans="3:13" ht="15" thickBot="1" x14ac:dyDescent="0.25">
      <c r="C6" s="355" t="s">
        <v>3237</v>
      </c>
      <c r="D6" s="356">
        <v>111</v>
      </c>
      <c r="F6" s="482"/>
      <c r="M6" s="360"/>
    </row>
    <row r="7" spans="3:13" x14ac:dyDescent="0.2">
      <c r="F7" s="482"/>
      <c r="M7" s="360"/>
    </row>
    <row r="8" spans="3:13" ht="15" thickBot="1" x14ac:dyDescent="0.25">
      <c r="F8" s="482"/>
      <c r="M8" s="360"/>
    </row>
    <row r="9" spans="3:13" ht="15" x14ac:dyDescent="0.25">
      <c r="C9" s="357" t="s">
        <v>3238</v>
      </c>
      <c r="D9" s="358"/>
      <c r="F9" s="482"/>
      <c r="G9" s="370" t="s">
        <v>3239</v>
      </c>
      <c r="I9" s="370" t="s">
        <v>3240</v>
      </c>
      <c r="M9" s="360"/>
    </row>
    <row r="10" spans="3:13" ht="15" x14ac:dyDescent="0.25">
      <c r="C10" s="359" t="s">
        <v>3241</v>
      </c>
      <c r="D10" s="372" t="s">
        <v>237</v>
      </c>
      <c r="F10" s="482"/>
      <c r="M10" s="360"/>
    </row>
    <row r="11" spans="3:13" ht="15" x14ac:dyDescent="0.25">
      <c r="C11" s="359"/>
      <c r="D11" s="360"/>
      <c r="F11" s="1236" t="e" vm="1">
        <v>#VALUE!</v>
      </c>
      <c r="H11" s="369">
        <f>(D12*'D.1. Facteur d''émissions'!C9-Maison!D20*'D.1. Facteur d''émissions'!C9)/1000</f>
        <v>0.77466455999999972</v>
      </c>
      <c r="I11" t="s">
        <v>3242</v>
      </c>
      <c r="M11" s="360"/>
    </row>
    <row r="12" spans="3:13" ht="15" x14ac:dyDescent="0.25">
      <c r="C12" s="359" t="s">
        <v>3243</v>
      </c>
      <c r="D12" s="365">
        <f>D6*'A.1. Conso_bâtiment_EF H2'!J103</f>
        <v>14341.199999999999</v>
      </c>
      <c r="F12" s="1236"/>
      <c r="H12" s="374" t="s">
        <v>3244</v>
      </c>
      <c r="M12" s="360"/>
    </row>
    <row r="13" spans="3:13" ht="15" x14ac:dyDescent="0.25">
      <c r="C13" s="359" t="s">
        <v>3245</v>
      </c>
      <c r="D13" s="367">
        <v>0.12</v>
      </c>
      <c r="F13" s="1236"/>
      <c r="M13" s="360"/>
    </row>
    <row r="14" spans="3:13" ht="15.75" thickBot="1" x14ac:dyDescent="0.3">
      <c r="C14" s="361" t="s">
        <v>3246</v>
      </c>
      <c r="D14" s="366">
        <f>D12*D13</f>
        <v>1720.9439999999997</v>
      </c>
      <c r="F14" s="1236"/>
      <c r="M14" s="360"/>
    </row>
    <row r="15" spans="3:13" x14ac:dyDescent="0.2">
      <c r="F15" s="482"/>
      <c r="M15" s="360"/>
    </row>
    <row r="16" spans="3:13" ht="15" thickBot="1" x14ac:dyDescent="0.25">
      <c r="F16" s="482"/>
      <c r="M16" s="360"/>
    </row>
    <row r="17" spans="3:13" ht="15" x14ac:dyDescent="0.25">
      <c r="C17" s="357" t="s">
        <v>3247</v>
      </c>
      <c r="D17" s="358"/>
      <c r="F17" s="482"/>
      <c r="M17" s="360"/>
    </row>
    <row r="18" spans="3:13" ht="30" x14ac:dyDescent="0.25">
      <c r="C18" s="359" t="s">
        <v>3248</v>
      </c>
      <c r="D18" s="371" t="s">
        <v>3249</v>
      </c>
      <c r="F18" s="482"/>
      <c r="M18" s="360"/>
    </row>
    <row r="19" spans="3:13" ht="15" x14ac:dyDescent="0.25">
      <c r="C19" s="359"/>
      <c r="D19" s="360"/>
      <c r="F19" s="1236" t="e" vm="2">
        <v>#VALUE!</v>
      </c>
      <c r="H19" s="373">
        <f>D14-D25</f>
        <v>431.56799999999976</v>
      </c>
      <c r="I19" t="s">
        <v>3250</v>
      </c>
      <c r="M19" s="360"/>
    </row>
    <row r="20" spans="3:13" ht="15" x14ac:dyDescent="0.25">
      <c r="C20" s="359" t="s">
        <v>3251</v>
      </c>
      <c r="D20" s="365">
        <f>'A.1. Conso_bâtiment_EF H2'!I106*Maison!D6</f>
        <v>10744.8</v>
      </c>
      <c r="F20" s="1236"/>
      <c r="G20" s="455" t="s">
        <v>142</v>
      </c>
      <c r="H20" s="429">
        <f>H19/D14-1</f>
        <v>-0.74922600619195057</v>
      </c>
      <c r="I20" t="s">
        <v>3252</v>
      </c>
      <c r="M20" s="360"/>
    </row>
    <row r="21" spans="3:13" ht="15" x14ac:dyDescent="0.25">
      <c r="C21" s="359" t="s">
        <v>3253</v>
      </c>
      <c r="D21" s="365"/>
      <c r="F21" s="1236"/>
      <c r="H21" s="34">
        <f>D28/(H11*1000)</f>
        <v>0</v>
      </c>
      <c r="I21" t="s">
        <v>3254</v>
      </c>
      <c r="M21" s="360"/>
    </row>
    <row r="22" spans="3:13" ht="15" x14ac:dyDescent="0.25">
      <c r="C22" s="359" t="s">
        <v>3255</v>
      </c>
      <c r="D22" s="368">
        <f>D20/D12-1</f>
        <v>-0.25077399380804954</v>
      </c>
      <c r="F22" s="1236"/>
      <c r="M22" s="360"/>
    </row>
    <row r="23" spans="3:13" ht="15" x14ac:dyDescent="0.25">
      <c r="C23" s="359" t="s">
        <v>3245</v>
      </c>
      <c r="D23" s="367">
        <v>0.12</v>
      </c>
      <c r="F23" s="1236"/>
      <c r="M23" s="360"/>
    </row>
    <row r="24" spans="3:13" ht="15" x14ac:dyDescent="0.25">
      <c r="C24" s="359" t="s">
        <v>3256</v>
      </c>
      <c r="D24" s="367">
        <v>0.23</v>
      </c>
      <c r="F24" s="482"/>
      <c r="M24" s="360"/>
    </row>
    <row r="25" spans="3:13" ht="15" x14ac:dyDescent="0.25">
      <c r="C25" s="359" t="s">
        <v>3257</v>
      </c>
      <c r="D25" s="365">
        <f>D20*D23+D21*D24</f>
        <v>1289.376</v>
      </c>
      <c r="F25" s="482"/>
      <c r="M25" s="360"/>
    </row>
    <row r="26" spans="3:13" x14ac:dyDescent="0.2">
      <c r="C26" s="359"/>
      <c r="D26" s="360"/>
      <c r="F26" s="482"/>
      <c r="M26" s="360"/>
    </row>
    <row r="27" spans="3:13" x14ac:dyDescent="0.2">
      <c r="C27" s="359"/>
      <c r="D27" s="360"/>
      <c r="F27" s="482"/>
      <c r="M27" s="360"/>
    </row>
    <row r="28" spans="3:13" ht="15" x14ac:dyDescent="0.25">
      <c r="C28" s="359" t="s">
        <v>3258</v>
      </c>
      <c r="D28" s="365">
        <f>'C.1 Facteurs éco - coûts'!M18</f>
        <v>0</v>
      </c>
      <c r="F28" s="482"/>
      <c r="M28" s="360"/>
    </row>
    <row r="29" spans="3:13" ht="15" thickBot="1" x14ac:dyDescent="0.25">
      <c r="C29" s="361"/>
      <c r="D29" s="364"/>
      <c r="F29" s="483"/>
      <c r="G29" s="363"/>
      <c r="H29" s="363"/>
      <c r="I29" s="363"/>
      <c r="J29" s="363"/>
      <c r="K29" s="363"/>
      <c r="L29" s="363"/>
      <c r="M29" s="364"/>
    </row>
    <row r="30" spans="3:13" ht="15" thickBot="1" x14ac:dyDescent="0.25"/>
    <row r="31" spans="3:13" ht="15" x14ac:dyDescent="0.25">
      <c r="C31" s="357" t="s">
        <v>3259</v>
      </c>
      <c r="D31" s="358"/>
    </row>
    <row r="32" spans="3:13" x14ac:dyDescent="0.2">
      <c r="C32" s="359"/>
      <c r="D32" s="360"/>
    </row>
    <row r="33" spans="3:13" x14ac:dyDescent="0.2">
      <c r="C33" s="359"/>
      <c r="D33" s="360"/>
    </row>
    <row r="34" spans="3:13" ht="15" x14ac:dyDescent="0.25">
      <c r="C34" s="359" t="s">
        <v>3258</v>
      </c>
      <c r="D34" s="365">
        <v>15000</v>
      </c>
    </row>
    <row r="35" spans="3:13" x14ac:dyDescent="0.2">
      <c r="C35" s="359"/>
      <c r="D35" s="360"/>
    </row>
    <row r="36" spans="3:13" x14ac:dyDescent="0.2">
      <c r="C36" s="359"/>
      <c r="D36" s="360"/>
    </row>
    <row r="37" spans="3:13" x14ac:dyDescent="0.2">
      <c r="C37" s="359"/>
      <c r="D37" s="360"/>
    </row>
    <row r="38" spans="3:13" x14ac:dyDescent="0.2">
      <c r="C38" s="359"/>
      <c r="D38" s="360"/>
    </row>
    <row r="39" spans="3:13" x14ac:dyDescent="0.2">
      <c r="C39" s="359"/>
      <c r="D39" s="360"/>
    </row>
    <row r="40" spans="3:13" ht="15" thickBot="1" x14ac:dyDescent="0.25">
      <c r="C40" s="361"/>
      <c r="D40" s="364"/>
    </row>
    <row r="43" spans="3:13" ht="18" x14ac:dyDescent="0.25">
      <c r="C43" s="43" t="s">
        <v>3260</v>
      </c>
    </row>
    <row r="44" spans="3:13" ht="15" thickBot="1" x14ac:dyDescent="0.25"/>
    <row r="45" spans="3:13" ht="18" x14ac:dyDescent="0.2">
      <c r="C45" s="353" t="s">
        <v>3234</v>
      </c>
      <c r="D45" s="354" t="s">
        <v>3261</v>
      </c>
      <c r="F45" s="481" t="s">
        <v>3236</v>
      </c>
      <c r="G45" s="362"/>
      <c r="H45" s="362"/>
      <c r="I45" s="362"/>
      <c r="J45" s="362"/>
      <c r="K45" s="362"/>
      <c r="L45" s="362"/>
      <c r="M45" s="358"/>
    </row>
    <row r="46" spans="3:13" ht="15" thickBot="1" x14ac:dyDescent="0.25">
      <c r="C46" s="355" t="s">
        <v>3237</v>
      </c>
      <c r="D46" s="356">
        <v>111</v>
      </c>
      <c r="F46" s="482"/>
      <c r="M46" s="360"/>
    </row>
    <row r="47" spans="3:13" x14ac:dyDescent="0.2">
      <c r="F47" s="482"/>
      <c r="M47" s="360"/>
    </row>
    <row r="48" spans="3:13" ht="15" thickBot="1" x14ac:dyDescent="0.25">
      <c r="F48" s="482"/>
      <c r="M48" s="360"/>
    </row>
    <row r="49" spans="3:13" ht="15" x14ac:dyDescent="0.25">
      <c r="C49" s="357" t="s">
        <v>3238</v>
      </c>
      <c r="D49" s="358"/>
      <c r="F49" s="482"/>
      <c r="G49" s="370" t="s">
        <v>3239</v>
      </c>
      <c r="I49" s="370" t="s">
        <v>3240</v>
      </c>
      <c r="M49" s="360"/>
    </row>
    <row r="50" spans="3:13" ht="15" x14ac:dyDescent="0.25">
      <c r="C50" s="359" t="s">
        <v>3241</v>
      </c>
      <c r="D50" s="372" t="s">
        <v>237</v>
      </c>
      <c r="F50" s="482"/>
      <c r="M50" s="360"/>
    </row>
    <row r="51" spans="3:13" ht="15" x14ac:dyDescent="0.25">
      <c r="C51" s="359"/>
      <c r="D51" s="360"/>
      <c r="F51" s="1236" t="e" vm="1">
        <v>#VALUE!</v>
      </c>
      <c r="H51" s="369">
        <f>(D52*'D.1. Facteur d''émissions'!$C$9-(Maison!D60*'D.1. Facteur d''émissions'!$C$9+Maison!D61*'D.1. Facteur d''émissions'!$C$15))/1000</f>
        <v>2.2501276199999998</v>
      </c>
      <c r="I51" t="s">
        <v>3242</v>
      </c>
      <c r="M51" s="360"/>
    </row>
    <row r="52" spans="3:13" ht="15" x14ac:dyDescent="0.25">
      <c r="C52" s="359" t="s">
        <v>3243</v>
      </c>
      <c r="D52" s="365">
        <f>D46*'A.1. Conso_bâtiment_EF H2'!J103</f>
        <v>14341.199999999999</v>
      </c>
      <c r="F52" s="1236"/>
      <c r="H52" s="374"/>
      <c r="M52" s="360"/>
    </row>
    <row r="53" spans="3:13" ht="15" x14ac:dyDescent="0.25">
      <c r="C53" s="359" t="s">
        <v>3245</v>
      </c>
      <c r="D53" s="367">
        <v>0.12</v>
      </c>
      <c r="F53" s="1236"/>
      <c r="M53" s="360"/>
    </row>
    <row r="54" spans="3:13" ht="15.75" thickBot="1" x14ac:dyDescent="0.3">
      <c r="C54" s="361" t="s">
        <v>3246</v>
      </c>
      <c r="D54" s="366">
        <f>D52*D53</f>
        <v>1720.9439999999997</v>
      </c>
      <c r="F54" s="1236"/>
      <c r="M54" s="360"/>
    </row>
    <row r="55" spans="3:13" x14ac:dyDescent="0.2">
      <c r="F55" s="482"/>
      <c r="M55" s="360"/>
    </row>
    <row r="56" spans="3:13" ht="15" thickBot="1" x14ac:dyDescent="0.25">
      <c r="F56" s="482"/>
      <c r="M56" s="360"/>
    </row>
    <row r="57" spans="3:13" ht="15" x14ac:dyDescent="0.25">
      <c r="C57" s="357" t="s">
        <v>3247</v>
      </c>
      <c r="D57" s="358"/>
      <c r="F57" s="482"/>
      <c r="M57" s="360"/>
    </row>
    <row r="58" spans="3:13" ht="30" x14ac:dyDescent="0.25">
      <c r="C58" s="359" t="s">
        <v>3248</v>
      </c>
      <c r="D58" s="371" t="s">
        <v>3262</v>
      </c>
      <c r="F58" s="482"/>
      <c r="M58" s="360"/>
    </row>
    <row r="59" spans="3:13" ht="15" x14ac:dyDescent="0.25">
      <c r="C59" s="359"/>
      <c r="D59" s="360"/>
      <c r="F59" s="1236" t="e" vm="2">
        <v>#VALUE!</v>
      </c>
      <c r="H59" s="373">
        <f>D54-D65</f>
        <v>667.66499999999974</v>
      </c>
      <c r="I59" t="s">
        <v>3250</v>
      </c>
      <c r="M59" s="360"/>
    </row>
    <row r="60" spans="3:13" ht="15" x14ac:dyDescent="0.25">
      <c r="C60" s="359" t="s">
        <v>3251</v>
      </c>
      <c r="D60" s="365">
        <f>D46*'A.1. Conso_bâtiment_EF H2'!$J$107</f>
        <v>3096.8999999999996</v>
      </c>
      <c r="F60" s="1236"/>
      <c r="G60" s="455" t="s">
        <v>142</v>
      </c>
      <c r="H60" s="479">
        <f>H59/D54-1</f>
        <v>-0.61203560371517041</v>
      </c>
      <c r="I60" t="s">
        <v>3252</v>
      </c>
      <c r="M60" s="360"/>
    </row>
    <row r="61" spans="3:13" ht="15" x14ac:dyDescent="0.25">
      <c r="C61" s="359" t="s">
        <v>3253</v>
      </c>
      <c r="D61" s="365">
        <f>D46*'A.1. Conso_bâtiment_EF H2'!K107</f>
        <v>2963.7</v>
      </c>
      <c r="F61" s="1236"/>
      <c r="H61" s="34" t="e">
        <f>D68/(H51*1000)</f>
        <v>#REF!</v>
      </c>
      <c r="I61" t="s">
        <v>3254</v>
      </c>
      <c r="M61" s="360"/>
    </row>
    <row r="62" spans="3:13" ht="15" x14ac:dyDescent="0.25">
      <c r="C62" s="359" t="s">
        <v>3255</v>
      </c>
      <c r="D62" s="368">
        <f>(D60+D61*2.3)/D52-1</f>
        <v>-0.30874613003095974</v>
      </c>
      <c r="F62" s="1236"/>
      <c r="M62" s="360"/>
    </row>
    <row r="63" spans="3:13" ht="15" x14ac:dyDescent="0.25">
      <c r="C63" s="359" t="s">
        <v>3245</v>
      </c>
      <c r="D63" s="367">
        <v>0.12</v>
      </c>
      <c r="F63" s="1236"/>
      <c r="M63" s="360"/>
    </row>
    <row r="64" spans="3:13" ht="15" x14ac:dyDescent="0.25">
      <c r="C64" s="359" t="s">
        <v>3256</v>
      </c>
      <c r="D64" s="367">
        <v>0.23</v>
      </c>
      <c r="F64" s="482"/>
      <c r="M64" s="360"/>
    </row>
    <row r="65" spans="3:13" ht="15" x14ac:dyDescent="0.25">
      <c r="C65" s="359" t="s">
        <v>3257</v>
      </c>
      <c r="D65" s="365">
        <f>D60*D63+D61*D64</f>
        <v>1053.279</v>
      </c>
      <c r="F65" s="482"/>
      <c r="M65" s="360"/>
    </row>
    <row r="66" spans="3:13" x14ac:dyDescent="0.2">
      <c r="C66" s="359"/>
      <c r="D66" s="360"/>
      <c r="F66" s="482"/>
      <c r="M66" s="360"/>
    </row>
    <row r="67" spans="3:13" x14ac:dyDescent="0.2">
      <c r="C67" s="359"/>
      <c r="D67" s="360"/>
      <c r="F67" s="482"/>
      <c r="M67" s="360"/>
    </row>
    <row r="68" spans="3:13" ht="15" x14ac:dyDescent="0.25">
      <c r="C68" s="359" t="s">
        <v>3258</v>
      </c>
      <c r="D68" s="365" t="e">
        <f>'C.1 Facteurs éco - coûts'!#REF!</f>
        <v>#REF!</v>
      </c>
      <c r="F68" s="482"/>
      <c r="M68" s="360"/>
    </row>
    <row r="69" spans="3:13" ht="15" thickBot="1" x14ac:dyDescent="0.25">
      <c r="C69" s="361"/>
      <c r="D69" s="364"/>
      <c r="F69" s="483"/>
      <c r="G69" s="363"/>
      <c r="H69" s="363"/>
      <c r="I69" s="363"/>
      <c r="J69" s="363"/>
      <c r="K69" s="363"/>
      <c r="L69" s="363"/>
      <c r="M69" s="364"/>
    </row>
    <row r="72" spans="3:13" ht="18" x14ac:dyDescent="0.25">
      <c r="C72" s="43" t="s">
        <v>3263</v>
      </c>
    </row>
    <row r="73" spans="3:13" ht="15" thickBot="1" x14ac:dyDescent="0.25"/>
    <row r="74" spans="3:13" ht="18" x14ac:dyDescent="0.2">
      <c r="C74" s="353" t="s">
        <v>3234</v>
      </c>
      <c r="D74" s="354" t="s">
        <v>3261</v>
      </c>
      <c r="F74" s="481" t="s">
        <v>3236</v>
      </c>
      <c r="G74" s="362"/>
      <c r="H74" s="362"/>
      <c r="I74" s="362"/>
      <c r="J74" s="362"/>
      <c r="K74" s="362"/>
      <c r="L74" s="362"/>
      <c r="M74" s="358"/>
    </row>
    <row r="75" spans="3:13" ht="15" thickBot="1" x14ac:dyDescent="0.25">
      <c r="C75" s="355" t="s">
        <v>3237</v>
      </c>
      <c r="D75" s="356">
        <v>111</v>
      </c>
      <c r="F75" s="482"/>
      <c r="M75" s="360"/>
    </row>
    <row r="76" spans="3:13" x14ac:dyDescent="0.2">
      <c r="F76" s="482"/>
      <c r="M76" s="360"/>
    </row>
    <row r="77" spans="3:13" ht="15" thickBot="1" x14ac:dyDescent="0.25">
      <c r="F77" s="482"/>
      <c r="M77" s="360"/>
    </row>
    <row r="78" spans="3:13" ht="15" x14ac:dyDescent="0.25">
      <c r="C78" s="357" t="s">
        <v>3238</v>
      </c>
      <c r="D78" s="358"/>
      <c r="F78" s="482"/>
      <c r="G78" s="370" t="s">
        <v>3239</v>
      </c>
      <c r="I78" s="370" t="s">
        <v>3240</v>
      </c>
      <c r="M78" s="360"/>
    </row>
    <row r="79" spans="3:13" ht="15" x14ac:dyDescent="0.25">
      <c r="C79" s="359" t="s">
        <v>3241</v>
      </c>
      <c r="D79" s="372" t="s">
        <v>237</v>
      </c>
      <c r="F79" s="482"/>
      <c r="M79" s="360"/>
    </row>
    <row r="80" spans="3:13" ht="15" x14ac:dyDescent="0.25">
      <c r="C80" s="359"/>
      <c r="D80" s="360"/>
      <c r="F80" s="1236" t="e" vm="1">
        <v>#VALUE!</v>
      </c>
      <c r="H80" s="369">
        <f>(D81*'D.1. Facteur d''émissions'!$C$9-(Maison!D89*'D.1. Facteur d''émissions'!$C$9+Maison!D90*'D.1. Facteur d''émissions'!$C$15))/1000</f>
        <v>0.93485753999999999</v>
      </c>
      <c r="I80" t="s">
        <v>3242</v>
      </c>
      <c r="J80" s="369"/>
      <c r="M80" s="360"/>
    </row>
    <row r="81" spans="3:13" ht="15" x14ac:dyDescent="0.25">
      <c r="C81" s="359" t="s">
        <v>3243</v>
      </c>
      <c r="D81" s="365">
        <f>D75*'A.1. Conso_bâtiment_EF H2'!$J$103</f>
        <v>14341.199999999999</v>
      </c>
      <c r="F81" s="1236"/>
      <c r="H81" s="374" t="s">
        <v>3264</v>
      </c>
      <c r="J81" s="374"/>
      <c r="M81" s="360"/>
    </row>
    <row r="82" spans="3:13" ht="15" x14ac:dyDescent="0.25">
      <c r="C82" s="359" t="s">
        <v>3245</v>
      </c>
      <c r="D82" s="367">
        <v>0.12</v>
      </c>
      <c r="F82" s="1236"/>
      <c r="M82" s="360"/>
    </row>
    <row r="83" spans="3:13" ht="15.75" thickBot="1" x14ac:dyDescent="0.3">
      <c r="C83" s="361" t="s">
        <v>3246</v>
      </c>
      <c r="D83" s="366">
        <f>D81*D82</f>
        <v>1720.9439999999997</v>
      </c>
      <c r="F83" s="1236"/>
      <c r="M83" s="360"/>
    </row>
    <row r="84" spans="3:13" x14ac:dyDescent="0.2">
      <c r="F84" s="482"/>
      <c r="M84" s="360"/>
    </row>
    <row r="85" spans="3:13" ht="15" thickBot="1" x14ac:dyDescent="0.25">
      <c r="F85" s="482"/>
      <c r="M85" s="360"/>
    </row>
    <row r="86" spans="3:13" ht="15" x14ac:dyDescent="0.25">
      <c r="C86" s="357" t="s">
        <v>3247</v>
      </c>
      <c r="D86" s="358"/>
      <c r="F86" s="482"/>
      <c r="M86" s="360"/>
    </row>
    <row r="87" spans="3:13" ht="15" x14ac:dyDescent="0.25">
      <c r="C87" s="359" t="s">
        <v>3248</v>
      </c>
      <c r="D87" s="371" t="s">
        <v>726</v>
      </c>
      <c r="F87" s="482"/>
      <c r="M87" s="360"/>
    </row>
    <row r="88" spans="3:13" ht="15" x14ac:dyDescent="0.25">
      <c r="C88" s="359"/>
      <c r="D88" s="360"/>
      <c r="F88" s="1236" t="e" vm="2">
        <v>#VALUE!</v>
      </c>
      <c r="H88" s="373">
        <f>D83-D94</f>
        <v>520.8119999999999</v>
      </c>
      <c r="I88" t="s">
        <v>3250</v>
      </c>
      <c r="J88" s="373"/>
      <c r="M88" s="360"/>
    </row>
    <row r="89" spans="3:13" ht="15" x14ac:dyDescent="0.25">
      <c r="C89" s="359" t="s">
        <v>3251</v>
      </c>
      <c r="D89" s="365">
        <f>D75*'A.1. Conso_bâtiment_EF H2'!J111</f>
        <v>10001.099999999999</v>
      </c>
      <c r="F89" s="1236"/>
      <c r="G89" s="455" t="s">
        <v>142</v>
      </c>
      <c r="H89" s="429">
        <f>H88/(D83)-1</f>
        <v>-0.69736842105263164</v>
      </c>
      <c r="I89" t="s">
        <v>3252</v>
      </c>
      <c r="J89" s="34"/>
      <c r="M89" s="360"/>
    </row>
    <row r="90" spans="3:13" ht="15" x14ac:dyDescent="0.25">
      <c r="C90" s="359" t="s">
        <v>3253</v>
      </c>
      <c r="D90" s="365"/>
      <c r="F90" s="1236"/>
      <c r="G90" s="375"/>
      <c r="H90" s="34" t="e">
        <f>D97/(H80*1000)</f>
        <v>#REF!</v>
      </c>
      <c r="I90" t="s">
        <v>3254</v>
      </c>
      <c r="M90" s="360"/>
    </row>
    <row r="91" spans="3:13" ht="15" x14ac:dyDescent="0.25">
      <c r="C91" s="359" t="s">
        <v>3255</v>
      </c>
      <c r="D91" s="368">
        <f>(D89+D90*2.3)/D81-1</f>
        <v>-0.30263157894736847</v>
      </c>
      <c r="F91" s="1236"/>
      <c r="M91" s="360"/>
    </row>
    <row r="92" spans="3:13" ht="15" x14ac:dyDescent="0.25">
      <c r="C92" s="359" t="s">
        <v>3245</v>
      </c>
      <c r="D92" s="367">
        <v>0.12</v>
      </c>
      <c r="F92" s="1236"/>
      <c r="M92" s="360"/>
    </row>
    <row r="93" spans="3:13" ht="15" x14ac:dyDescent="0.25">
      <c r="C93" s="359" t="s">
        <v>3256</v>
      </c>
      <c r="D93" s="367">
        <v>0.23</v>
      </c>
      <c r="F93" s="482"/>
      <c r="M93" s="360"/>
    </row>
    <row r="94" spans="3:13" ht="15" x14ac:dyDescent="0.25">
      <c r="C94" s="359" t="s">
        <v>3257</v>
      </c>
      <c r="D94" s="365">
        <f>D89*D92+D90*D93</f>
        <v>1200.1319999999998</v>
      </c>
      <c r="F94" s="482"/>
      <c r="M94" s="360"/>
    </row>
    <row r="95" spans="3:13" x14ac:dyDescent="0.2">
      <c r="C95" s="359"/>
      <c r="D95" s="360"/>
      <c r="F95" s="482"/>
      <c r="M95" s="360"/>
    </row>
    <row r="96" spans="3:13" x14ac:dyDescent="0.2">
      <c r="C96" s="359"/>
      <c r="D96" s="360"/>
      <c r="F96" s="482"/>
      <c r="M96" s="360"/>
    </row>
    <row r="97" spans="3:13" ht="15" x14ac:dyDescent="0.25">
      <c r="C97" s="359" t="s">
        <v>3258</v>
      </c>
      <c r="D97" s="365" t="e">
        <f>'C.1 Facteurs éco - coûts'!#REF!</f>
        <v>#REF!</v>
      </c>
      <c r="F97" s="482"/>
      <c r="M97" s="360"/>
    </row>
    <row r="98" spans="3:13" ht="15" thickBot="1" x14ac:dyDescent="0.25">
      <c r="C98" s="361"/>
      <c r="D98" s="364"/>
      <c r="F98" s="483"/>
      <c r="G98" s="363"/>
      <c r="H98" s="363"/>
      <c r="I98" s="363"/>
      <c r="J98" s="363"/>
      <c r="K98" s="363"/>
      <c r="L98" s="363"/>
      <c r="M98" s="364"/>
    </row>
    <row r="101" spans="3:13" ht="18" x14ac:dyDescent="0.25">
      <c r="C101" s="43" t="s">
        <v>3263</v>
      </c>
    </row>
    <row r="102" spans="3:13" ht="15" thickBot="1" x14ac:dyDescent="0.25"/>
    <row r="103" spans="3:13" ht="18" x14ac:dyDescent="0.2">
      <c r="C103" s="353" t="s">
        <v>3234</v>
      </c>
      <c r="D103" s="354" t="s">
        <v>3261</v>
      </c>
      <c r="F103" s="481" t="s">
        <v>3236</v>
      </c>
      <c r="G103" s="362"/>
      <c r="H103" s="362"/>
      <c r="I103" s="362"/>
      <c r="J103" s="362"/>
      <c r="K103" s="362"/>
      <c r="L103" s="362"/>
      <c r="M103" s="358"/>
    </row>
    <row r="104" spans="3:13" ht="15" thickBot="1" x14ac:dyDescent="0.25">
      <c r="C104" s="355" t="s">
        <v>3237</v>
      </c>
      <c r="D104" s="356">
        <v>111</v>
      </c>
      <c r="F104" s="482"/>
      <c r="M104" s="360"/>
    </row>
    <row r="105" spans="3:13" x14ac:dyDescent="0.2">
      <c r="F105" s="482"/>
      <c r="M105" s="360"/>
    </row>
    <row r="106" spans="3:13" ht="15" thickBot="1" x14ac:dyDescent="0.25">
      <c r="F106" s="482"/>
      <c r="M106" s="360"/>
    </row>
    <row r="107" spans="3:13" ht="15" x14ac:dyDescent="0.25">
      <c r="C107" s="357" t="s">
        <v>3238</v>
      </c>
      <c r="D107" s="358"/>
      <c r="F107" s="482"/>
      <c r="G107" s="370" t="s">
        <v>3239</v>
      </c>
      <c r="I107" s="370" t="s">
        <v>3240</v>
      </c>
      <c r="M107" s="360"/>
    </row>
    <row r="108" spans="3:13" ht="15" x14ac:dyDescent="0.25">
      <c r="C108" s="359" t="s">
        <v>3241</v>
      </c>
      <c r="D108" s="372" t="s">
        <v>237</v>
      </c>
      <c r="F108" s="482"/>
      <c r="M108" s="360"/>
    </row>
    <row r="109" spans="3:13" ht="15" x14ac:dyDescent="0.25">
      <c r="C109" s="359"/>
      <c r="D109" s="360"/>
      <c r="F109" s="1236" t="e" vm="1">
        <v>#VALUE!</v>
      </c>
      <c r="H109" s="369">
        <f>(D110*'D.1. Facteur d''émissions'!$C$9-(Maison!D118*'D.1. Facteur d''émissions'!$C$9+Maison!D119*'D.1. Facteur d''émissions'!$C$15))/1000</f>
        <v>3.0890944799999995</v>
      </c>
      <c r="I109" t="s">
        <v>3242</v>
      </c>
      <c r="J109" s="369"/>
      <c r="M109" s="360"/>
    </row>
    <row r="110" spans="3:13" ht="15" x14ac:dyDescent="0.25">
      <c r="C110" s="359" t="s">
        <v>3243</v>
      </c>
      <c r="D110" s="365">
        <f>D104*'A.1. Conso_bâtiment_EF H2'!$J$103</f>
        <v>14341.199999999999</v>
      </c>
      <c r="F110" s="1236"/>
      <c r="H110" s="374" t="s">
        <v>3264</v>
      </c>
      <c r="J110" s="374"/>
      <c r="M110" s="360"/>
    </row>
    <row r="111" spans="3:13" ht="15" x14ac:dyDescent="0.25">
      <c r="C111" s="359" t="s">
        <v>3245</v>
      </c>
      <c r="D111" s="367">
        <v>0.12</v>
      </c>
      <c r="F111" s="1236"/>
      <c r="M111" s="360"/>
    </row>
    <row r="112" spans="3:13" ht="15.75" thickBot="1" x14ac:dyDescent="0.3">
      <c r="C112" s="361" t="s">
        <v>3246</v>
      </c>
      <c r="D112" s="366">
        <f>D110*D111</f>
        <v>1720.9439999999997</v>
      </c>
      <c r="F112" s="1236"/>
      <c r="M112" s="360"/>
    </row>
    <row r="113" spans="3:13" x14ac:dyDescent="0.2">
      <c r="F113" s="482"/>
      <c r="M113" s="360"/>
    </row>
    <row r="114" spans="3:13" ht="15" thickBot="1" x14ac:dyDescent="0.25">
      <c r="F114" s="482"/>
      <c r="M114" s="360"/>
    </row>
    <row r="115" spans="3:13" ht="15" x14ac:dyDescent="0.25">
      <c r="C115" s="357" t="s">
        <v>3247</v>
      </c>
      <c r="D115" s="358"/>
      <c r="F115" s="482"/>
      <c r="M115" s="360"/>
    </row>
    <row r="116" spans="3:13" ht="15" x14ac:dyDescent="0.25">
      <c r="C116" s="359" t="s">
        <v>3248</v>
      </c>
      <c r="D116" s="371" t="s">
        <v>726</v>
      </c>
      <c r="F116" s="482"/>
      <c r="M116" s="360"/>
    </row>
    <row r="117" spans="3:13" ht="15" x14ac:dyDescent="0.25">
      <c r="C117" s="359"/>
      <c r="D117" s="360"/>
      <c r="F117" s="1236" t="e" vm="2">
        <v>#VALUE!</v>
      </c>
      <c r="H117" s="373">
        <f>D112-D123</f>
        <v>1720.9439999999997</v>
      </c>
      <c r="I117" t="s">
        <v>3250</v>
      </c>
      <c r="J117" s="373"/>
      <c r="M117" s="360"/>
    </row>
    <row r="118" spans="3:13" ht="15" x14ac:dyDescent="0.25">
      <c r="C118" s="359" t="s">
        <v>3251</v>
      </c>
      <c r="D118" s="365">
        <f>D104*'A.1. Conso_bâtiment_EF H2'!J138</f>
        <v>0</v>
      </c>
      <c r="F118" s="1236"/>
      <c r="H118" s="34" t="e">
        <f>D126/H109</f>
        <v>#REF!</v>
      </c>
      <c r="I118" t="s">
        <v>3265</v>
      </c>
      <c r="J118" s="34"/>
      <c r="M118" s="360"/>
    </row>
    <row r="119" spans="3:13" ht="15" x14ac:dyDescent="0.25">
      <c r="C119" s="359" t="s">
        <v>3253</v>
      </c>
      <c r="D119" s="365"/>
      <c r="F119" s="1236"/>
      <c r="G119" s="375"/>
      <c r="I119" s="375"/>
      <c r="M119" s="360"/>
    </row>
    <row r="120" spans="3:13" ht="15" x14ac:dyDescent="0.25">
      <c r="C120" s="359" t="s">
        <v>3255</v>
      </c>
      <c r="D120" s="368">
        <f>(D118+D119*2.3)/D110-1</f>
        <v>-1</v>
      </c>
      <c r="F120" s="1236"/>
      <c r="M120" s="360"/>
    </row>
    <row r="121" spans="3:13" ht="15" x14ac:dyDescent="0.25">
      <c r="C121" s="359" t="s">
        <v>3245</v>
      </c>
      <c r="D121" s="367">
        <v>0.12</v>
      </c>
      <c r="F121" s="1236"/>
      <c r="M121" s="360"/>
    </row>
    <row r="122" spans="3:13" ht="15" x14ac:dyDescent="0.25">
      <c r="C122" s="359" t="s">
        <v>3256</v>
      </c>
      <c r="D122" s="367">
        <v>0.23</v>
      </c>
      <c r="F122" s="482"/>
      <c r="M122" s="360"/>
    </row>
    <row r="123" spans="3:13" ht="15" x14ac:dyDescent="0.25">
      <c r="C123" s="359" t="s">
        <v>3257</v>
      </c>
      <c r="D123" s="365">
        <f>D118*D121+D119*D122</f>
        <v>0</v>
      </c>
      <c r="F123" s="482"/>
      <c r="M123" s="360"/>
    </row>
    <row r="124" spans="3:13" x14ac:dyDescent="0.2">
      <c r="C124" s="359"/>
      <c r="D124" s="360"/>
      <c r="F124" s="482"/>
      <c r="M124" s="360"/>
    </row>
    <row r="125" spans="3:13" x14ac:dyDescent="0.2">
      <c r="C125" s="359"/>
      <c r="D125" s="360"/>
      <c r="F125" s="482"/>
      <c r="M125" s="360"/>
    </row>
    <row r="126" spans="3:13" ht="15" x14ac:dyDescent="0.25">
      <c r="C126" s="359" t="s">
        <v>3258</v>
      </c>
      <c r="D126" s="365" t="e">
        <f>'C.1 Facteurs éco - coûts'!#REF!</f>
        <v>#REF!</v>
      </c>
      <c r="F126" s="482"/>
      <c r="M126" s="360"/>
    </row>
    <row r="127" spans="3:13" ht="15" thickBot="1" x14ac:dyDescent="0.25">
      <c r="C127" s="361"/>
      <c r="D127" s="364"/>
      <c r="F127" s="483"/>
      <c r="G127" s="363"/>
      <c r="H127" s="363"/>
      <c r="I127" s="363"/>
      <c r="J127" s="363"/>
      <c r="K127" s="363"/>
      <c r="L127" s="363"/>
      <c r="M127" s="364"/>
    </row>
  </sheetData>
  <mergeCells count="8">
    <mergeCell ref="F109:F112"/>
    <mergeCell ref="F117:F121"/>
    <mergeCell ref="F11:F14"/>
    <mergeCell ref="F19:F23"/>
    <mergeCell ref="F51:F54"/>
    <mergeCell ref="F59:F63"/>
    <mergeCell ref="F80:F83"/>
    <mergeCell ref="F88:F92"/>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4EE08-0C2A-466A-B5B0-BA62B6FE07AB}">
  <sheetPr>
    <tabColor theme="0"/>
  </sheetPr>
  <dimension ref="A1"/>
  <sheetViews>
    <sheetView workbookViewId="0">
      <selection activeCell="D13" sqref="D13"/>
    </sheetView>
  </sheetViews>
  <sheetFormatPr baseColWidth="10" defaultColWidth="11" defaultRowHeight="14.25" x14ac:dyDescent="0.2"/>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73BB2-09C3-4602-AB39-30F9FA47CEDC}">
  <sheetPr>
    <tabColor theme="0"/>
  </sheetPr>
  <dimension ref="A1"/>
  <sheetViews>
    <sheetView workbookViewId="0">
      <selection activeCell="D13" sqref="D13"/>
    </sheetView>
  </sheetViews>
  <sheetFormatPr baseColWidth="10" defaultColWidth="11" defaultRowHeight="14.25" x14ac:dyDescent="0.2"/>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597E4-3A95-4490-87CF-9C76846FEFAE}">
  <sheetPr>
    <tabColor theme="0"/>
  </sheetPr>
  <dimension ref="A1"/>
  <sheetViews>
    <sheetView workbookViewId="0">
      <selection activeCell="D13" sqref="D13"/>
    </sheetView>
  </sheetViews>
  <sheetFormatPr baseColWidth="10" defaultColWidth="11" defaultRowHeight="14.25" x14ac:dyDescent="0.2"/>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7771B-38F9-49B1-9E34-5AFFA2B2667A}">
  <sheetPr>
    <tabColor theme="3" tint="0.79998168889431442"/>
  </sheetPr>
  <dimension ref="C2:F13"/>
  <sheetViews>
    <sheetView showGridLines="0" zoomScale="130" zoomScaleNormal="130" workbookViewId="0">
      <selection activeCell="D13" sqref="D13"/>
    </sheetView>
  </sheetViews>
  <sheetFormatPr baseColWidth="10" defaultColWidth="11" defaultRowHeight="14.25" x14ac:dyDescent="0.2"/>
  <cols>
    <col min="3" max="3" width="45.5" customWidth="1"/>
    <col min="4" max="6" width="18.625" customWidth="1"/>
  </cols>
  <sheetData>
    <row r="2" spans="3:6" ht="15" x14ac:dyDescent="0.25">
      <c r="C2" s="49" t="s">
        <v>3266</v>
      </c>
    </row>
    <row r="4" spans="3:6" ht="18" x14ac:dyDescent="0.25">
      <c r="C4" s="43" t="s">
        <v>128</v>
      </c>
    </row>
    <row r="5" spans="3:6" ht="15.75" x14ac:dyDescent="0.25">
      <c r="D5" s="50" t="s">
        <v>3267</v>
      </c>
      <c r="E5" s="50" t="s">
        <v>741</v>
      </c>
      <c r="F5" s="50" t="s">
        <v>3268</v>
      </c>
    </row>
    <row r="6" spans="3:6" ht="5.45" customHeight="1" x14ac:dyDescent="0.25">
      <c r="D6" s="50"/>
      <c r="E6" s="50"/>
      <c r="F6" s="50"/>
    </row>
    <row r="7" spans="3:6" ht="15" x14ac:dyDescent="0.25">
      <c r="C7" s="62" t="s">
        <v>3269</v>
      </c>
      <c r="D7" s="55" t="s">
        <v>3270</v>
      </c>
      <c r="E7" s="55" t="s">
        <v>3270</v>
      </c>
      <c r="F7" s="53" t="s">
        <v>3270</v>
      </c>
    </row>
    <row r="8" spans="3:6" ht="15" x14ac:dyDescent="0.25">
      <c r="C8" s="62" t="s">
        <v>3271</v>
      </c>
      <c r="D8" s="54">
        <v>70</v>
      </c>
      <c r="E8" s="54">
        <v>120</v>
      </c>
      <c r="F8" s="53">
        <v>200</v>
      </c>
    </row>
    <row r="9" spans="3:6" ht="15" x14ac:dyDescent="0.25">
      <c r="C9" s="62" t="s">
        <v>3272</v>
      </c>
      <c r="D9" s="55" t="s">
        <v>3273</v>
      </c>
      <c r="E9" s="55" t="s">
        <v>3273</v>
      </c>
      <c r="F9" s="53" t="s">
        <v>3273</v>
      </c>
    </row>
    <row r="10" spans="3:6" ht="15" x14ac:dyDescent="0.25">
      <c r="C10" s="62" t="s">
        <v>3274</v>
      </c>
      <c r="D10" s="55" t="s">
        <v>3275</v>
      </c>
      <c r="E10" s="55" t="s">
        <v>3275</v>
      </c>
      <c r="F10" s="53" t="s">
        <v>3275</v>
      </c>
    </row>
    <row r="11" spans="3:6" ht="15" x14ac:dyDescent="0.25">
      <c r="C11" s="62" t="s">
        <v>3276</v>
      </c>
      <c r="D11" s="55">
        <v>2</v>
      </c>
      <c r="E11" s="55">
        <v>3</v>
      </c>
      <c r="F11" s="53">
        <v>5</v>
      </c>
    </row>
    <row r="12" spans="3:6" ht="15" x14ac:dyDescent="0.25">
      <c r="C12" s="62" t="s">
        <v>172</v>
      </c>
      <c r="D12" s="55" t="s">
        <v>724</v>
      </c>
      <c r="E12" s="55" t="s">
        <v>724</v>
      </c>
      <c r="F12" s="53" t="s">
        <v>724</v>
      </c>
    </row>
    <row r="13" spans="3:6" ht="15" x14ac:dyDescent="0.25">
      <c r="C13" s="62" t="s">
        <v>3277</v>
      </c>
      <c r="D13" s="56">
        <v>9000</v>
      </c>
      <c r="E13" s="56">
        <v>12000</v>
      </c>
      <c r="F13" s="57">
        <v>15000</v>
      </c>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7694A-C08B-4A0C-934D-954C8638E76A}">
  <sheetPr>
    <tabColor theme="6"/>
  </sheetPr>
  <dimension ref="D6"/>
  <sheetViews>
    <sheetView showGridLines="0" workbookViewId="0">
      <selection activeCell="F11" sqref="F11"/>
    </sheetView>
  </sheetViews>
  <sheetFormatPr baseColWidth="10" defaultColWidth="11" defaultRowHeight="14.25" x14ac:dyDescent="0.2"/>
  <sheetData>
    <row r="6" spans="4:4" ht="20.25" x14ac:dyDescent="0.3">
      <c r="D6" s="52" t="s">
        <v>3278</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62AF7-2644-4B09-BCAC-53B3C4C734F1}">
  <sheetPr>
    <tabColor theme="3"/>
  </sheetPr>
  <dimension ref="A1:X231"/>
  <sheetViews>
    <sheetView showGridLines="0" tabSelected="1" zoomScale="70" zoomScaleNormal="70" workbookViewId="0">
      <selection activeCell="Q87" sqref="Q87:R90"/>
    </sheetView>
  </sheetViews>
  <sheetFormatPr baseColWidth="10" defaultColWidth="11" defaultRowHeight="14.25" outlineLevelRow="1" outlineLevelCol="1" x14ac:dyDescent="0.2"/>
  <cols>
    <col min="2" max="2" width="28.625" customWidth="1" outlineLevel="1"/>
    <col min="3" max="3" width="10.875" customWidth="1" outlineLevel="1"/>
    <col min="4" max="4" width="4.875" customWidth="1"/>
    <col min="5" max="5" width="60.125" customWidth="1"/>
    <col min="6" max="6" width="19" customWidth="1"/>
    <col min="7" max="7" width="54.125" customWidth="1"/>
    <col min="8" max="8" width="9.5" customWidth="1"/>
    <col min="9" max="9" width="8" customWidth="1"/>
    <col min="10" max="10" width="28.875" customWidth="1"/>
    <col min="11" max="11" width="21.5" customWidth="1"/>
    <col min="12" max="12" width="12" customWidth="1"/>
    <col min="13" max="13" width="22.875" customWidth="1"/>
    <col min="14" max="14" width="39.25" customWidth="1"/>
    <col min="15" max="15" width="12.875" customWidth="1"/>
    <col min="16" max="16" width="4" customWidth="1"/>
    <col min="17" max="17" width="16.125" customWidth="1"/>
    <col min="18" max="18" width="28.625" customWidth="1"/>
    <col min="19" max="19" width="14.75" customWidth="1"/>
  </cols>
  <sheetData>
    <row r="1" spans="5:6" ht="20.25" x14ac:dyDescent="0.3">
      <c r="E1" s="630"/>
    </row>
    <row r="2" spans="5:6" ht="15" x14ac:dyDescent="0.25">
      <c r="E2" s="86" t="s">
        <v>222</v>
      </c>
    </row>
    <row r="3" spans="5:6" x14ac:dyDescent="0.2">
      <c r="E3" s="3"/>
      <c r="F3" t="s">
        <v>223</v>
      </c>
    </row>
    <row r="5" spans="5:6" ht="18" x14ac:dyDescent="0.25">
      <c r="E5" s="573" t="s">
        <v>3279</v>
      </c>
    </row>
    <row r="6" spans="5:6" ht="15.75" x14ac:dyDescent="0.25">
      <c r="E6" s="18" t="s">
        <v>3280</v>
      </c>
    </row>
    <row r="8" spans="5:6" ht="15.75" x14ac:dyDescent="0.25">
      <c r="E8" s="584" t="s">
        <v>3281</v>
      </c>
    </row>
    <row r="9" spans="5:6" ht="15.75" x14ac:dyDescent="0.25">
      <c r="E9" s="740" t="s">
        <v>3282</v>
      </c>
    </row>
    <row r="10" spans="5:6" ht="5.0999999999999996" customHeight="1" x14ac:dyDescent="0.2">
      <c r="E10" s="740"/>
    </row>
    <row r="11" spans="5:6" ht="15" x14ac:dyDescent="0.2">
      <c r="E11" s="740" t="s">
        <v>3283</v>
      </c>
    </row>
    <row r="12" spans="5:6" ht="15" x14ac:dyDescent="0.2">
      <c r="E12" s="813" t="s">
        <v>3284</v>
      </c>
    </row>
    <row r="13" spans="5:6" ht="15" x14ac:dyDescent="0.2">
      <c r="E13" s="813" t="s">
        <v>3285</v>
      </c>
    </row>
    <row r="14" spans="5:6" ht="15" x14ac:dyDescent="0.2">
      <c r="E14" s="813" t="s">
        <v>3286</v>
      </c>
    </row>
    <row r="15" spans="5:6" ht="15" x14ac:dyDescent="0.2">
      <c r="E15" s="813" t="s">
        <v>3287</v>
      </c>
    </row>
    <row r="16" spans="5:6" ht="15" x14ac:dyDescent="0.2">
      <c r="E16" s="813" t="s">
        <v>3288</v>
      </c>
    </row>
    <row r="17" spans="4:17" ht="15" x14ac:dyDescent="0.2">
      <c r="E17" s="813"/>
    </row>
    <row r="18" spans="4:17" ht="15.75" x14ac:dyDescent="0.25">
      <c r="E18" s="584" t="s">
        <v>3289</v>
      </c>
    </row>
    <row r="19" spans="4:17" ht="15.75" x14ac:dyDescent="0.25">
      <c r="E19" s="814" t="s">
        <v>3290</v>
      </c>
    </row>
    <row r="20" spans="4:17" ht="15.75" x14ac:dyDescent="0.25">
      <c r="E20" s="740" t="s">
        <v>3291</v>
      </c>
      <c r="N20" s="48"/>
    </row>
    <row r="21" spans="4:17" ht="15.75" x14ac:dyDescent="0.25">
      <c r="E21" s="740" t="s">
        <v>3292</v>
      </c>
      <c r="N21" s="48"/>
    </row>
    <row r="22" spans="4:17" ht="15.75" x14ac:dyDescent="0.25">
      <c r="E22" s="740" t="s">
        <v>3293</v>
      </c>
      <c r="N22" s="48"/>
    </row>
    <row r="23" spans="4:17" ht="15.75" x14ac:dyDescent="0.25">
      <c r="E23" s="740" t="s">
        <v>3294</v>
      </c>
    </row>
    <row r="24" spans="4:17" ht="15" x14ac:dyDescent="0.2">
      <c r="E24" s="740"/>
    </row>
    <row r="25" spans="4:17" ht="15" x14ac:dyDescent="0.2">
      <c r="E25" s="740"/>
    </row>
    <row r="26" spans="4:17" ht="15" x14ac:dyDescent="0.2">
      <c r="E26" s="740"/>
    </row>
    <row r="28" spans="4:17" ht="23.25" x14ac:dyDescent="0.35">
      <c r="E28" s="829" t="s">
        <v>165</v>
      </c>
    </row>
    <row r="29" spans="4:17" ht="12" customHeight="1" x14ac:dyDescent="0.2">
      <c r="N29" s="1216"/>
      <c r="O29" s="1216"/>
      <c r="P29" s="1216"/>
      <c r="Q29" s="1216"/>
    </row>
    <row r="30" spans="4:17" ht="12" customHeight="1" thickBot="1" x14ac:dyDescent="0.25">
      <c r="N30" s="544"/>
      <c r="O30" s="544"/>
      <c r="P30" s="544"/>
      <c r="Q30" s="544"/>
    </row>
    <row r="31" spans="4:17" ht="21" customHeight="1" x14ac:dyDescent="0.35">
      <c r="D31" s="811">
        <v>1</v>
      </c>
      <c r="E31" s="789" t="s">
        <v>3295</v>
      </c>
      <c r="F31" s="362"/>
      <c r="G31" s="358"/>
      <c r="I31" s="811">
        <v>4</v>
      </c>
      <c r="J31" s="797" t="s">
        <v>3296</v>
      </c>
      <c r="K31" s="358"/>
      <c r="N31" s="544"/>
      <c r="O31" s="544"/>
      <c r="P31" s="544"/>
      <c r="Q31" s="544"/>
    </row>
    <row r="32" spans="4:17" x14ac:dyDescent="0.2">
      <c r="D32" s="359"/>
      <c r="E32" s="207" t="s">
        <v>3297</v>
      </c>
      <c r="F32" s="784"/>
      <c r="G32" s="785" t="s">
        <v>3298</v>
      </c>
      <c r="H32" s="580"/>
      <c r="I32" s="359"/>
      <c r="J32" s="501"/>
      <c r="K32" s="360"/>
      <c r="N32" s="544"/>
      <c r="O32" s="544"/>
      <c r="P32" s="544"/>
      <c r="Q32" s="544"/>
    </row>
    <row r="33" spans="2:24" ht="16.5" thickBot="1" x14ac:dyDescent="0.3">
      <c r="D33" s="359"/>
      <c r="E33" s="207"/>
      <c r="F33" s="546"/>
      <c r="G33" s="786"/>
      <c r="H33" s="560"/>
      <c r="I33" s="359"/>
      <c r="J33" s="18" t="s">
        <v>3299</v>
      </c>
      <c r="K33" s="727"/>
      <c r="N33" s="544"/>
      <c r="O33" s="544"/>
      <c r="P33" s="544"/>
      <c r="Q33" s="562"/>
    </row>
    <row r="34" spans="2:24" ht="18.600000000000001" customHeight="1" thickBot="1" x14ac:dyDescent="0.25">
      <c r="D34" s="359"/>
      <c r="E34" s="370" t="s">
        <v>236</v>
      </c>
      <c r="F34" s="546"/>
      <c r="G34" s="787"/>
      <c r="H34" s="513"/>
      <c r="I34" s="799"/>
      <c r="J34" s="839">
        <f>IF(J37="",F37*-J35,F37*-J37)</f>
        <v>0</v>
      </c>
      <c r="K34" s="728" t="str">
        <f>IF(J56="","kWh PCI/an","kWh EP/an")</f>
        <v>kWh PCI/an</v>
      </c>
      <c r="O34" s="544"/>
      <c r="P34" s="544"/>
      <c r="Q34" s="544"/>
    </row>
    <row r="35" spans="2:24" ht="30.6" customHeight="1" x14ac:dyDescent="0.2">
      <c r="B35" s="370" t="s">
        <v>230</v>
      </c>
      <c r="C35" s="370"/>
      <c r="D35" s="359"/>
      <c r="E35" s="207" t="s">
        <v>3300</v>
      </c>
      <c r="F35" s="788">
        <f>IF(OR(E44="Chaudière fioul standard de plus de 15 ans",E44="Chaudière fioul THPE"),VLOOKUP(E44,'A.1. Conso_bâtiment_EF H2'!E102:AC123,22,0)*'A.1. Conso_bâtiment_EF H2'!M12,VLOOKUP(E44,'A.1. Conso_bâtiment_EF H2'!E102:AC123,20,0)*'A.1. Conso_bâtiment_EF H2'!M13)</f>
        <v>0</v>
      </c>
      <c r="G35" s="787"/>
      <c r="H35" s="513"/>
      <c r="I35" s="806" t="str">
        <f>IF(J37="","soit (cas moyen)","")</f>
        <v>soit (cas moyen)</v>
      </c>
      <c r="J35" s="812" cm="1">
        <f t="array" ref="J35">IF(J37="",INDEX('A.2. Performances_Bâtiment H2'!D83:M94,'3.1 Affaires CO2 - Clients 360'!J71,'3.1 Affaires CO2 - Clients 360'!J72),"")</f>
        <v>0.12034009156311321</v>
      </c>
      <c r="K35" s="846" t="str">
        <f>IF(J37="",IF(J35&gt;0,"de consommation énergétique supplémentaire","d'économies d'énergie"),"")</f>
        <v>de consommation énergétique supplémentaire</v>
      </c>
      <c r="N35" s="544"/>
      <c r="O35" s="544"/>
      <c r="P35" s="544"/>
      <c r="Q35" s="544"/>
    </row>
    <row r="36" spans="2:24" ht="18.600000000000001" customHeight="1" thickBot="1" x14ac:dyDescent="0.25">
      <c r="B36" t="s">
        <v>182</v>
      </c>
      <c r="D36" s="359"/>
      <c r="F36" s="818"/>
      <c r="G36" s="787"/>
      <c r="H36" s="513"/>
      <c r="I36" s="359"/>
      <c r="K36" s="787"/>
      <c r="N36" s="544"/>
      <c r="O36" s="544"/>
      <c r="P36" s="544"/>
      <c r="Q36" s="544"/>
    </row>
    <row r="37" spans="2:24" ht="15.75" thickBot="1" x14ac:dyDescent="0.3">
      <c r="B37" t="s">
        <v>185</v>
      </c>
      <c r="D37" s="359"/>
      <c r="E37" t="s">
        <v>3301</v>
      </c>
      <c r="F37" s="840">
        <f>IF(F32="",F35,F32)</f>
        <v>0</v>
      </c>
      <c r="G37" s="360" t="s">
        <v>3302</v>
      </c>
      <c r="H37" s="538"/>
      <c r="I37" s="802" t="s">
        <v>257</v>
      </c>
      <c r="J37" s="556"/>
      <c r="K37" s="787" t="s">
        <v>3303</v>
      </c>
    </row>
    <row r="38" spans="2:24" ht="15" thickBot="1" x14ac:dyDescent="0.25">
      <c r="B38" t="s">
        <v>186</v>
      </c>
      <c r="D38" s="361"/>
      <c r="E38" s="363"/>
      <c r="F38" s="363"/>
      <c r="G38" s="364"/>
      <c r="I38" s="359"/>
      <c r="J38" s="537" t="s">
        <v>258</v>
      </c>
      <c r="K38" s="787"/>
      <c r="Q38" s="558"/>
      <c r="R38" s="559"/>
    </row>
    <row r="39" spans="2:24" ht="15" thickBot="1" x14ac:dyDescent="0.25">
      <c r="B39" t="s">
        <v>189</v>
      </c>
      <c r="C39" s="207"/>
      <c r="I39" s="361"/>
      <c r="J39" s="363"/>
      <c r="K39" s="821"/>
      <c r="Q39" s="198"/>
      <c r="R39" s="559"/>
    </row>
    <row r="40" spans="2:24" ht="31.5" thickBot="1" x14ac:dyDescent="0.4">
      <c r="B40" s="207" t="s">
        <v>196</v>
      </c>
      <c r="D40" s="811">
        <v>2</v>
      </c>
      <c r="E40" s="789" t="s">
        <v>3304</v>
      </c>
      <c r="F40" s="790"/>
      <c r="G40" s="358"/>
      <c r="K40" s="541"/>
      <c r="V40" s="273"/>
    </row>
    <row r="41" spans="2:24" ht="23.25" x14ac:dyDescent="0.35">
      <c r="B41" t="s">
        <v>197</v>
      </c>
      <c r="D41" s="359"/>
      <c r="G41" s="360"/>
      <c r="I41" s="811">
        <v>5</v>
      </c>
      <c r="J41" s="797" t="s">
        <v>3305</v>
      </c>
      <c r="K41" s="362"/>
      <c r="L41" s="362"/>
      <c r="M41" s="798"/>
      <c r="N41" s="362"/>
      <c r="O41" s="358"/>
      <c r="V41" s="815"/>
      <c r="W41" s="816"/>
      <c r="X41" s="131"/>
    </row>
    <row r="42" spans="2:24" ht="23.25" x14ac:dyDescent="0.35">
      <c r="D42" s="359"/>
      <c r="G42" s="360"/>
      <c r="I42" s="836"/>
      <c r="J42" s="831"/>
      <c r="M42" s="198"/>
      <c r="O42" s="360"/>
      <c r="V42" s="815"/>
      <c r="W42" s="816"/>
      <c r="X42" s="131"/>
    </row>
    <row r="43" spans="2:24" ht="18.75" thickBot="1" x14ac:dyDescent="0.3">
      <c r="B43" s="370" t="s">
        <v>246</v>
      </c>
      <c r="C43" s="370"/>
      <c r="D43" s="359"/>
      <c r="E43" s="18" t="s">
        <v>3306</v>
      </c>
      <c r="G43" s="791" t="s">
        <v>3307</v>
      </c>
      <c r="I43" s="359"/>
      <c r="M43" s="501"/>
      <c r="O43" s="360"/>
      <c r="V43" s="815"/>
      <c r="W43" s="816"/>
      <c r="X43" s="131"/>
    </row>
    <row r="44" spans="2:24" ht="15.6" customHeight="1" thickBot="1" x14ac:dyDescent="0.3">
      <c r="B44" t="s">
        <v>185</v>
      </c>
      <c r="D44" s="359"/>
      <c r="E44" s="581" t="s">
        <v>196</v>
      </c>
      <c r="G44" s="581" t="s">
        <v>185</v>
      </c>
      <c r="I44" s="808"/>
      <c r="J44" s="18" t="s">
        <v>3308</v>
      </c>
      <c r="K44" s="434"/>
      <c r="L44" s="434"/>
      <c r="M44" s="661" t="s">
        <v>3309</v>
      </c>
      <c r="N44" s="25"/>
      <c r="O44" s="360"/>
      <c r="V44" s="815"/>
      <c r="W44" s="816"/>
      <c r="X44" s="131"/>
    </row>
    <row r="45" spans="2:24" ht="17.45" customHeight="1" thickBot="1" x14ac:dyDescent="0.3">
      <c r="B45" t="s">
        <v>186</v>
      </c>
      <c r="D45" s="359"/>
      <c r="G45" s="360"/>
      <c r="I45" s="799"/>
      <c r="J45" s="839">
        <f>F37-J34</f>
        <v>0</v>
      </c>
      <c r="K45" s="138" t="str">
        <f>IF(J56="","kWh PCI/an","kWh EP/an")</f>
        <v>kWh PCI/an</v>
      </c>
      <c r="L45" s="138"/>
      <c r="M45" s="606" t="s">
        <v>3310</v>
      </c>
      <c r="N45" s="25"/>
      <c r="O45" s="360"/>
      <c r="V45" s="1"/>
    </row>
    <row r="46" spans="2:24" ht="15.75" thickBot="1" x14ac:dyDescent="0.3">
      <c r="B46" t="s">
        <v>191</v>
      </c>
      <c r="D46" s="359"/>
      <c r="G46" s="360"/>
      <c r="I46" s="359"/>
      <c r="L46" s="834" t="s">
        <v>3311</v>
      </c>
      <c r="M46" s="830">
        <f>IF(AND(OR(E44="Chaudière fioul THPE",E44="Chaudière fioul standard de plus de 15 ans"),J56=""),((F37*'D.1. Facteur d''émissions'!C7)-(('3.1 Affaires CO2 - Clients 360'!J45*E53*'D.1. Facteur d''émissions'!C11)+('3.1 Affaires CO2 - Clients 360'!J45*(1-E53)*'D.1. Facteur d''émissions'!C8)))/1000,0)</f>
        <v>0</v>
      </c>
      <c r="N46" s="807" t="s">
        <v>3312</v>
      </c>
      <c r="O46" s="360"/>
      <c r="V46" s="782"/>
      <c r="X46" s="1"/>
    </row>
    <row r="47" spans="2:24" ht="15.75" thickBot="1" x14ac:dyDescent="0.3">
      <c r="B47" t="s">
        <v>189</v>
      </c>
      <c r="D47" s="361"/>
      <c r="E47" s="363"/>
      <c r="F47" s="363"/>
      <c r="G47" s="792"/>
      <c r="H47" s="1"/>
      <c r="I47" s="809" t="s">
        <v>3313</v>
      </c>
      <c r="L47" s="733"/>
      <c r="M47" s="25"/>
      <c r="N47" s="25"/>
      <c r="O47" s="360"/>
      <c r="V47" s="1"/>
      <c r="X47" s="779"/>
    </row>
    <row r="48" spans="2:24" ht="15.75" thickBot="1" x14ac:dyDescent="0.3">
      <c r="B48" t="s">
        <v>187</v>
      </c>
      <c r="G48" s="777"/>
      <c r="H48" s="777"/>
      <c r="I48" s="800" t="s">
        <v>3314</v>
      </c>
      <c r="J48" s="842" t="str">
        <f>IF(J52="",J56,J52)</f>
        <v/>
      </c>
      <c r="K48" s="546"/>
      <c r="L48" s="834" t="s">
        <v>3315</v>
      </c>
      <c r="M48" s="606" t="s">
        <v>3316</v>
      </c>
      <c r="N48" s="25"/>
      <c r="O48" s="360"/>
      <c r="V48" s="710"/>
    </row>
    <row r="49" spans="4:23" ht="15.75" thickBot="1" x14ac:dyDescent="0.3">
      <c r="F49" s="81"/>
      <c r="G49" s="663"/>
      <c r="H49" s="663"/>
      <c r="I49" s="800" t="s">
        <v>3317</v>
      </c>
      <c r="J49" s="843" t="str">
        <f>IF(J53="",J57,J53)</f>
        <v/>
      </c>
      <c r="K49" s="546"/>
      <c r="L49" s="374"/>
      <c r="M49" s="830">
        <f>IF(AND(OR(E44="Chaudière fioul THPE",E44="Chaudière fioul standard de plus de 15 ans"),J56&lt;&gt;""),((F37*'D.1. Facteur d''émissions'!C7)-((M54*J48*E53*'D.1. Facteur d''émissions'!C11)+(M54*J48*(1-E53)*'D.1. Facteur d''émissions'!C8)+(M54*J49*'D.1. Facteur d''émissions'!C15)))/1000,0)</f>
        <v>0</v>
      </c>
      <c r="N49" s="25" t="s">
        <v>3312</v>
      </c>
      <c r="O49" s="360"/>
      <c r="V49" s="1"/>
    </row>
    <row r="50" spans="4:23" ht="18.600000000000001" customHeight="1" x14ac:dyDescent="0.35">
      <c r="D50" s="811">
        <v>3</v>
      </c>
      <c r="E50" s="789" t="s">
        <v>3318</v>
      </c>
      <c r="F50" s="362"/>
      <c r="G50" s="358"/>
      <c r="I50" s="837" t="str">
        <f>IF(J56="","","Check 100%")</f>
        <v/>
      </c>
      <c r="J50" s="838" t="str">
        <f>IF(J56="","",(J48+J49)=100%)</f>
        <v/>
      </c>
      <c r="K50" s="546"/>
      <c r="M50" s="783"/>
      <c r="N50" s="783"/>
      <c r="O50" s="360"/>
    </row>
    <row r="51" spans="4:23" ht="14.45" customHeight="1" thickBot="1" x14ac:dyDescent="0.3">
      <c r="D51" s="359"/>
      <c r="G51" s="793"/>
      <c r="H51" s="1"/>
      <c r="I51" s="810" t="s">
        <v>3319</v>
      </c>
      <c r="J51" s="513"/>
      <c r="L51" s="733"/>
      <c r="M51" s="606" t="s">
        <v>3320</v>
      </c>
      <c r="N51" s="25"/>
      <c r="O51" s="360"/>
    </row>
    <row r="52" spans="4:23" ht="15.75" thickBot="1" x14ac:dyDescent="0.25">
      <c r="D52" s="359"/>
      <c r="E52" t="s">
        <v>3321</v>
      </c>
      <c r="G52" s="794"/>
      <c r="H52" s="777"/>
      <c r="I52" s="800" t="s">
        <v>3314</v>
      </c>
      <c r="J52" s="780"/>
      <c r="L52" s="834" t="s">
        <v>3322</v>
      </c>
      <c r="M52" s="830">
        <f>IF(OR(OR(E44="Chaudière fioul standard de plus de 15 ans",E44="Chaudière fioul THPE"),J56=""),0,((F37*'D.1. Facteur d''émissions'!C8)-((M54*J48*E53*'D.1. Facteur d''émissions'!C11)+(M54*J48*(1-E53)*'D.1. Facteur d''émissions'!C8)+(M54*J49*'D.1. Facteur d''émissions'!C15)))/1000)</f>
        <v>0</v>
      </c>
      <c r="N52" s="25" t="s">
        <v>3312</v>
      </c>
      <c r="O52" s="360"/>
    </row>
    <row r="53" spans="4:23" ht="15" thickBot="1" x14ac:dyDescent="0.25">
      <c r="D53" s="359"/>
      <c r="E53" s="781"/>
      <c r="F53" s="81"/>
      <c r="G53" s="795"/>
      <c r="H53" s="663"/>
      <c r="I53" s="800" t="s">
        <v>3317</v>
      </c>
      <c r="J53" s="780"/>
      <c r="L53" s="835"/>
      <c r="M53" s="783"/>
      <c r="N53" s="783"/>
      <c r="O53" s="360"/>
    </row>
    <row r="54" spans="4:23" ht="15" customHeight="1" thickBot="1" x14ac:dyDescent="0.3">
      <c r="D54" s="361"/>
      <c r="E54" s="363"/>
      <c r="F54" s="363"/>
      <c r="G54" s="796"/>
      <c r="H54" s="663"/>
      <c r="I54" s="359"/>
      <c r="J54" s="803"/>
      <c r="L54" s="833"/>
      <c r="M54" s="827" t="str">
        <f>IF(J56="","",J45/(J48+J49*'D.1. Facteur d''émissions'!C47))</f>
        <v/>
      </c>
      <c r="N54" s="606" t="s">
        <v>3323</v>
      </c>
      <c r="O54" s="360"/>
    </row>
    <row r="55" spans="4:23" ht="15" x14ac:dyDescent="0.25">
      <c r="G55" s="1"/>
      <c r="H55" s="1"/>
      <c r="I55" s="809" t="s">
        <v>741</v>
      </c>
      <c r="L55" s="733"/>
      <c r="M55" s="1238" t="s">
        <v>3324</v>
      </c>
      <c r="N55" s="1238"/>
      <c r="O55" s="360"/>
    </row>
    <row r="56" spans="4:23" x14ac:dyDescent="0.2">
      <c r="G56" s="778"/>
      <c r="H56" s="778"/>
      <c r="I56" s="800" t="s">
        <v>3314</v>
      </c>
      <c r="J56" s="841" t="str">
        <f>IF(VLOOKUP(G44,'A.1. Conso_bâtiment_EF H2'!E102:AC123,4,0)="Oui",VLOOKUP(G44,'A.1. Conso_bâtiment_EF H2'!E102:AC123,20,0)/VLOOKUP(G44,'A.1. Conso_bâtiment_EF H2'!E102:AC123,19,0),"")</f>
        <v/>
      </c>
      <c r="M56" s="783"/>
      <c r="N56" s="783"/>
      <c r="O56" s="360"/>
    </row>
    <row r="57" spans="4:23" ht="15.75" thickBot="1" x14ac:dyDescent="0.3">
      <c r="F57" s="81"/>
      <c r="G57" s="663"/>
      <c r="H57" s="663"/>
      <c r="I57" s="800" t="str">
        <f>IF(J57="","","Part d'électricité (EF)*")</f>
        <v/>
      </c>
      <c r="J57" s="841" t="str">
        <f>IF(VLOOKUP(G44,'A.1. Conso_bâtiment_EF H2'!E102:AC123,4,0)="Oui",VLOOKUP(G44,'A.1. Conso_bâtiment_EF H2'!E102:AC123,21,0)/VLOOKUP(G44,'A.1. Conso_bâtiment_EF H2'!E102:AC123,19,0),"")</f>
        <v/>
      </c>
      <c r="L57" s="834" t="s">
        <v>3325</v>
      </c>
      <c r="M57" s="606" t="s">
        <v>3326</v>
      </c>
      <c r="N57" s="201"/>
      <c r="O57" s="360"/>
      <c r="T57" s="455"/>
      <c r="U57" s="455"/>
      <c r="V57" s="455"/>
      <c r="W57" s="455"/>
    </row>
    <row r="58" spans="4:23" ht="15.75" thickBot="1" x14ac:dyDescent="0.25">
      <c r="G58" s="663"/>
      <c r="H58" s="663"/>
      <c r="I58" s="800"/>
      <c r="J58" s="455" t="str">
        <f>IF(J56="","","*si solution hybride")</f>
        <v/>
      </c>
      <c r="K58" s="455"/>
      <c r="M58" s="830">
        <f>IF(OR(OR(E44="Chaudière fioul THPE",E44="Chaudière fioul standard de plus de 15 ans"),J56&lt;&gt;""),0,((F37*'D.1. Facteur d''émissions'!C8)-(('3.1 Affaires CO2 - Clients 360'!J45*E53*'D.1. Facteur d''émissions'!C11)+('3.1 Affaires CO2 - Clients 360'!J45*(1-E53)*'D.1. Facteur d''émissions'!C8)))/1000)</f>
        <v>0</v>
      </c>
      <c r="N58" s="25" t="s">
        <v>3312</v>
      </c>
      <c r="O58" s="804"/>
    </row>
    <row r="59" spans="4:23" ht="15.75" thickBot="1" x14ac:dyDescent="0.3">
      <c r="G59" s="1"/>
      <c r="H59" s="1"/>
      <c r="I59" s="361"/>
      <c r="J59" s="363"/>
      <c r="K59" s="363"/>
      <c r="L59" s="363"/>
      <c r="M59" s="805"/>
      <c r="N59" s="363"/>
      <c r="O59" s="364"/>
      <c r="Q59" s="198"/>
    </row>
    <row r="60" spans="4:23" ht="15" x14ac:dyDescent="0.25">
      <c r="G60" s="1"/>
      <c r="H60" s="1"/>
      <c r="Q60" s="198"/>
    </row>
    <row r="61" spans="4:23" ht="15" x14ac:dyDescent="0.25">
      <c r="G61" s="1"/>
      <c r="H61" s="1"/>
      <c r="Q61" s="198"/>
    </row>
    <row r="62" spans="4:23" ht="15" x14ac:dyDescent="0.25">
      <c r="G62" s="1"/>
      <c r="H62" s="1"/>
      <c r="Q62" s="198"/>
    </row>
    <row r="63" spans="4:23" ht="15" x14ac:dyDescent="0.25">
      <c r="G63" s="1"/>
      <c r="H63" s="1"/>
      <c r="Q63" s="198"/>
    </row>
    <row r="64" spans="4:23" ht="15" x14ac:dyDescent="0.25">
      <c r="G64" s="1"/>
      <c r="H64" s="1"/>
      <c r="Q64" s="198"/>
    </row>
    <row r="65" spans="2:21" x14ac:dyDescent="0.2">
      <c r="G65" s="778"/>
      <c r="H65" s="778"/>
      <c r="Q65" s="198"/>
    </row>
    <row r="66" spans="2:21" x14ac:dyDescent="0.2">
      <c r="F66" s="81"/>
      <c r="G66" s="663"/>
      <c r="H66" s="663"/>
      <c r="Q66" s="198"/>
    </row>
    <row r="67" spans="2:21" x14ac:dyDescent="0.2">
      <c r="F67" s="81"/>
      <c r="G67" s="663"/>
      <c r="H67" s="663"/>
      <c r="Q67" s="198"/>
    </row>
    <row r="68" spans="2:21" x14ac:dyDescent="0.2">
      <c r="F68" s="81"/>
      <c r="G68" s="663"/>
      <c r="H68" s="663"/>
      <c r="Q68" s="198"/>
    </row>
    <row r="69" spans="2:21" x14ac:dyDescent="0.2">
      <c r="F69" s="81"/>
      <c r="G69" s="663"/>
      <c r="H69" s="663"/>
      <c r="Q69" s="198"/>
    </row>
    <row r="71" spans="2:21" s="207" customFormat="1" hidden="1" outlineLevel="1" x14ac:dyDescent="0.2">
      <c r="E71" s="540" t="s">
        <v>260</v>
      </c>
      <c r="F71" s="540"/>
      <c r="G71" s="540"/>
      <c r="H71" s="540"/>
      <c r="I71" s="540"/>
      <c r="J71" s="540">
        <f>MATCH(E44,'A.2. Performances_Bâtiment H2'!D83:D94,0)</f>
        <v>11</v>
      </c>
      <c r="K71" s="540"/>
      <c r="L71" s="540"/>
      <c r="M71" s="540"/>
      <c r="N71" s="540"/>
      <c r="O71" s="540"/>
      <c r="P71" s="540"/>
      <c r="Q71" s="540">
        <f>MATCH(E44,'A.2. Performances_Bâtiment H2'!S83:S94,0)</f>
        <v>11</v>
      </c>
    </row>
    <row r="72" spans="2:21" s="207" customFormat="1" hidden="1" outlineLevel="1" x14ac:dyDescent="0.2">
      <c r="E72" s="540"/>
      <c r="F72" s="540"/>
      <c r="G72" s="540"/>
      <c r="H72" s="540"/>
      <c r="I72" s="540"/>
      <c r="J72" s="540">
        <f>MATCH(G44,'A.2. Performances_Bâtiment H2'!D83:M83,0)</f>
        <v>3</v>
      </c>
      <c r="K72" s="540"/>
      <c r="L72" s="540"/>
      <c r="M72" s="540"/>
      <c r="N72" s="540"/>
      <c r="O72" s="540"/>
      <c r="P72" s="540"/>
      <c r="Q72" s="540">
        <f>MATCH(G44,'A.2. Performances_Bâtiment H2'!S83:AB83,0)</f>
        <v>3</v>
      </c>
    </row>
    <row r="73" spans="2:21" ht="23.25" collapsed="1" x14ac:dyDescent="0.35">
      <c r="B73" s="370" t="s">
        <v>261</v>
      </c>
      <c r="C73" s="370"/>
      <c r="E73" s="828" t="s">
        <v>162</v>
      </c>
    </row>
    <row r="74" spans="2:21" ht="18.75" thickBot="1" x14ac:dyDescent="0.3">
      <c r="B74" t="s">
        <v>182</v>
      </c>
      <c r="E74" s="43"/>
    </row>
    <row r="75" spans="2:21" ht="23.25" x14ac:dyDescent="0.35">
      <c r="B75" t="s">
        <v>185</v>
      </c>
      <c r="D75" s="811">
        <v>1</v>
      </c>
      <c r="E75" s="789" t="s">
        <v>3327</v>
      </c>
      <c r="F75" s="362"/>
      <c r="G75" s="358"/>
      <c r="I75" s="811">
        <v>4</v>
      </c>
      <c r="J75" s="797" t="s">
        <v>3296</v>
      </c>
      <c r="K75" s="358"/>
      <c r="T75" s="704"/>
      <c r="U75" s="705"/>
    </row>
    <row r="76" spans="2:21" x14ac:dyDescent="0.2">
      <c r="B76" t="s">
        <v>186</v>
      </c>
      <c r="D76" s="359"/>
      <c r="E76" s="207" t="s">
        <v>3297</v>
      </c>
      <c r="F76" s="545"/>
      <c r="G76" s="785" t="s">
        <v>3328</v>
      </c>
      <c r="H76" s="575"/>
      <c r="I76" s="359"/>
      <c r="K76" s="360"/>
    </row>
    <row r="77" spans="2:21" ht="28.5" x14ac:dyDescent="0.2">
      <c r="B77" s="207" t="s">
        <v>196</v>
      </c>
      <c r="D77" s="359"/>
      <c r="G77" s="360"/>
      <c r="I77" s="359"/>
      <c r="J77" s="707"/>
      <c r="K77" s="360"/>
    </row>
    <row r="78" spans="2:21" ht="30" thickBot="1" x14ac:dyDescent="0.3">
      <c r="B78" t="s">
        <v>197</v>
      </c>
      <c r="D78" s="359"/>
      <c r="E78" s="207" t="s">
        <v>3300</v>
      </c>
      <c r="F78" s="788">
        <f>IF(OR(E88="Chaudière fioul standard de plus de 15 ans",E88="Chaudière fioul THPE"),VLOOKUP(E88,'A.1. Conso_bâtiment_EF H2'!E102:AC123,8,0)*'A.1. Conso_bâtiment_EF H2'!J12,VLOOKUP(E88,'A.1. Conso_bâtiment_EF H2'!E102:AC123,6,0)*'A.1. Conso_bâtiment_EF H2'!J13)</f>
        <v>12949.26</v>
      </c>
      <c r="G78" s="1237"/>
      <c r="H78" s="538"/>
      <c r="I78" s="359"/>
      <c r="J78" s="1" t="s">
        <v>3299</v>
      </c>
      <c r="K78" s="727"/>
    </row>
    <row r="79" spans="2:21" ht="15.75" thickBot="1" x14ac:dyDescent="0.25">
      <c r="D79" s="359"/>
      <c r="G79" s="1237"/>
      <c r="H79" s="538"/>
      <c r="I79" s="359"/>
      <c r="J79" s="839">
        <f>IF(J82="",F80*-J80,F80*-J82)</f>
        <v>3531.520500000001</v>
      </c>
      <c r="K79" s="728" t="str">
        <f>IF(J102="","kWh PCI/an","kWh EP/an")</f>
        <v>kWh EP/an</v>
      </c>
    </row>
    <row r="80" spans="2:21" ht="15" thickBot="1" x14ac:dyDescent="0.25">
      <c r="B80" s="370" t="s">
        <v>264</v>
      </c>
      <c r="C80" s="370"/>
      <c r="D80" s="359"/>
      <c r="E80" t="s">
        <v>3301</v>
      </c>
      <c r="F80" s="840">
        <f>IF(F76="",F78,F76)</f>
        <v>12949.26</v>
      </c>
      <c r="G80" s="360" t="s">
        <v>3302</v>
      </c>
      <c r="I80" s="800" t="str">
        <f>IF(J82="","soit (cas moyen)","")</f>
        <v>soit (cas moyen)</v>
      </c>
      <c r="J80" s="801" cm="1">
        <f t="array" ref="J80">IF(J82="",INDEX('A.2. Performances_Bâtiment H2'!D18:M29,'3.1 Affaires CO2 - Clients 360'!J109,'3.1 Affaires CO2 - Clients 360'!J110),"")</f>
        <v>-0.27271986970684048</v>
      </c>
      <c r="K80" s="787" t="str">
        <f>IF(J82="",IF(J80&gt;0,"de consommation énergétique supplémentaire","d'économies d'énergie"),"")</f>
        <v>d'économies d'énergie</v>
      </c>
    </row>
    <row r="81" spans="2:18" ht="15" thickBot="1" x14ac:dyDescent="0.25">
      <c r="B81" t="s">
        <v>191</v>
      </c>
      <c r="C81" s="370"/>
      <c r="D81" s="361"/>
      <c r="E81" s="363"/>
      <c r="F81" s="819"/>
      <c r="G81" s="364"/>
      <c r="I81" s="800"/>
      <c r="J81" s="712"/>
      <c r="K81" s="787"/>
    </row>
    <row r="82" spans="2:18" ht="15" x14ac:dyDescent="0.25">
      <c r="B82" t="s">
        <v>187</v>
      </c>
      <c r="C82" s="370"/>
      <c r="F82" s="818"/>
      <c r="I82" s="802" t="s">
        <v>257</v>
      </c>
      <c r="J82" s="556"/>
      <c r="K82" s="787"/>
    </row>
    <row r="83" spans="2:18" ht="15.75" thickBot="1" x14ac:dyDescent="0.3">
      <c r="B83" t="s">
        <v>186</v>
      </c>
      <c r="C83" s="370"/>
      <c r="F83" s="818"/>
      <c r="I83" s="802"/>
      <c r="J83" s="537" t="s">
        <v>258</v>
      </c>
      <c r="K83" s="787"/>
    </row>
    <row r="84" spans="2:18" ht="24" thickBot="1" x14ac:dyDescent="0.4">
      <c r="B84" s="370"/>
      <c r="C84" s="370"/>
      <c r="D84" s="811">
        <v>2</v>
      </c>
      <c r="E84" s="789" t="s">
        <v>3304</v>
      </c>
      <c r="F84" s="820"/>
      <c r="G84" s="358"/>
      <c r="I84" s="361"/>
      <c r="J84" s="363"/>
      <c r="K84" s="822"/>
    </row>
    <row r="85" spans="2:18" x14ac:dyDescent="0.2">
      <c r="B85" s="370"/>
      <c r="C85" s="370"/>
      <c r="D85" s="359"/>
      <c r="F85" s="818"/>
      <c r="G85" s="360"/>
    </row>
    <row r="86" spans="2:18" ht="15" thickBot="1" x14ac:dyDescent="0.25">
      <c r="D86" s="359"/>
      <c r="G86" s="360"/>
      <c r="N86" s="707"/>
    </row>
    <row r="87" spans="2:18" ht="24" thickBot="1" x14ac:dyDescent="0.4">
      <c r="D87" s="359"/>
      <c r="E87" s="1" t="s">
        <v>247</v>
      </c>
      <c r="G87" s="793" t="s">
        <v>248</v>
      </c>
      <c r="H87" s="1"/>
      <c r="I87" s="811">
        <v>5</v>
      </c>
      <c r="J87" s="797" t="s">
        <v>3305</v>
      </c>
      <c r="K87" s="362"/>
      <c r="L87" s="823"/>
      <c r="M87" s="823"/>
      <c r="N87" s="362"/>
      <c r="O87" s="358"/>
      <c r="Q87" s="43"/>
    </row>
    <row r="88" spans="2:18" ht="16.5" thickBot="1" x14ac:dyDescent="0.3">
      <c r="D88" s="359"/>
      <c r="E88" s="581" t="s">
        <v>185</v>
      </c>
      <c r="G88" s="581" t="s">
        <v>187</v>
      </c>
      <c r="H88" s="1"/>
      <c r="I88" s="359"/>
      <c r="K88" s="434"/>
      <c r="L88" s="18"/>
      <c r="O88" s="360"/>
    </row>
    <row r="89" spans="2:18" ht="16.5" thickBot="1" x14ac:dyDescent="0.3">
      <c r="D89" s="359"/>
      <c r="G89" s="360"/>
      <c r="H89" s="1"/>
      <c r="I89" s="359"/>
      <c r="J89" s="18" t="s">
        <v>3308</v>
      </c>
      <c r="L89" s="434"/>
      <c r="M89" s="661" t="s">
        <v>3309</v>
      </c>
      <c r="N89" s="25"/>
      <c r="O89" s="360"/>
    </row>
    <row r="90" spans="2:18" ht="15.75" thickBot="1" x14ac:dyDescent="0.3">
      <c r="D90" s="359"/>
      <c r="G90" s="360"/>
      <c r="I90" s="359"/>
      <c r="J90" s="839">
        <f>F80-J79</f>
        <v>9417.7394999999997</v>
      </c>
      <c r="K90" s="138" t="str">
        <f>IF(J102="","kWh PCI/an","kWh EP/an")</f>
        <v>kWh EP/an</v>
      </c>
      <c r="L90" s="138"/>
      <c r="M90" s="606" t="s">
        <v>3310</v>
      </c>
      <c r="N90" s="25"/>
      <c r="O90" s="360"/>
    </row>
    <row r="91" spans="2:18" ht="15.75" thickBot="1" x14ac:dyDescent="0.25">
      <c r="D91" s="361"/>
      <c r="E91" s="363"/>
      <c r="F91" s="363"/>
      <c r="G91" s="364"/>
      <c r="I91" s="729"/>
      <c r="L91" s="834" t="s">
        <v>3311</v>
      </c>
      <c r="M91" s="830">
        <f>IF(AND(OR(E88="Chaudière fioul THPE",E88="Chaudière fioul standard de plus de 15 ans"),J102=""),((F80*'D.1. Facteur d''émissions'!C7)-(('3.1 Affaires CO2 - Clients 360'!J90*E97*'D.1. Facteur d''émissions'!C11)+('3.1 Affaires CO2 - Clients 360'!J90*(1-E97)*'D.1. Facteur d''émissions'!C8)))/1000,0)</f>
        <v>0</v>
      </c>
      <c r="N91" s="807" t="s">
        <v>3312</v>
      </c>
      <c r="O91" s="360"/>
      <c r="Q91" s="698"/>
      <c r="R91" s="513"/>
    </row>
    <row r="92" spans="2:18" ht="15" thickBot="1" x14ac:dyDescent="0.25">
      <c r="I92" s="809" t="s">
        <v>3313</v>
      </c>
      <c r="L92" s="733"/>
      <c r="M92" s="25"/>
      <c r="N92" s="25"/>
      <c r="O92" s="360"/>
      <c r="Q92" s="698"/>
      <c r="R92" s="513"/>
    </row>
    <row r="93" spans="2:18" ht="15.75" thickBot="1" x14ac:dyDescent="0.3">
      <c r="G93" s="1"/>
      <c r="H93" s="1"/>
      <c r="I93" s="800" t="s">
        <v>3314</v>
      </c>
      <c r="J93" s="842">
        <f>IF(J98="",J102,J98)</f>
        <v>0.51098901098901106</v>
      </c>
      <c r="L93" s="834" t="s">
        <v>3315</v>
      </c>
      <c r="M93" s="606" t="s">
        <v>3316</v>
      </c>
      <c r="N93" s="25"/>
      <c r="O93" s="360"/>
    </row>
    <row r="94" spans="2:18" ht="24" thickBot="1" x14ac:dyDescent="0.4">
      <c r="D94" s="811">
        <v>3</v>
      </c>
      <c r="E94" s="789" t="s">
        <v>3318</v>
      </c>
      <c r="F94" s="362"/>
      <c r="G94" s="358"/>
      <c r="H94" s="777"/>
      <c r="I94" s="800" t="s">
        <v>3317</v>
      </c>
      <c r="J94" s="843">
        <f>IF(J99="",J103,J99)</f>
        <v>0.48901098901098905</v>
      </c>
      <c r="L94" s="374"/>
      <c r="M94" s="830">
        <f>IF(AND(OR(E88="Chaudière fioul THPE",E88="Chaudière fioul standard de plus de 15 ans"),J102&lt;&gt;""),((F80*'D.1. Facteur d''émissions'!C7)-((M99*J93*E97*'D.1. Facteur d''émissions'!C11)+(M99*J93*(1-E97)*'D.1. Facteur d''émissions'!C8)+(M99*J94*'D.1. Facteur d''émissions'!C15)))/1000,0)</f>
        <v>0</v>
      </c>
      <c r="N94" s="25" t="s">
        <v>3312</v>
      </c>
      <c r="O94" s="360"/>
      <c r="Q94" s="703"/>
    </row>
    <row r="95" spans="2:18" ht="15" x14ac:dyDescent="0.25">
      <c r="D95" s="359"/>
      <c r="G95" s="793"/>
      <c r="H95" s="663"/>
      <c r="I95" s="837" t="str">
        <f>IF(J102="","","Check 100%")</f>
        <v>Check 100%</v>
      </c>
      <c r="J95" s="838" t="b">
        <f>(J93+J94)=100%</f>
        <v>1</v>
      </c>
      <c r="M95" s="783"/>
      <c r="N95" s="783"/>
      <c r="O95" s="360"/>
    </row>
    <row r="96" spans="2:18" ht="15" customHeight="1" thickBot="1" x14ac:dyDescent="0.3">
      <c r="D96" s="359"/>
      <c r="E96" t="s">
        <v>3321</v>
      </c>
      <c r="G96" s="794"/>
      <c r="H96" s="663"/>
      <c r="I96" s="359"/>
      <c r="L96" s="733"/>
      <c r="M96" s="606" t="s">
        <v>3320</v>
      </c>
      <c r="N96" s="25"/>
      <c r="O96" s="360"/>
    </row>
    <row r="97" spans="1:17" ht="15.75" thickBot="1" x14ac:dyDescent="0.3">
      <c r="D97" s="359"/>
      <c r="E97" s="781">
        <v>1</v>
      </c>
      <c r="F97" s="81"/>
      <c r="G97" s="795"/>
      <c r="H97" s="1"/>
      <c r="I97" s="810" t="s">
        <v>3319</v>
      </c>
      <c r="J97" s="513"/>
      <c r="L97" s="834" t="s">
        <v>3322</v>
      </c>
      <c r="M97" s="830">
        <f>IF(OR(OR(E88="Chaudière fioul standard de plus de 15 ans",E88="Chaudière fioul THPE"),J102=""),0,((F80*'D.1. Facteur d''émissions'!C8)-((M99*J93*E97*'D.1. Facteur d''émissions'!C11)+(M99*J93*(1-E97)*'D.1. Facteur d''émissions'!C8)+(M99*J94*'D.1. Facteur d''émissions'!C15)))/1000)</f>
        <v>2.8088895765000004</v>
      </c>
      <c r="N97" s="25" t="s">
        <v>3312</v>
      </c>
      <c r="O97" s="360"/>
    </row>
    <row r="98" spans="1:17" ht="15" thickBot="1" x14ac:dyDescent="0.25">
      <c r="D98" s="361"/>
      <c r="E98" s="363"/>
      <c r="F98" s="363"/>
      <c r="G98" s="796"/>
      <c r="H98" s="777"/>
      <c r="I98" s="800" t="s">
        <v>3314</v>
      </c>
      <c r="J98" s="780"/>
      <c r="L98" s="835"/>
      <c r="M98" s="783"/>
      <c r="N98" s="783"/>
      <c r="O98" s="360"/>
    </row>
    <row r="99" spans="1:17" ht="15" x14ac:dyDescent="0.25">
      <c r="F99" s="81"/>
      <c r="G99" s="663"/>
      <c r="H99" s="663"/>
      <c r="I99" s="800" t="s">
        <v>3317</v>
      </c>
      <c r="J99" s="780"/>
      <c r="L99" s="833"/>
      <c r="M99" s="827">
        <f>IF(J102="","",J90/(J93+J94*'D.1. Facteur d''émissions'!C47))</f>
        <v>5757.57</v>
      </c>
      <c r="N99" s="606" t="s">
        <v>3323</v>
      </c>
      <c r="O99" s="360"/>
    </row>
    <row r="100" spans="1:17" x14ac:dyDescent="0.2">
      <c r="A100" s="809"/>
      <c r="G100" s="81"/>
      <c r="H100" s="663"/>
      <c r="I100" s="359"/>
      <c r="J100" s="803"/>
      <c r="L100" s="733"/>
      <c r="M100" s="1238" t="s">
        <v>3324</v>
      </c>
      <c r="N100" s="1238"/>
      <c r="O100" s="730"/>
    </row>
    <row r="101" spans="1:17" x14ac:dyDescent="0.2">
      <c r="G101" s="81"/>
      <c r="H101" s="663"/>
      <c r="I101" s="809" t="s">
        <v>741</v>
      </c>
      <c r="M101" s="783"/>
      <c r="N101" s="783"/>
      <c r="O101" s="730"/>
    </row>
    <row r="102" spans="1:17" ht="15.75" thickBot="1" x14ac:dyDescent="0.3">
      <c r="G102" s="81"/>
      <c r="H102" s="663"/>
      <c r="I102" s="800" t="s">
        <v>3314</v>
      </c>
      <c r="J102" s="841">
        <f>IF(VLOOKUP(G88,'A.1. Conso_bâtiment_EF H2'!E102:M123,4,0)="Oui",VLOOKUP(G88,'A.1. Conso_bâtiment_EF H2'!E102:M123,6,0)/VLOOKUP(G88,'A.1. Conso_bâtiment_EF H2'!E102:M123,5,0),"")</f>
        <v>0.51098901098901106</v>
      </c>
      <c r="L102" s="834" t="s">
        <v>3325</v>
      </c>
      <c r="M102" s="606" t="s">
        <v>3326</v>
      </c>
      <c r="N102" s="201"/>
      <c r="O102" s="730"/>
    </row>
    <row r="103" spans="1:17" ht="15.75" thickBot="1" x14ac:dyDescent="0.25">
      <c r="G103" s="81"/>
      <c r="H103" s="663"/>
      <c r="I103" s="800" t="str">
        <f>IF(J103="","","Part d'électricité (EF)*")</f>
        <v>Part d'électricité (EF)*</v>
      </c>
      <c r="J103" s="841">
        <f>IF(VLOOKUP(G88,'A.1. Conso_bâtiment_EF H2'!E102:M123,4,0)="Oui",VLOOKUP(G88,'A.1. Conso_bâtiment_EF H2'!E102:M123,7,0)/VLOOKUP(G88,'A.1. Conso_bâtiment_EF H2'!E102:M123,5,0),"")</f>
        <v>0.48901098901098905</v>
      </c>
      <c r="M103" s="830">
        <f>IF(OR(OR(E88="Chaudière fioul THPE",E88="Chaudière fioul standard de plus de 15 ans"),J102&lt;&gt;""),0,((F80*'D.1. Facteur d''émissions'!C8)-(('3.1 Affaires CO2 - Clients 360'!J90*E97*'D.1. Facteur d''émissions'!C11)+('3.1 Affaires CO2 - Clients 360'!J90*(1-E97)*'D.1. Facteur d''émissions'!C8)))/1000)</f>
        <v>0</v>
      </c>
      <c r="N103" s="25" t="s">
        <v>3312</v>
      </c>
      <c r="O103" s="730"/>
    </row>
    <row r="104" spans="1:17" ht="15.75" thickBot="1" x14ac:dyDescent="0.3">
      <c r="G104" s="81"/>
      <c r="H104" s="663"/>
      <c r="I104" s="824"/>
      <c r="J104" s="825"/>
      <c r="K104" s="363"/>
      <c r="L104" s="363"/>
      <c r="M104" s="363"/>
      <c r="N104" s="363"/>
      <c r="O104" s="826"/>
    </row>
    <row r="105" spans="1:17" ht="15" x14ac:dyDescent="0.25">
      <c r="G105" s="81"/>
      <c r="H105" s="663"/>
      <c r="I105" s="663"/>
      <c r="J105" s="32"/>
      <c r="O105" s="579"/>
    </row>
    <row r="106" spans="1:17" ht="15" x14ac:dyDescent="0.25">
      <c r="G106" s="81"/>
      <c r="H106" s="663"/>
      <c r="I106" s="663"/>
      <c r="J106" s="32"/>
      <c r="O106" s="579"/>
    </row>
    <row r="107" spans="1:17" ht="15" x14ac:dyDescent="0.25">
      <c r="G107" s="81"/>
      <c r="H107" s="663"/>
      <c r="I107" s="663"/>
      <c r="J107" s="32"/>
      <c r="O107" s="579"/>
    </row>
    <row r="108" spans="1:17" x14ac:dyDescent="0.2">
      <c r="Q108" t="s">
        <v>266</v>
      </c>
    </row>
    <row r="109" spans="1:17" hidden="1" outlineLevel="1" x14ac:dyDescent="0.2">
      <c r="E109" s="540" t="s">
        <v>260</v>
      </c>
      <c r="F109" s="540"/>
      <c r="G109" s="540"/>
      <c r="H109" s="540"/>
      <c r="I109" s="540"/>
      <c r="J109" s="540">
        <f>MATCH(E88,'A.2. Performances_Bâtiment H2'!D18:D29,0)</f>
        <v>3</v>
      </c>
      <c r="K109" s="540"/>
      <c r="L109" s="540"/>
      <c r="M109" s="540"/>
      <c r="N109" s="540"/>
      <c r="O109" s="540"/>
      <c r="P109" s="540"/>
      <c r="Q109" s="540">
        <f>MATCH(E88,'A.2. Performances_Bâtiment H2'!S18:S29,0)</f>
        <v>3</v>
      </c>
    </row>
    <row r="110" spans="1:17" hidden="1" outlineLevel="1" x14ac:dyDescent="0.2">
      <c r="E110" s="540"/>
      <c r="F110" s="540"/>
      <c r="G110" s="540"/>
      <c r="H110" s="540"/>
      <c r="I110" s="540"/>
      <c r="J110" s="540">
        <f>MATCH(G88,'A.2. Performances_Bâtiment H2'!D18:M18,0)</f>
        <v>5</v>
      </c>
      <c r="K110" s="540"/>
      <c r="L110" s="540"/>
      <c r="M110" s="540"/>
      <c r="N110" s="540"/>
      <c r="O110" s="540"/>
      <c r="P110" s="540"/>
      <c r="Q110" s="540">
        <f>MATCH(G88,'A.2. Performances_Bâtiment H2'!S18:AB18,0)</f>
        <v>5</v>
      </c>
    </row>
    <row r="111" spans="1:17" collapsed="1" x14ac:dyDescent="0.2"/>
    <row r="113" spans="2:18" ht="18" x14ac:dyDescent="0.25">
      <c r="E113" s="43" t="s">
        <v>163</v>
      </c>
    </row>
    <row r="114" spans="2:18" ht="15" thickBot="1" x14ac:dyDescent="0.25"/>
    <row r="115" spans="2:18" ht="23.25" x14ac:dyDescent="0.35">
      <c r="D115" s="811">
        <v>1</v>
      </c>
      <c r="E115" s="789" t="s">
        <v>3327</v>
      </c>
      <c r="F115" s="362"/>
      <c r="G115" s="358"/>
      <c r="I115" s="811">
        <v>4</v>
      </c>
      <c r="J115" s="797" t="s">
        <v>3296</v>
      </c>
      <c r="K115" s="358"/>
    </row>
    <row r="116" spans="2:18" x14ac:dyDescent="0.2">
      <c r="B116" s="370" t="s">
        <v>267</v>
      </c>
      <c r="C116" s="370"/>
      <c r="D116" s="359"/>
      <c r="G116" s="360"/>
      <c r="I116" s="359"/>
      <c r="K116" s="360"/>
    </row>
    <row r="117" spans="2:18" ht="13.5" customHeight="1" x14ac:dyDescent="0.2">
      <c r="B117" t="s">
        <v>182</v>
      </c>
      <c r="D117" s="359"/>
      <c r="E117" s="207" t="s">
        <v>3297</v>
      </c>
      <c r="F117" s="545"/>
      <c r="G117" s="844" t="s">
        <v>3329</v>
      </c>
      <c r="H117" s="575"/>
      <c r="I117" s="359"/>
      <c r="J117" s="707"/>
      <c r="K117" s="360"/>
    </row>
    <row r="118" spans="2:18" ht="15.75" thickBot="1" x14ac:dyDescent="0.3">
      <c r="B118" t="s">
        <v>185</v>
      </c>
      <c r="D118" s="359"/>
      <c r="G118" s="360"/>
      <c r="I118" s="359"/>
      <c r="J118" s="1" t="s">
        <v>3299</v>
      </c>
      <c r="K118" s="727"/>
    </row>
    <row r="119" spans="2:18" ht="29.25" thickBot="1" x14ac:dyDescent="0.25">
      <c r="B119" t="s">
        <v>186</v>
      </c>
      <c r="D119" s="359"/>
      <c r="E119" s="207" t="s">
        <v>3300</v>
      </c>
      <c r="F119" s="788">
        <f>VLOOKUP(E129,'A.1. Conso_bâtiment_EF H2'!E102:AC123,11,0)*'A.1. Conso_bâtiment_EF H2'!K13</f>
        <v>8977.5949999999993</v>
      </c>
      <c r="G119" s="817" t="s">
        <v>263</v>
      </c>
      <c r="H119" s="538"/>
      <c r="I119" s="359"/>
      <c r="J119" s="839">
        <f>IF(J122="",F121*-J120,F121*-J122)</f>
        <v>2633.9224999999992</v>
      </c>
      <c r="K119" s="728" t="e">
        <f>IF(J141="","kWh PCI/an","kWh EP/an")</f>
        <v>#DIV/0!</v>
      </c>
    </row>
    <row r="120" spans="2:18" ht="15" thickBot="1" x14ac:dyDescent="0.25">
      <c r="D120" s="359"/>
      <c r="F120" s="818"/>
      <c r="G120" s="817"/>
      <c r="H120" s="538"/>
      <c r="I120" s="800" t="str">
        <f>IF(J122="","soit (cas moyen)","")</f>
        <v>soit (cas moyen)</v>
      </c>
      <c r="J120" s="801" cm="1">
        <f t="array" ref="J120">IF(J122="",INDEX('A.2. Performances_Bâtiment H2'!D46:M55,'3.1 Affaires CO2 - Clients 360'!J148,'3.1 Affaires CO2 - Clients 360'!J149),"")</f>
        <v>-0.29338842975206603</v>
      </c>
      <c r="K120" s="787" t="str">
        <f>IF(J122="",IF(J120&gt;0,"de consommation énergétique supplémentaire","d'économies d'énergie"),"")</f>
        <v>d'économies d'énergie</v>
      </c>
    </row>
    <row r="121" spans="2:18" ht="15" thickBot="1" x14ac:dyDescent="0.25">
      <c r="D121" s="359"/>
      <c r="E121" t="s">
        <v>3301</v>
      </c>
      <c r="F121" s="840">
        <f>IF(F117="",F119,F117)</f>
        <v>8977.5949999999993</v>
      </c>
      <c r="G121" s="817"/>
      <c r="H121" s="538"/>
      <c r="I121" s="800"/>
      <c r="J121" s="712"/>
      <c r="K121" s="787"/>
    </row>
    <row r="122" spans="2:18" ht="15" x14ac:dyDescent="0.25">
      <c r="B122" s="370" t="s">
        <v>269</v>
      </c>
      <c r="C122" s="370"/>
      <c r="D122" s="359"/>
      <c r="G122" s="360"/>
      <c r="I122" s="802" t="s">
        <v>257</v>
      </c>
      <c r="J122" s="556"/>
      <c r="K122" s="787"/>
    </row>
    <row r="123" spans="2:18" ht="15.75" thickBot="1" x14ac:dyDescent="0.3">
      <c r="B123" t="s">
        <v>185</v>
      </c>
      <c r="D123" s="361"/>
      <c r="E123" s="363"/>
      <c r="F123" s="363"/>
      <c r="G123" s="364"/>
      <c r="I123" s="802"/>
      <c r="J123" s="537" t="s">
        <v>258</v>
      </c>
      <c r="K123" s="787"/>
    </row>
    <row r="124" spans="2:18" ht="15" thickBot="1" x14ac:dyDescent="0.25">
      <c r="B124" t="s">
        <v>186</v>
      </c>
      <c r="I124" s="361"/>
      <c r="J124" s="363"/>
      <c r="K124" s="822"/>
    </row>
    <row r="125" spans="2:18" ht="15" thickBot="1" x14ac:dyDescent="0.25">
      <c r="B125" t="s">
        <v>188</v>
      </c>
    </row>
    <row r="126" spans="2:18" ht="23.25" x14ac:dyDescent="0.35">
      <c r="D126" s="811">
        <v>2</v>
      </c>
      <c r="E126" s="789" t="s">
        <v>3304</v>
      </c>
      <c r="F126" s="362"/>
      <c r="G126" s="358"/>
      <c r="I126" s="811">
        <v>5</v>
      </c>
      <c r="J126" s="797" t="s">
        <v>3305</v>
      </c>
      <c r="K126" s="362"/>
      <c r="L126" s="823"/>
      <c r="M126" s="823"/>
      <c r="N126" s="362"/>
      <c r="O126" s="358"/>
    </row>
    <row r="127" spans="2:18" ht="18.75" x14ac:dyDescent="0.25">
      <c r="C127" s="512"/>
      <c r="D127" s="359"/>
      <c r="G127" s="360"/>
      <c r="I127" s="359"/>
      <c r="K127" s="434"/>
      <c r="L127" s="18"/>
      <c r="O127" s="360"/>
    </row>
    <row r="128" spans="2:18" ht="19.5" thickBot="1" x14ac:dyDescent="0.3">
      <c r="B128" s="512"/>
      <c r="C128" s="512"/>
      <c r="D128" s="359"/>
      <c r="E128" s="1" t="s">
        <v>270</v>
      </c>
      <c r="G128" s="793" t="s">
        <v>271</v>
      </c>
      <c r="I128" s="359"/>
      <c r="J128" s="18" t="s">
        <v>3308</v>
      </c>
      <c r="L128" s="434"/>
      <c r="M128" s="661" t="s">
        <v>3309</v>
      </c>
      <c r="N128" s="25"/>
      <c r="O128" s="360"/>
      <c r="P128" s="434"/>
      <c r="Q128" s="1"/>
      <c r="R128" s="312"/>
    </row>
    <row r="129" spans="2:18" ht="19.5" thickBot="1" x14ac:dyDescent="0.3">
      <c r="B129" s="512"/>
      <c r="C129" s="512"/>
      <c r="D129" s="359"/>
      <c r="E129" s="581" t="s">
        <v>185</v>
      </c>
      <c r="G129" s="581" t="s">
        <v>188</v>
      </c>
      <c r="I129" s="359"/>
      <c r="J129" s="839">
        <f>F121-J119</f>
        <v>6343.6725000000006</v>
      </c>
      <c r="K129" s="138" t="e">
        <f>IF(J141="","kWh PCI/an","kWh EP/an")</f>
        <v>#DIV/0!</v>
      </c>
      <c r="L129" s="138"/>
      <c r="M129" s="606" t="s">
        <v>3310</v>
      </c>
      <c r="N129" s="25"/>
      <c r="O129" s="360"/>
      <c r="P129" s="138"/>
      <c r="Q129" s="711"/>
    </row>
    <row r="130" spans="2:18" ht="19.5" thickBot="1" x14ac:dyDescent="0.25">
      <c r="B130" s="512"/>
      <c r="C130" s="512"/>
      <c r="D130" s="359"/>
      <c r="G130" s="360"/>
      <c r="I130" s="729"/>
      <c r="L130" s="834" t="s">
        <v>3311</v>
      </c>
      <c r="M130" s="830" t="e">
        <f>IF(AND(OR(E129="Chaudière fioul THPE",E129="Chaudière fioul standard de plus de 15 ans"),J141=""),((F119*'D.1. Facteur d''émissions'!C7)-(('3.1 Affaires CO2 - Clients 360'!J129*E136*'D.1. Facteur d''émissions'!C11)+('3.1 Affaires CO2 - Clients 360'!J129*(1-E136)*'D.1. Facteur d''émissions'!C8)))/1000,0)</f>
        <v>#DIV/0!</v>
      </c>
      <c r="N130" s="807" t="s">
        <v>3312</v>
      </c>
      <c r="O130" s="360"/>
      <c r="Q130" s="698"/>
      <c r="R130" s="513"/>
    </row>
    <row r="131" spans="2:18" ht="19.5" thickBot="1" x14ac:dyDescent="0.3">
      <c r="B131" s="512"/>
      <c r="C131" s="512"/>
      <c r="D131" s="361"/>
      <c r="E131" s="363"/>
      <c r="F131" s="363"/>
      <c r="G131" s="792"/>
      <c r="H131" s="1"/>
      <c r="I131" s="809" t="s">
        <v>3313</v>
      </c>
      <c r="L131" s="733"/>
      <c r="M131" s="25"/>
      <c r="N131" s="25"/>
      <c r="O131" s="360"/>
    </row>
    <row r="132" spans="2:18" ht="19.5" thickBot="1" x14ac:dyDescent="0.3">
      <c r="B132" s="512"/>
      <c r="C132" s="512"/>
      <c r="G132" s="663"/>
      <c r="H132" s="663"/>
      <c r="I132" s="800" t="s">
        <v>3314</v>
      </c>
      <c r="J132" s="842" t="e">
        <f>IF(J137="",J141,J137)</f>
        <v>#DIV/0!</v>
      </c>
      <c r="L132" s="834" t="s">
        <v>3315</v>
      </c>
      <c r="M132" s="606" t="s">
        <v>3316</v>
      </c>
      <c r="N132" s="25"/>
      <c r="O132" s="360"/>
    </row>
    <row r="133" spans="2:18" ht="24" thickBot="1" x14ac:dyDescent="0.4">
      <c r="B133" s="512"/>
      <c r="C133" s="512"/>
      <c r="D133" s="811">
        <v>3</v>
      </c>
      <c r="E133" s="789" t="s">
        <v>3318</v>
      </c>
      <c r="F133" s="362"/>
      <c r="G133" s="358"/>
      <c r="I133" s="800" t="s">
        <v>3317</v>
      </c>
      <c r="J133" s="843" t="e">
        <f>IF(J138="",J142,J138)</f>
        <v>#DIV/0!</v>
      </c>
      <c r="L133" s="374"/>
      <c r="M133" s="830" t="e">
        <f>IF(AND(OR(E129="Chaudière fioul THPE",E129="Chaudière fioul standard de plus de 15 ans"),J141&lt;&gt;""),((F119*'D.1. Facteur d''émissions'!C7)-((M138*J132*E136*'D.1. Facteur d''émissions'!C11)+(M138*J132*(1-E136)*'D.1. Facteur d''émissions'!C8)+(M138*J133*'D.1. Facteur d''émissions'!C15)))/1000,0)</f>
        <v>#DIV/0!</v>
      </c>
      <c r="N133" s="25" t="s">
        <v>3312</v>
      </c>
      <c r="O133" s="360"/>
    </row>
    <row r="134" spans="2:18" ht="18.75" x14ac:dyDescent="0.2">
      <c r="B134" s="512"/>
      <c r="C134" s="512"/>
      <c r="D134" s="359"/>
      <c r="G134" s="360"/>
      <c r="I134" s="837" t="e">
        <f>IF(J141="","","Check 100%")</f>
        <v>#DIV/0!</v>
      </c>
      <c r="J134" s="838" t="e">
        <f>IF(J141="","",(J132+J133)=100%)</f>
        <v>#DIV/0!</v>
      </c>
      <c r="M134" s="783"/>
      <c r="N134" s="783"/>
      <c r="O134" s="360"/>
    </row>
    <row r="135" spans="2:18" ht="19.5" thickBot="1" x14ac:dyDescent="0.3">
      <c r="B135" s="512"/>
      <c r="C135" s="512"/>
      <c r="D135" s="359"/>
      <c r="E135" t="s">
        <v>3321</v>
      </c>
      <c r="G135" s="360"/>
      <c r="I135" s="359"/>
      <c r="L135" s="733"/>
      <c r="M135" s="606" t="s">
        <v>3320</v>
      </c>
      <c r="N135" s="25"/>
      <c r="O135" s="360"/>
    </row>
    <row r="136" spans="2:18" ht="19.5" thickBot="1" x14ac:dyDescent="0.25">
      <c r="B136" s="512"/>
      <c r="C136" s="512"/>
      <c r="D136" s="359"/>
      <c r="E136" s="781"/>
      <c r="G136" s="360"/>
      <c r="I136" s="810" t="s">
        <v>3319</v>
      </c>
      <c r="J136" s="513"/>
      <c r="L136" s="834" t="s">
        <v>3322</v>
      </c>
      <c r="M136" s="830" t="e">
        <f>IF(OR(OR(E129="Chaudière fioul standard de plus de 15 ans",E129="Chaudière fioul THPE"),J141=""),0,((F121*'D.1. Facteur d''émissions'!C8)-((M138*J132*E136*'D.1. Facteur d''émissions'!C11)+(M138*J132*(1-E136)*'D.1. Facteur d''émissions'!C8)+(M138*J133*'D.1. Facteur d''émissions'!C15)))/1000)</f>
        <v>#DIV/0!</v>
      </c>
      <c r="N136" s="25" t="s">
        <v>3312</v>
      </c>
      <c r="O136" s="360"/>
    </row>
    <row r="137" spans="2:18" ht="19.5" thickBot="1" x14ac:dyDescent="0.25">
      <c r="B137" s="512"/>
      <c r="C137" s="512"/>
      <c r="D137" s="361"/>
      <c r="E137" s="363"/>
      <c r="F137" s="363"/>
      <c r="G137" s="364"/>
      <c r="I137" s="800" t="s">
        <v>3314</v>
      </c>
      <c r="J137" s="780"/>
      <c r="L137" s="835"/>
      <c r="M137" s="783"/>
      <c r="N137" s="783"/>
      <c r="O137" s="360"/>
    </row>
    <row r="138" spans="2:18" ht="18.75" x14ac:dyDescent="0.25">
      <c r="B138" s="512"/>
      <c r="C138" s="512"/>
      <c r="I138" s="800" t="s">
        <v>3317</v>
      </c>
      <c r="J138" s="780"/>
      <c r="L138" s="833"/>
      <c r="M138" s="827" t="e">
        <f>IF(J141="","",J129/(J132+J133*'D.1. Facteur d''émissions'!C47))</f>
        <v>#DIV/0!</v>
      </c>
      <c r="N138" s="606" t="s">
        <v>3323</v>
      </c>
      <c r="O138" s="360"/>
    </row>
    <row r="139" spans="2:18" ht="18.75" x14ac:dyDescent="0.2">
      <c r="B139" s="512"/>
      <c r="C139" s="512"/>
      <c r="I139" s="359"/>
      <c r="J139" s="803"/>
      <c r="L139" s="733"/>
      <c r="M139" s="1238" t="s">
        <v>3324</v>
      </c>
      <c r="N139" s="1238"/>
      <c r="O139" s="730"/>
    </row>
    <row r="140" spans="2:18" ht="18.75" x14ac:dyDescent="0.2">
      <c r="B140" s="512"/>
      <c r="C140" s="512"/>
      <c r="I140" s="809" t="s">
        <v>741</v>
      </c>
      <c r="M140" s="783"/>
      <c r="N140" s="783"/>
      <c r="O140" s="730"/>
    </row>
    <row r="141" spans="2:18" ht="19.5" thickBot="1" x14ac:dyDescent="0.3">
      <c r="B141" s="512"/>
      <c r="C141" s="512"/>
      <c r="I141" s="800" t="s">
        <v>3314</v>
      </c>
      <c r="J141" s="841" t="e">
        <f>IF(VLOOKUP(G129,'A.1. Conso_bâtiment_EF H2'!E102:T123,4,0)="Oui",VLOOKUP(G129,'A.1. Conso_bâtiment_EF H2'!E102:T123,11,0)/VLOOKUP(G129,'A.1. Conso_bâtiment_EF H2'!E102:T123,10,0),"")</f>
        <v>#DIV/0!</v>
      </c>
      <c r="L141" s="834" t="s">
        <v>3325</v>
      </c>
      <c r="M141" s="606" t="s">
        <v>3326</v>
      </c>
      <c r="N141" s="201"/>
      <c r="O141" s="730"/>
    </row>
    <row r="142" spans="2:18" ht="19.5" thickBot="1" x14ac:dyDescent="0.25">
      <c r="B142" s="512"/>
      <c r="C142" s="512"/>
      <c r="I142" s="800" t="e">
        <f>IF(J142="","","Part d'électricité (EF)*")</f>
        <v>#DIV/0!</v>
      </c>
      <c r="J142" s="841" t="e">
        <f>IF(VLOOKUP(G129,'A.1. Conso_bâtiment_EF H2'!E102:T123,4,0)="Oui",VLOOKUP(G129,'A.1. Conso_bâtiment_EF H2'!E102:T123,12,0)/VLOOKUP(G129,'A.1. Conso_bâtiment_EF H2'!E102:T123,10,0),"")</f>
        <v>#DIV/0!</v>
      </c>
      <c r="M142" s="830" t="e">
        <f>IF(OR(OR(E129="Chaudière fioul THPE",E129="Chaudière fioul standard de plus de 15 ans"),J141&lt;&gt;""),0,((F121*'D.1. Facteur d''émissions'!C28)-(('3.1 Affaires CO2 - Clients 360'!J129*E136*'D.1. Facteur d''émissions'!C35)+('3.1 Affaires CO2 - Clients 360'!J129*(1-E136)*'D.1. Facteur d''émissions'!C28)))/1000)</f>
        <v>#DIV/0!</v>
      </c>
      <c r="N142" s="25" t="s">
        <v>3312</v>
      </c>
      <c r="O142" s="730"/>
    </row>
    <row r="143" spans="2:18" ht="19.5" thickBot="1" x14ac:dyDescent="0.3">
      <c r="B143" s="512"/>
      <c r="C143" s="512"/>
      <c r="I143" s="824"/>
      <c r="J143" s="825"/>
      <c r="K143" s="363"/>
      <c r="L143" s="363"/>
      <c r="M143" s="363"/>
      <c r="N143" s="363"/>
      <c r="O143" s="826"/>
    </row>
    <row r="144" spans="2:18" ht="18.75" x14ac:dyDescent="0.2">
      <c r="B144" s="512"/>
      <c r="C144" s="512"/>
      <c r="J144" s="665"/>
    </row>
    <row r="145" spans="2:17" ht="18.75" x14ac:dyDescent="0.2">
      <c r="B145" s="512"/>
      <c r="C145" s="512"/>
      <c r="J145" s="665"/>
    </row>
    <row r="146" spans="2:17" ht="18.600000000000001" customHeight="1" x14ac:dyDescent="0.2">
      <c r="B146" s="512"/>
      <c r="C146" s="512"/>
      <c r="J146" s="665"/>
    </row>
    <row r="147" spans="2:17" ht="18.75" x14ac:dyDescent="0.2">
      <c r="B147" s="512"/>
      <c r="C147" s="512"/>
      <c r="J147" s="665"/>
    </row>
    <row r="148" spans="2:17" ht="18.75" hidden="1" outlineLevel="1" x14ac:dyDescent="0.2">
      <c r="B148" s="512"/>
      <c r="C148" s="512"/>
      <c r="E148" s="540" t="s">
        <v>260</v>
      </c>
      <c r="F148" s="540"/>
      <c r="G148" s="540"/>
      <c r="H148" s="540"/>
      <c r="I148" s="540"/>
      <c r="J148" s="540">
        <f>MATCH(E129,'A.2. Performances_Bâtiment H2'!D46:D55,0)</f>
        <v>3</v>
      </c>
      <c r="K148" s="540"/>
      <c r="L148" s="540"/>
      <c r="M148" s="540"/>
      <c r="N148" s="540"/>
      <c r="O148" s="540"/>
      <c r="P148" s="540"/>
      <c r="Q148" s="540">
        <f>MATCH(E129,'A.2. Performances_Bâtiment H2'!S46:S55,0)</f>
        <v>3</v>
      </c>
    </row>
    <row r="149" spans="2:17" ht="18.75" hidden="1" outlineLevel="1" x14ac:dyDescent="0.2">
      <c r="B149" s="512"/>
      <c r="C149" s="512"/>
      <c r="E149" s="540"/>
      <c r="F149" s="540"/>
      <c r="G149" s="540"/>
      <c r="H149" s="540"/>
      <c r="I149" s="540"/>
      <c r="J149" s="540">
        <f>MATCH(G129,'A.2. Performances_Bâtiment H2'!D46:M46,0)</f>
        <v>6</v>
      </c>
      <c r="K149" s="540"/>
      <c r="L149" s="540"/>
      <c r="M149" s="540"/>
      <c r="N149" s="540"/>
      <c r="O149" s="540"/>
      <c r="P149" s="540"/>
      <c r="Q149" s="540">
        <f>MATCH(G129,'A.2. Performances_Bâtiment H2'!S46:AB46,0)</f>
        <v>6</v>
      </c>
    </row>
    <row r="150" spans="2:17" ht="18.75" collapsed="1" x14ac:dyDescent="0.25">
      <c r="B150" s="512"/>
      <c r="C150" s="512"/>
      <c r="E150" s="49"/>
    </row>
    <row r="151" spans="2:17" ht="18.75" x14ac:dyDescent="0.25">
      <c r="B151" s="512"/>
      <c r="C151" s="512"/>
      <c r="E151" s="49"/>
    </row>
    <row r="152" spans="2:17" ht="18.75" x14ac:dyDescent="0.25">
      <c r="B152" s="512"/>
      <c r="C152" s="512"/>
      <c r="E152" s="43" t="s">
        <v>170</v>
      </c>
    </row>
    <row r="153" spans="2:17" ht="19.5" thickBot="1" x14ac:dyDescent="0.3">
      <c r="B153" s="512"/>
      <c r="C153" s="512"/>
      <c r="E153" s="49"/>
    </row>
    <row r="154" spans="2:17" ht="23.25" x14ac:dyDescent="0.35">
      <c r="B154" s="512"/>
      <c r="C154" s="512"/>
      <c r="D154" s="811">
        <v>1</v>
      </c>
      <c r="E154" s="789" t="s">
        <v>3327</v>
      </c>
      <c r="F154" s="362"/>
      <c r="G154" s="358"/>
      <c r="I154" s="811">
        <v>4</v>
      </c>
      <c r="J154" s="797" t="s">
        <v>3296</v>
      </c>
      <c r="K154" s="358"/>
    </row>
    <row r="155" spans="2:17" x14ac:dyDescent="0.2">
      <c r="B155" s="370" t="s">
        <v>272</v>
      </c>
      <c r="C155" s="370"/>
      <c r="D155" s="359"/>
      <c r="G155" s="360"/>
      <c r="I155" s="359"/>
      <c r="K155" s="360"/>
    </row>
    <row r="156" spans="2:17" x14ac:dyDescent="0.2">
      <c r="B156" t="s">
        <v>182</v>
      </c>
      <c r="D156" s="359"/>
      <c r="G156" s="360"/>
      <c r="I156" s="359"/>
      <c r="J156" s="707"/>
      <c r="K156" s="360"/>
    </row>
    <row r="157" spans="2:17" ht="15.75" thickBot="1" x14ac:dyDescent="0.3">
      <c r="B157" t="s">
        <v>185</v>
      </c>
      <c r="D157" s="359"/>
      <c r="E157" s="207" t="s">
        <v>3297</v>
      </c>
      <c r="F157" s="545"/>
      <c r="G157" s="844" t="s">
        <v>3329</v>
      </c>
      <c r="H157" s="575"/>
      <c r="I157" s="359"/>
      <c r="J157" s="1" t="s">
        <v>3299</v>
      </c>
      <c r="K157" s="727"/>
    </row>
    <row r="158" spans="2:17" ht="15.75" thickBot="1" x14ac:dyDescent="0.25">
      <c r="B158" t="s">
        <v>186</v>
      </c>
      <c r="D158" s="359"/>
      <c r="G158" s="360"/>
      <c r="I158" s="359"/>
      <c r="J158" s="839">
        <f>IF(J162="",F162*-J159,F162*-J162)</f>
        <v>0</v>
      </c>
      <c r="K158" s="728" t="e">
        <f>IF(J181="","kWh PCI/an","kWh EP/an")</f>
        <v>#DIV/0!</v>
      </c>
    </row>
    <row r="159" spans="2:17" ht="18" customHeight="1" x14ac:dyDescent="0.2">
      <c r="B159" t="s">
        <v>191</v>
      </c>
      <c r="D159" s="359"/>
      <c r="E159" s="207" t="s">
        <v>3300</v>
      </c>
      <c r="F159" s="788">
        <f>IF(OR(E169="Chaudière fioul standard de plus de 15 ans",E169="Chaudière fioul THPE"),VLOOKUP(E169,'A.1. Conso_bâtiment_EF H2'!E102:AC123,17,0)*'A.1. Conso_bâtiment_EF H2'!L12,VLOOKUP(E169,'A.1. Conso_bâtiment_EF H2'!E102:AC123,15,0)*'A.1. Conso_bâtiment_EF H2'!L13)*F160</f>
        <v>0</v>
      </c>
      <c r="G159" s="817"/>
      <c r="H159" s="538"/>
      <c r="I159" s="800" t="str">
        <f>IF(J162="","soit (cas moyen)","")</f>
        <v>soit (cas moyen)</v>
      </c>
      <c r="J159" s="801" cm="1">
        <f t="array" ref="J159">IF(J162="",INDEX('A.2. Performances_Bâtiment H2'!D65:M76,'3.1 Affaires CO2 - Clients 360'!J190,'3.1 Affaires CO2 - Clients 360'!J191),"")</f>
        <v>-0.32015693967631187</v>
      </c>
      <c r="K159" s="787" t="str">
        <f>IF(J162="",IF(J159&gt;0,"de consommation énergétique supplémentaire","d'économies d'énergie"),"")</f>
        <v>d'économies d'énergie</v>
      </c>
    </row>
    <row r="160" spans="2:17" x14ac:dyDescent="0.2">
      <c r="D160" s="359"/>
      <c r="E160" t="s">
        <v>3330</v>
      </c>
      <c r="F160" s="545">
        <v>15</v>
      </c>
      <c r="G160" s="817"/>
      <c r="H160" s="538"/>
      <c r="I160" s="800"/>
      <c r="J160" s="712"/>
      <c r="K160" s="787"/>
    </row>
    <row r="161" spans="2:21" ht="15" thickBot="1" x14ac:dyDescent="0.25">
      <c r="B161" t="s">
        <v>189</v>
      </c>
      <c r="D161" s="359"/>
      <c r="G161" s="360"/>
      <c r="I161" s="800"/>
      <c r="J161" s="712"/>
      <c r="K161" s="787"/>
    </row>
    <row r="162" spans="2:21" ht="30" thickBot="1" x14ac:dyDescent="0.3">
      <c r="B162" s="207" t="s">
        <v>196</v>
      </c>
      <c r="D162" s="359"/>
      <c r="E162" t="s">
        <v>3301</v>
      </c>
      <c r="F162" s="840">
        <f>IF(F157="",F159,F157)</f>
        <v>0</v>
      </c>
      <c r="G162" s="360"/>
      <c r="I162" s="802" t="s">
        <v>257</v>
      </c>
      <c r="J162" s="556"/>
      <c r="K162" s="787"/>
    </row>
    <row r="163" spans="2:21" ht="15.75" thickBot="1" x14ac:dyDescent="0.3">
      <c r="B163" t="s">
        <v>197</v>
      </c>
      <c r="D163" s="361"/>
      <c r="E163" s="363"/>
      <c r="F163" s="363"/>
      <c r="G163" s="364"/>
      <c r="I163" s="802"/>
      <c r="J163" s="537" t="s">
        <v>258</v>
      </c>
      <c r="K163" s="787"/>
    </row>
    <row r="164" spans="2:21" ht="15" thickBot="1" x14ac:dyDescent="0.25">
      <c r="I164" s="361"/>
      <c r="J164" s="363"/>
      <c r="K164" s="822"/>
    </row>
    <row r="165" spans="2:21" ht="15" thickBot="1" x14ac:dyDescent="0.25">
      <c r="B165" s="370" t="s">
        <v>274</v>
      </c>
      <c r="C165" s="370"/>
      <c r="F165" s="546"/>
      <c r="G165" s="536"/>
      <c r="H165" s="536"/>
    </row>
    <row r="166" spans="2:21" ht="23.25" x14ac:dyDescent="0.35">
      <c r="B166" t="s">
        <v>240</v>
      </c>
      <c r="D166" s="811">
        <v>2</v>
      </c>
      <c r="E166" s="789" t="s">
        <v>3304</v>
      </c>
      <c r="F166" s="362"/>
      <c r="G166" s="358"/>
      <c r="I166" s="811">
        <v>5</v>
      </c>
      <c r="J166" s="797" t="s">
        <v>3305</v>
      </c>
      <c r="K166" s="362"/>
      <c r="L166" s="823"/>
      <c r="M166" s="823"/>
      <c r="N166" s="362"/>
      <c r="O166" s="358"/>
    </row>
    <row r="167" spans="2:21" ht="15.75" x14ac:dyDescent="0.25">
      <c r="B167" t="s">
        <v>191</v>
      </c>
      <c r="D167" s="359"/>
      <c r="G167" s="360"/>
      <c r="H167" s="1"/>
      <c r="I167" s="359"/>
      <c r="K167" s="434"/>
      <c r="L167" s="18"/>
      <c r="O167" s="360"/>
      <c r="P167" s="434"/>
      <c r="Q167" s="1"/>
      <c r="R167" s="312"/>
    </row>
    <row r="168" spans="2:21" ht="16.5" thickBot="1" x14ac:dyDescent="0.3">
      <c r="B168" t="s">
        <v>189</v>
      </c>
      <c r="D168" s="359"/>
      <c r="E168" s="1" t="s">
        <v>270</v>
      </c>
      <c r="G168" s="793" t="s">
        <v>271</v>
      </c>
      <c r="H168" s="312"/>
      <c r="I168" s="359"/>
      <c r="J168" s="18" t="s">
        <v>3308</v>
      </c>
      <c r="L168" s="434"/>
      <c r="M168" s="661" t="s">
        <v>3309</v>
      </c>
      <c r="N168" s="25"/>
      <c r="O168" s="360"/>
      <c r="P168" s="138"/>
      <c r="Q168" s="711"/>
      <c r="U168" s="558"/>
    </row>
    <row r="169" spans="2:21" ht="15.75" thickBot="1" x14ac:dyDescent="0.3">
      <c r="B169" t="s">
        <v>187</v>
      </c>
      <c r="D169" s="359"/>
      <c r="E169" s="574" t="s">
        <v>196</v>
      </c>
      <c r="G169" s="574" t="s">
        <v>187</v>
      </c>
      <c r="I169" s="359"/>
      <c r="J169" s="839">
        <f>F162-J158</f>
        <v>0</v>
      </c>
      <c r="K169" s="138" t="str">
        <f>IF(I170="","kWh PCI/an","kWh EP/an")</f>
        <v>kWh PCI/an</v>
      </c>
      <c r="L169" s="138"/>
      <c r="M169" s="606" t="s">
        <v>3310</v>
      </c>
      <c r="N169" s="25"/>
      <c r="O169" s="360"/>
      <c r="Q169" s="712"/>
      <c r="R169" s="513"/>
    </row>
    <row r="170" spans="2:21" ht="15.75" thickBot="1" x14ac:dyDescent="0.25">
      <c r="D170" s="359"/>
      <c r="G170" s="360"/>
      <c r="I170" s="729"/>
      <c r="L170" s="834" t="s">
        <v>3311</v>
      </c>
      <c r="M170" s="830" t="e">
        <f>IF(AND(OR(E169="Chaudière fioul THPE",E169="Chaudière fioul standard de plus de 15 ans"),J181=""),((F162*'D.1. Facteur d''émissions'!C7)-(('3.1 Affaires CO2 - Clients 360'!J169*E178*'D.1. Facteur d''émissions'!C11)+('3.1 Affaires CO2 - Clients 360'!J169*(1-E178)*'D.1. Facteur d''émissions'!C8)))/1000,0)</f>
        <v>#DIV/0!</v>
      </c>
      <c r="N170" s="807" t="s">
        <v>3312</v>
      </c>
      <c r="O170" s="360"/>
    </row>
    <row r="171" spans="2:21" ht="15.75" thickBot="1" x14ac:dyDescent="0.3">
      <c r="D171" s="359"/>
      <c r="G171" s="793"/>
      <c r="H171" s="1"/>
      <c r="I171" s="809" t="s">
        <v>3313</v>
      </c>
      <c r="L171" s="733"/>
      <c r="M171" s="25"/>
      <c r="N171" s="25"/>
      <c r="O171" s="360"/>
    </row>
    <row r="172" spans="2:21" ht="15.75" thickBot="1" x14ac:dyDescent="0.3">
      <c r="D172" s="361"/>
      <c r="E172" s="363"/>
      <c r="F172" s="363"/>
      <c r="G172" s="796"/>
      <c r="H172" s="663"/>
      <c r="I172" s="800" t="s">
        <v>3314</v>
      </c>
      <c r="J172" s="842" t="e">
        <f>IF(J177="",J181,J177)</f>
        <v>#DIV/0!</v>
      </c>
      <c r="L172" s="834" t="s">
        <v>3315</v>
      </c>
      <c r="M172" s="606" t="s">
        <v>3316</v>
      </c>
      <c r="N172" s="25"/>
      <c r="O172" s="360"/>
    </row>
    <row r="173" spans="2:21" ht="15.75" thickBot="1" x14ac:dyDescent="0.3">
      <c r="G173" s="663"/>
      <c r="H173" s="663"/>
      <c r="I173" s="800" t="s">
        <v>3317</v>
      </c>
      <c r="J173" s="843" t="e">
        <f>IF(J178="",J182,J178)</f>
        <v>#DIV/0!</v>
      </c>
      <c r="L173" s="374"/>
      <c r="M173" s="830" t="e">
        <f>IF(AND(OR(E169="Chaudière fioul THPE",E169="Chaudière fioul standard de plus de 15 ans"),J181&lt;&gt;""),((F162*'D.1. Facteur d''émissions'!C7)-((M178*J172*E178*'D.1. Facteur d''émissions'!C11)+(M178*J172*(1-E178)*'D.1. Facteur d''émissions'!C8)+(M178*J173*'D.1. Facteur d''émissions'!C15)))/1000,0)</f>
        <v>#DIV/0!</v>
      </c>
      <c r="N173" s="25" t="s">
        <v>3312</v>
      </c>
      <c r="O173" s="360"/>
    </row>
    <row r="174" spans="2:21" ht="15" thickBot="1" x14ac:dyDescent="0.25">
      <c r="G174" s="663"/>
      <c r="H174" s="663"/>
      <c r="I174" s="837" t="e">
        <f>IF(J181="","","Check 100%")</f>
        <v>#DIV/0!</v>
      </c>
      <c r="J174" s="838" t="e">
        <f>IF(J181="","",(J172+J173)=100%)</f>
        <v>#DIV/0!</v>
      </c>
      <c r="M174" s="783"/>
      <c r="N174" s="783"/>
      <c r="O174" s="360"/>
    </row>
    <row r="175" spans="2:21" ht="24" thickBot="1" x14ac:dyDescent="0.4">
      <c r="D175" s="811">
        <v>3</v>
      </c>
      <c r="E175" s="789" t="s">
        <v>3318</v>
      </c>
      <c r="F175" s="362"/>
      <c r="G175" s="358"/>
      <c r="H175" s="663"/>
      <c r="I175" s="359"/>
      <c r="L175" s="733"/>
      <c r="M175" s="606" t="s">
        <v>3320</v>
      </c>
      <c r="N175" s="25"/>
      <c r="O175" s="360"/>
    </row>
    <row r="176" spans="2:21" ht="15.75" thickBot="1" x14ac:dyDescent="0.25">
      <c r="D176" s="359"/>
      <c r="G176" s="360"/>
      <c r="H176" s="663"/>
      <c r="I176" s="810" t="s">
        <v>3319</v>
      </c>
      <c r="J176" s="513"/>
      <c r="L176" s="834" t="s">
        <v>3322</v>
      </c>
      <c r="M176" s="830" t="e">
        <f>IF(OR(OR(E169="Chaudière fioul standard de plus de 15 ans",E169="Chaudière fioul THPE"),J181=""),0,((F162*'D.1. Facteur d''émissions'!C8)-((M178*J172*E178*'D.1. Facteur d''émissions'!C11)+(M178*J172*(1-E178)*'D.1. Facteur d''émissions'!C8)+(M178*J173*'D.1. Facteur d''émissions'!C15)))/1000)</f>
        <v>#DIV/0!</v>
      </c>
      <c r="N176" s="25" t="s">
        <v>3312</v>
      </c>
      <c r="O176" s="360"/>
    </row>
    <row r="177" spans="4:17" ht="15" thickBot="1" x14ac:dyDescent="0.25">
      <c r="D177" s="359"/>
      <c r="E177" t="s">
        <v>3321</v>
      </c>
      <c r="G177" s="360"/>
      <c r="H177" s="663"/>
      <c r="I177" s="800" t="s">
        <v>3314</v>
      </c>
      <c r="J177" s="780"/>
      <c r="L177" s="835"/>
      <c r="M177" s="783"/>
      <c r="N177" s="783"/>
      <c r="O177" s="360"/>
    </row>
    <row r="178" spans="4:17" ht="15.75" thickBot="1" x14ac:dyDescent="0.3">
      <c r="D178" s="359"/>
      <c r="E178" s="781"/>
      <c r="G178" s="360"/>
      <c r="H178" s="663"/>
      <c r="I178" s="800" t="s">
        <v>3317</v>
      </c>
      <c r="J178" s="780"/>
      <c r="L178" s="833"/>
      <c r="M178" s="827" t="e">
        <f>IF(J181="","",J169/(J172+J173*'D.1. Facteur d''émissions'!C47))</f>
        <v>#DIV/0!</v>
      </c>
      <c r="N178" s="606" t="s">
        <v>3323</v>
      </c>
      <c r="O178" s="360"/>
    </row>
    <row r="179" spans="4:17" ht="15" thickBot="1" x14ac:dyDescent="0.25">
      <c r="D179" s="361"/>
      <c r="E179" s="363"/>
      <c r="F179" s="363"/>
      <c r="G179" s="364"/>
      <c r="H179" s="663"/>
      <c r="I179" s="359"/>
      <c r="J179" s="803"/>
      <c r="L179" s="733"/>
      <c r="M179" s="1238" t="s">
        <v>3324</v>
      </c>
      <c r="N179" s="1238"/>
      <c r="O179" s="730"/>
    </row>
    <row r="180" spans="4:17" x14ac:dyDescent="0.2">
      <c r="G180" s="663"/>
      <c r="H180" s="663"/>
      <c r="I180" s="809" t="s">
        <v>741</v>
      </c>
      <c r="M180" s="783"/>
      <c r="N180" s="783"/>
      <c r="O180" s="730"/>
    </row>
    <row r="181" spans="4:17" ht="15.75" thickBot="1" x14ac:dyDescent="0.3">
      <c r="G181" s="663"/>
      <c r="H181" s="663"/>
      <c r="I181" s="800" t="s">
        <v>3314</v>
      </c>
      <c r="J181" s="841" t="e">
        <f>IF(VLOOKUP(G169,'A.1. Conso_bâtiment_EF H2'!E102:AC123,4,0)="Oui",VLOOKUP(G169,'A.1. Conso_bâtiment_EF H2'!E102:AC123,15,0)/VLOOKUP(G169,'A.1. Conso_bâtiment_EF H2'!E102:AC123,14,0),"")</f>
        <v>#DIV/0!</v>
      </c>
      <c r="L181" s="834" t="s">
        <v>3325</v>
      </c>
      <c r="M181" s="606" t="s">
        <v>3326</v>
      </c>
      <c r="N181" s="201"/>
      <c r="O181" s="730"/>
    </row>
    <row r="182" spans="4:17" ht="15.75" thickBot="1" x14ac:dyDescent="0.25">
      <c r="G182" s="663"/>
      <c r="H182" s="663"/>
      <c r="I182" s="800" t="e">
        <f>IF(J182="","","Part d'électricité (EF)*")</f>
        <v>#DIV/0!</v>
      </c>
      <c r="J182" s="841" t="e">
        <f>IF(VLOOKUP(G169,'A.1. Conso_bâtiment_EF H2'!E102:AC123,4,0)="Oui",VLOOKUP(G169,'A.1. Conso_bâtiment_EF H2'!E102:AC123,16,0)/VLOOKUP(G169,'A.1. Conso_bâtiment_EF H2'!E102:AC123,14,0),"")</f>
        <v>#DIV/0!</v>
      </c>
      <c r="M182" s="830" t="e">
        <f>IF(OR(OR(E169="Chaudière fioul THPE",E169="Chaudière fioul standard de plus de 15 ans"),J181&lt;&gt;""),0,((F162*'D.1. Facteur d''émissions'!C8)-(('3.1 Affaires CO2 - Clients 360'!J169*E178*'D.1. Facteur d''émissions'!C11)+('3.1 Affaires CO2 - Clients 360'!J169*(1-E178)*'D.1. Facteur d''émissions'!C8)))/1000)</f>
        <v>#DIV/0!</v>
      </c>
      <c r="N182" s="25" t="s">
        <v>3312</v>
      </c>
      <c r="O182" s="730"/>
    </row>
    <row r="183" spans="4:17" ht="15.75" thickBot="1" x14ac:dyDescent="0.3">
      <c r="G183" s="663"/>
      <c r="H183" s="663"/>
      <c r="I183" s="824"/>
      <c r="J183" s="825"/>
      <c r="K183" s="363"/>
      <c r="L183" s="363"/>
      <c r="M183" s="363"/>
      <c r="N183" s="363"/>
      <c r="O183" s="826"/>
    </row>
    <row r="184" spans="4:17" x14ac:dyDescent="0.2">
      <c r="G184" s="663"/>
      <c r="H184" s="663"/>
      <c r="J184" s="665"/>
    </row>
    <row r="185" spans="4:17" x14ac:dyDescent="0.2">
      <c r="G185" s="663"/>
      <c r="H185" s="663"/>
      <c r="J185" s="665"/>
    </row>
    <row r="186" spans="4:17" x14ac:dyDescent="0.2">
      <c r="G186" s="663"/>
      <c r="H186" s="663"/>
      <c r="J186" s="665"/>
    </row>
    <row r="187" spans="4:17" x14ac:dyDescent="0.2">
      <c r="G187" s="663"/>
      <c r="H187" s="663"/>
      <c r="J187" s="665"/>
    </row>
    <row r="188" spans="4:17" x14ac:dyDescent="0.2">
      <c r="G188" s="663"/>
      <c r="H188" s="663"/>
      <c r="J188" s="665"/>
    </row>
    <row r="190" spans="4:17" hidden="1" outlineLevel="1" x14ac:dyDescent="0.2">
      <c r="E190" s="540" t="s">
        <v>260</v>
      </c>
      <c r="F190" s="540"/>
      <c r="I190" s="540"/>
      <c r="J190" s="540">
        <f>MATCH(E169,'A.2. Performances_Bâtiment H2'!D65:D76,0)</f>
        <v>11</v>
      </c>
      <c r="K190" s="540"/>
      <c r="L190" s="540"/>
      <c r="M190" s="540"/>
      <c r="N190" s="540"/>
      <c r="O190" s="540"/>
      <c r="P190" s="540"/>
      <c r="Q190" s="540" t="e">
        <f>MATCH(E169,'A.2. Performances_Bâtiment H2'!S65:S74,0)</f>
        <v>#N/A</v>
      </c>
    </row>
    <row r="191" spans="4:17" hidden="1" outlineLevel="1" x14ac:dyDescent="0.2">
      <c r="E191" s="540"/>
      <c r="F191" s="540"/>
      <c r="I191" s="540"/>
      <c r="J191" s="540">
        <f>MATCH(G169,'A.2. Performances_Bâtiment H2'!D65:M65,0)</f>
        <v>5</v>
      </c>
      <c r="K191" s="540"/>
      <c r="L191" s="540"/>
      <c r="M191" s="540"/>
      <c r="N191" s="540"/>
      <c r="O191" s="540"/>
      <c r="P191" s="540"/>
      <c r="Q191" s="540">
        <f>MATCH(G169,'A.2. Performances_Bâtiment H2'!S65:AB65,0)</f>
        <v>5</v>
      </c>
    </row>
    <row r="192" spans="4:17" collapsed="1" x14ac:dyDescent="0.2"/>
    <row r="196" spans="2:13" ht="18" x14ac:dyDescent="0.25">
      <c r="C196" s="370"/>
      <c r="E196" s="43" t="s">
        <v>888</v>
      </c>
    </row>
    <row r="197" spans="2:13" ht="18" x14ac:dyDescent="0.25">
      <c r="C197" s="370"/>
      <c r="E197" s="43"/>
    </row>
    <row r="198" spans="2:13" ht="18" x14ac:dyDescent="0.25">
      <c r="C198" s="370"/>
      <c r="E198" s="43"/>
      <c r="I198" s="584"/>
    </row>
    <row r="199" spans="2:13" ht="18.75" thickBot="1" x14ac:dyDescent="0.3">
      <c r="B199" s="583"/>
      <c r="C199" s="370"/>
      <c r="E199" s="43"/>
      <c r="I199" s="461"/>
    </row>
    <row r="200" spans="2:13" ht="23.25" x14ac:dyDescent="0.35">
      <c r="B200" s="583" t="s">
        <v>3331</v>
      </c>
      <c r="C200" s="370"/>
      <c r="D200" s="811" t="s">
        <v>881</v>
      </c>
      <c r="E200" s="789" t="s">
        <v>3327</v>
      </c>
      <c r="F200" s="362"/>
      <c r="G200" s="358"/>
      <c r="I200" s="811" t="s">
        <v>911</v>
      </c>
      <c r="J200" s="789" t="s">
        <v>3332</v>
      </c>
      <c r="K200" s="362"/>
      <c r="L200" s="362"/>
      <c r="M200" s="358"/>
    </row>
    <row r="201" spans="2:13" x14ac:dyDescent="0.2">
      <c r="B201" t="s">
        <v>295</v>
      </c>
      <c r="D201" s="359"/>
      <c r="G201" s="360"/>
      <c r="I201" s="905"/>
      <c r="M201" s="360"/>
    </row>
    <row r="202" spans="2:13" x14ac:dyDescent="0.2">
      <c r="B202" t="s">
        <v>296</v>
      </c>
      <c r="D202" s="359"/>
      <c r="G202" s="360"/>
      <c r="I202" s="905"/>
      <c r="M202" s="360"/>
    </row>
    <row r="203" spans="2:13" x14ac:dyDescent="0.2">
      <c r="B203" s="33" t="s">
        <v>297</v>
      </c>
      <c r="D203" s="359"/>
      <c r="E203" t="s">
        <v>3333</v>
      </c>
      <c r="F203" s="545" t="s">
        <v>303</v>
      </c>
      <c r="G203" s="360"/>
      <c r="I203" s="359"/>
      <c r="J203" s="910"/>
      <c r="M203" s="360"/>
    </row>
    <row r="204" spans="2:13" x14ac:dyDescent="0.2">
      <c r="B204" s="33" t="s">
        <v>298</v>
      </c>
      <c r="D204" s="359"/>
      <c r="E204" t="s">
        <v>3334</v>
      </c>
      <c r="F204" s="545" t="s">
        <v>295</v>
      </c>
      <c r="G204" s="817"/>
      <c r="I204" s="905"/>
      <c r="J204" s="910" t="s">
        <v>3335</v>
      </c>
      <c r="K204" s="911">
        <f>IF(G217="/",0,VLOOKUP(G217,'A.4 Performances_Industrie'!D33:F39,3,FALSE))</f>
        <v>0.2</v>
      </c>
      <c r="M204" s="360"/>
    </row>
    <row r="205" spans="2:13" x14ac:dyDescent="0.2">
      <c r="B205" s="33" t="s">
        <v>299</v>
      </c>
      <c r="D205" s="359"/>
      <c r="E205" t="s">
        <v>3336</v>
      </c>
      <c r="F205" s="788">
        <f>INDEX('A.3. Conso_chaudière_indus'!B10:J14,MATCH(F203,'A.3. Conso_chaudière_indus'!B10:B14,0),MATCH(F204,'A.3. Conso_chaudière_indus'!B9:J9,0))</f>
        <v>245.10679611650485</v>
      </c>
      <c r="G205" s="360"/>
      <c r="I205" s="359"/>
      <c r="M205" s="360"/>
    </row>
    <row r="206" spans="2:13" x14ac:dyDescent="0.2">
      <c r="B206" s="33" t="s">
        <v>300</v>
      </c>
      <c r="D206" s="359"/>
      <c r="G206" s="360"/>
      <c r="H206" s="575"/>
      <c r="I206" s="359"/>
      <c r="M206" s="360"/>
    </row>
    <row r="207" spans="2:13" ht="15.75" x14ac:dyDescent="0.25">
      <c r="B207" t="s">
        <v>301</v>
      </c>
      <c r="D207" s="359"/>
      <c r="E207" t="s">
        <v>3337</v>
      </c>
      <c r="F207" s="545"/>
      <c r="G207" s="844"/>
      <c r="H207" s="560"/>
      <c r="I207" s="906"/>
      <c r="J207" s="661" t="s">
        <v>3309</v>
      </c>
      <c r="M207" s="360"/>
    </row>
    <row r="208" spans="2:13" ht="29.1" customHeight="1" x14ac:dyDescent="0.25">
      <c r="D208" s="359"/>
      <c r="E208" s="207" t="s">
        <v>3338</v>
      </c>
      <c r="F208" s="545"/>
      <c r="G208" s="786"/>
      <c r="H208" s="513"/>
      <c r="I208" s="905"/>
      <c r="J208" s="912">
        <f>((F210*1000000*'D.1. Facteur d''émissions'!C8)*'3.1 Affaires CO2 - Clients 360'!K203)/1000+((F210*1000000*'D.1. Facteur d''émissions'!C8)*'3.1 Affaires CO2 - Clients 360'!K204)/1000</f>
        <v>11716.104854368932</v>
      </c>
      <c r="K208" s="1" t="s">
        <v>3339</v>
      </c>
      <c r="M208" s="360"/>
    </row>
    <row r="209" spans="2:18" x14ac:dyDescent="0.2">
      <c r="D209" s="359"/>
      <c r="F209" s="546"/>
      <c r="G209" s="787"/>
      <c r="H209" s="513"/>
      <c r="I209" s="905"/>
      <c r="M209" s="360"/>
    </row>
    <row r="210" spans="2:18" x14ac:dyDescent="0.2">
      <c r="D210" s="359"/>
      <c r="E210" t="s">
        <v>3340</v>
      </c>
      <c r="F210" s="788">
        <f>IF(AND(F207="",F208=""),F205,IF(F208="",F207,F208))</f>
        <v>245.10679611650485</v>
      </c>
      <c r="G210" s="787"/>
      <c r="H210" s="513"/>
      <c r="I210" s="359"/>
      <c r="M210" s="360"/>
    </row>
    <row r="211" spans="2:18" x14ac:dyDescent="0.2">
      <c r="B211" s="33"/>
      <c r="D211" s="359"/>
      <c r="G211" s="360"/>
      <c r="H211" s="513"/>
      <c r="I211" s="359"/>
      <c r="M211" s="360"/>
    </row>
    <row r="212" spans="2:18" ht="15" thickBot="1" x14ac:dyDescent="0.25">
      <c r="B212" s="583" t="s">
        <v>284</v>
      </c>
      <c r="D212" s="361"/>
      <c r="E212" s="363"/>
      <c r="F212" s="893"/>
      <c r="G212" s="821"/>
      <c r="H212" s="513"/>
      <c r="I212" s="359"/>
      <c r="M212" s="360"/>
    </row>
    <row r="213" spans="2:18" ht="15" thickBot="1" x14ac:dyDescent="0.25">
      <c r="B213" t="s">
        <v>303</v>
      </c>
      <c r="G213" s="513"/>
      <c r="H213" s="513"/>
      <c r="I213" s="359"/>
      <c r="M213" s="360"/>
    </row>
    <row r="214" spans="2:18" ht="23.25" x14ac:dyDescent="0.35">
      <c r="B214" s="33" t="s">
        <v>305</v>
      </c>
      <c r="D214" s="811" t="s">
        <v>893</v>
      </c>
      <c r="E214" s="789" t="s">
        <v>3341</v>
      </c>
      <c r="F214" s="895"/>
      <c r="G214" s="896"/>
      <c r="I214" s="359"/>
      <c r="M214" s="360"/>
    </row>
    <row r="215" spans="2:18" x14ac:dyDescent="0.2">
      <c r="D215" s="359"/>
      <c r="G215" s="360"/>
      <c r="H215" s="538"/>
      <c r="I215" s="359"/>
      <c r="M215" s="360"/>
    </row>
    <row r="216" spans="2:18" ht="15.75" thickBot="1" x14ac:dyDescent="0.3">
      <c r="B216" s="894" t="s">
        <v>416</v>
      </c>
      <c r="C216" s="370"/>
      <c r="D216" s="359"/>
      <c r="E216" s="1" t="s">
        <v>284</v>
      </c>
      <c r="G216" s="793" t="s">
        <v>3342</v>
      </c>
      <c r="I216" s="359"/>
      <c r="M216" s="360"/>
    </row>
    <row r="217" spans="2:18" ht="15" thickBot="1" x14ac:dyDescent="0.25">
      <c r="B217" s="33" t="s">
        <v>419</v>
      </c>
      <c r="C217" s="370"/>
      <c r="D217" s="359"/>
      <c r="E217" s="529" t="s">
        <v>303</v>
      </c>
      <c r="G217" s="529" t="s">
        <v>426</v>
      </c>
      <c r="I217" s="359"/>
      <c r="M217" s="360"/>
    </row>
    <row r="218" spans="2:18" x14ac:dyDescent="0.2">
      <c r="B218" s="33" t="s">
        <v>421</v>
      </c>
      <c r="D218" s="359"/>
      <c r="G218" s="360"/>
      <c r="I218" s="359"/>
      <c r="M218" s="360"/>
    </row>
    <row r="219" spans="2:18" x14ac:dyDescent="0.2">
      <c r="B219" s="33" t="s">
        <v>423</v>
      </c>
      <c r="D219" s="359"/>
      <c r="G219" s="360"/>
      <c r="H219" s="536"/>
      <c r="I219" s="359"/>
      <c r="M219" s="360"/>
    </row>
    <row r="220" spans="2:18" x14ac:dyDescent="0.2">
      <c r="B220" s="33" t="s">
        <v>424</v>
      </c>
      <c r="D220" s="359"/>
      <c r="G220" s="360"/>
      <c r="I220" s="359"/>
      <c r="M220" s="360"/>
    </row>
    <row r="221" spans="2:18" ht="15" x14ac:dyDescent="0.25">
      <c r="B221" s="33" t="s">
        <v>426</v>
      </c>
      <c r="D221" s="359"/>
      <c r="G221" s="360"/>
      <c r="H221" s="1"/>
      <c r="I221" s="359"/>
      <c r="J221" s="1"/>
      <c r="K221" s="434"/>
      <c r="L221" s="434"/>
      <c r="M221" s="727"/>
      <c r="N221" s="1"/>
      <c r="O221" s="434"/>
      <c r="P221" s="434"/>
      <c r="Q221" s="1"/>
      <c r="R221" s="312"/>
    </row>
    <row r="222" spans="2:18" ht="15.75" thickBot="1" x14ac:dyDescent="0.3">
      <c r="B222" s="33" t="s">
        <v>28</v>
      </c>
      <c r="D222" s="361"/>
      <c r="E222" s="363"/>
      <c r="F222" s="363"/>
      <c r="G222" s="364"/>
      <c r="H222" s="1"/>
      <c r="I222" s="361"/>
      <c r="J222" s="907"/>
      <c r="K222" s="908"/>
      <c r="L222" s="908"/>
      <c r="M222" s="909"/>
      <c r="N222" s="710"/>
      <c r="O222" s="138"/>
      <c r="P222" s="138"/>
      <c r="Q222" s="710"/>
    </row>
    <row r="223" spans="2:18" x14ac:dyDescent="0.2">
      <c r="J223" s="712"/>
      <c r="K223" s="513"/>
      <c r="L223" s="513"/>
      <c r="N223" s="198"/>
      <c r="Q223" s="698"/>
      <c r="R223" s="513"/>
    </row>
    <row r="224" spans="2:18" ht="15" x14ac:dyDescent="0.25">
      <c r="B224" s="894" t="s">
        <v>427</v>
      </c>
      <c r="I224" s="32"/>
      <c r="J224" s="712"/>
      <c r="K224" s="541"/>
      <c r="L224" s="541"/>
    </row>
    <row r="225" spans="2:10" x14ac:dyDescent="0.2">
      <c r="B225" s="33" t="s">
        <v>428</v>
      </c>
      <c r="J225" s="665"/>
    </row>
    <row r="226" spans="2:10" x14ac:dyDescent="0.2">
      <c r="B226" s="33" t="s">
        <v>361</v>
      </c>
    </row>
    <row r="227" spans="2:10" x14ac:dyDescent="0.2">
      <c r="B227" s="33" t="s">
        <v>362</v>
      </c>
    </row>
    <row r="228" spans="2:10" outlineLevel="1" x14ac:dyDescent="0.2">
      <c r="B228" s="33" t="s">
        <v>363</v>
      </c>
    </row>
    <row r="229" spans="2:10" outlineLevel="1" x14ac:dyDescent="0.2">
      <c r="B229" s="33" t="s">
        <v>367</v>
      </c>
    </row>
    <row r="230" spans="2:10" x14ac:dyDescent="0.2">
      <c r="B230" s="33" t="s">
        <v>426</v>
      </c>
    </row>
    <row r="231" spans="2:10" x14ac:dyDescent="0.2">
      <c r="B231" s="33" t="s">
        <v>430</v>
      </c>
    </row>
  </sheetData>
  <mergeCells count="6">
    <mergeCell ref="G78:G79"/>
    <mergeCell ref="N29:Q29"/>
    <mergeCell ref="M179:N179"/>
    <mergeCell ref="M55:N55"/>
    <mergeCell ref="M100:N100"/>
    <mergeCell ref="M139:N139"/>
  </mergeCells>
  <conditionalFormatting sqref="J50">
    <cfRule type="containsText" dxfId="39" priority="18" operator="containsText" text="faux">
      <formula>NOT(ISERROR(SEARCH("faux",J50)))</formula>
    </cfRule>
    <cfRule type="cellIs" dxfId="38" priority="19" operator="equal">
      <formula>TRUE</formula>
    </cfRule>
  </conditionalFormatting>
  <conditionalFormatting sqref="J95">
    <cfRule type="containsText" dxfId="37" priority="11" operator="containsText" text="faux">
      <formula>NOT(ISERROR(SEARCH("faux",J95)))</formula>
    </cfRule>
    <cfRule type="cellIs" dxfId="36" priority="12" operator="equal">
      <formula>TRUE</formula>
    </cfRule>
  </conditionalFormatting>
  <conditionalFormatting sqref="J134">
    <cfRule type="containsText" dxfId="35" priority="6" operator="containsText" text="faux">
      <formula>NOT(ISERROR(SEARCH("faux",J134)))</formula>
    </cfRule>
    <cfRule type="cellIs" dxfId="34" priority="7" operator="equal">
      <formula>TRUE</formula>
    </cfRule>
  </conditionalFormatting>
  <conditionalFormatting sqref="J174">
    <cfRule type="containsText" dxfId="33" priority="1" operator="containsText" text="faux">
      <formula>NOT(ISERROR(SEARCH("faux",J174)))</formula>
    </cfRule>
    <cfRule type="cellIs" dxfId="32" priority="2" operator="equal">
      <formula>TRUE</formula>
    </cfRule>
  </conditionalFormatting>
  <conditionalFormatting sqref="M46 M49 M52 M58">
    <cfRule type="cellIs" dxfId="31" priority="20" operator="equal">
      <formula>0</formula>
    </cfRule>
    <cfRule type="cellIs" dxfId="30" priority="21" operator="greaterThan">
      <formula>1</formula>
    </cfRule>
    <cfRule type="cellIs" dxfId="29" priority="22" operator="greaterThan">
      <formula>0</formula>
    </cfRule>
  </conditionalFormatting>
  <conditionalFormatting sqref="M91 M94 M97 M103">
    <cfRule type="cellIs" dxfId="28" priority="15" operator="equal">
      <formula>0</formula>
    </cfRule>
    <cfRule type="cellIs" dxfId="27" priority="16" operator="greaterThan">
      <formula>1</formula>
    </cfRule>
    <cfRule type="cellIs" dxfId="26" priority="17" operator="greaterThan">
      <formula>0</formula>
    </cfRule>
  </conditionalFormatting>
  <conditionalFormatting sqref="M130 M133 M136 M142">
    <cfRule type="cellIs" dxfId="25" priority="8" operator="equal">
      <formula>0</formula>
    </cfRule>
    <cfRule type="cellIs" dxfId="24" priority="9" operator="greaterThan">
      <formula>1</formula>
    </cfRule>
    <cfRule type="cellIs" dxfId="23" priority="10" operator="greaterThan">
      <formula>0</formula>
    </cfRule>
  </conditionalFormatting>
  <conditionalFormatting sqref="M170 M173 M176 M182">
    <cfRule type="cellIs" dxfId="22" priority="3" operator="equal">
      <formula>0</formula>
    </cfRule>
    <cfRule type="cellIs" dxfId="21" priority="4" operator="greaterThan">
      <formula>1</formula>
    </cfRule>
    <cfRule type="cellIs" dxfId="20" priority="5" operator="greaterThan">
      <formula>0</formula>
    </cfRule>
  </conditionalFormatting>
  <dataValidations count="11">
    <dataValidation type="list" allowBlank="1" showInputMessage="1" showErrorMessage="1" sqref="E88" xr:uid="{9E7F45DA-0853-4B88-8E83-AE1155BA3679}">
      <formula1>$B$74:$B$78</formula1>
    </dataValidation>
    <dataValidation type="list" allowBlank="1" showInputMessage="1" showErrorMessage="1" sqref="E129" xr:uid="{6CBC2F15-795F-47DC-883E-F2839C789D66}">
      <formula1>$B$117:$B$119</formula1>
    </dataValidation>
    <dataValidation type="list" allowBlank="1" showInputMessage="1" showErrorMessage="1" sqref="G44" xr:uid="{123745D7-93D2-4C44-94FD-05E34DA9483A}">
      <formula1>$B$44:$B$49</formula1>
    </dataValidation>
    <dataValidation type="list" allowBlank="1" showInputMessage="1" showErrorMessage="1" sqref="G88" xr:uid="{095849AD-A854-4B68-BCEC-13288589C0F0}">
      <formula1>$B$81:$B$83</formula1>
    </dataValidation>
    <dataValidation type="list" allowBlank="1" showInputMessage="1" showErrorMessage="1" sqref="E44" xr:uid="{A1E1C392-5BB3-4569-B6DE-E58F26034CAD}">
      <formula1>$B$36:$B$41</formula1>
    </dataValidation>
    <dataValidation type="list" allowBlank="1" showInputMessage="1" showErrorMessage="1" sqref="G129" xr:uid="{5A4B5B0C-8103-4EDE-878A-9DFECE0684CF}">
      <formula1>$B$123:$B$126</formula1>
    </dataValidation>
    <dataValidation type="list" allowBlank="1" showInputMessage="1" showErrorMessage="1" sqref="E169" xr:uid="{C8D9EEB3-11E5-4DCB-A54D-1B4C825634E8}">
      <formula1>$B$156:$B$163</formula1>
    </dataValidation>
    <dataValidation type="list" allowBlank="1" showInputMessage="1" showErrorMessage="1" sqref="H168 G169" xr:uid="{132458AA-C241-4BDF-BC05-7F283B67261E}">
      <formula1>$B$166:$B$169</formula1>
    </dataValidation>
    <dataValidation type="list" allowBlank="1" showInputMessage="1" showErrorMessage="1" sqref="E217 F203" xr:uid="{1D5A7995-EC93-4C1F-AF17-37BD90FD8996}">
      <formula1>$B$213:$B$214</formula1>
    </dataValidation>
    <dataValidation type="list" allowBlank="1" showInputMessage="1" showErrorMessage="1" sqref="F204" xr:uid="{091A2892-FBEC-4266-A837-AD3B16857FC9}">
      <formula1>$B$201:$B$207</formula1>
    </dataValidation>
    <dataValidation type="list" allowBlank="1" showInputMessage="1" showErrorMessage="1" sqref="G217" xr:uid="{9151BE5F-E2FA-4581-A261-3D27DD4FE5C6}">
      <formula1>$B$225:$B$230</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D5000-63A1-4D8A-BE41-C16D484238FD}">
  <sheetPr>
    <tabColor rgb="FFFCCECE"/>
  </sheetPr>
  <dimension ref="A1:X311"/>
  <sheetViews>
    <sheetView showGridLines="0" topLeftCell="A145" zoomScale="85" zoomScaleNormal="85" workbookViewId="0">
      <selection activeCell="E199" sqref="E199"/>
    </sheetView>
  </sheetViews>
  <sheetFormatPr baseColWidth="10" defaultColWidth="11" defaultRowHeight="14.25" outlineLevelRow="1" outlineLevelCol="1" x14ac:dyDescent="0.2"/>
  <cols>
    <col min="2" max="2" width="30.25" customWidth="1" outlineLevel="1"/>
    <col min="3" max="3" width="10.875" customWidth="1" outlineLevel="1"/>
    <col min="4" max="4" width="4.875" customWidth="1"/>
    <col min="5" max="5" width="46.625" customWidth="1"/>
    <col min="6" max="6" width="13.125" customWidth="1"/>
    <col min="7" max="7" width="31.875" customWidth="1"/>
    <col min="8" max="8" width="9.5" customWidth="1"/>
    <col min="9" max="9" width="18.625" customWidth="1"/>
    <col min="10" max="10" width="41.875" customWidth="1"/>
    <col min="11" max="11" width="16.75" customWidth="1"/>
    <col min="12" max="12" width="12" customWidth="1"/>
    <col min="13" max="13" width="22.875" customWidth="1"/>
    <col min="14" max="14" width="39.25" customWidth="1"/>
    <col min="15" max="15" width="12.875" customWidth="1"/>
    <col min="16" max="16" width="4" customWidth="1"/>
    <col min="17" max="17" width="6.125" customWidth="1"/>
    <col min="18" max="18" width="41.375" customWidth="1"/>
    <col min="19" max="19" width="14.75" customWidth="1"/>
  </cols>
  <sheetData>
    <row r="1" spans="5:6" ht="20.25" x14ac:dyDescent="0.3">
      <c r="E1" s="630"/>
    </row>
    <row r="2" spans="5:6" ht="15" x14ac:dyDescent="0.25">
      <c r="E2" s="86" t="s">
        <v>222</v>
      </c>
    </row>
    <row r="3" spans="5:6" x14ac:dyDescent="0.2">
      <c r="E3" s="3"/>
      <c r="F3" t="s">
        <v>223</v>
      </c>
    </row>
    <row r="5" spans="5:6" ht="18" x14ac:dyDescent="0.25">
      <c r="E5" s="573" t="s">
        <v>3343</v>
      </c>
    </row>
    <row r="6" spans="5:6" ht="15.75" x14ac:dyDescent="0.25">
      <c r="E6" s="18" t="s">
        <v>3280</v>
      </c>
    </row>
    <row r="8" spans="5:6" ht="15.75" x14ac:dyDescent="0.25">
      <c r="E8" s="584" t="s">
        <v>3281</v>
      </c>
    </row>
    <row r="9" spans="5:6" ht="15.75" x14ac:dyDescent="0.25">
      <c r="E9" s="740" t="s">
        <v>3282</v>
      </c>
    </row>
    <row r="10" spans="5:6" ht="5.0999999999999996" customHeight="1" x14ac:dyDescent="0.2">
      <c r="E10" s="740"/>
    </row>
    <row r="11" spans="5:6" ht="15" x14ac:dyDescent="0.2">
      <c r="E11" s="740" t="s">
        <v>3283</v>
      </c>
    </row>
    <row r="12" spans="5:6" ht="15" x14ac:dyDescent="0.2">
      <c r="E12" s="813" t="s">
        <v>3284</v>
      </c>
    </row>
    <row r="13" spans="5:6" ht="15" x14ac:dyDescent="0.2">
      <c r="E13" s="813" t="s">
        <v>3285</v>
      </c>
    </row>
    <row r="14" spans="5:6" ht="15" x14ac:dyDescent="0.2">
      <c r="E14" s="813" t="s">
        <v>3286</v>
      </c>
    </row>
    <row r="15" spans="5:6" ht="15" x14ac:dyDescent="0.2">
      <c r="E15" s="813" t="s">
        <v>3287</v>
      </c>
    </row>
    <row r="16" spans="5:6" ht="15" x14ac:dyDescent="0.2">
      <c r="E16" s="813" t="s">
        <v>3288</v>
      </c>
    </row>
    <row r="17" spans="4:17" ht="15" x14ac:dyDescent="0.2">
      <c r="E17" s="813"/>
    </row>
    <row r="18" spans="4:17" ht="15.75" x14ac:dyDescent="0.25">
      <c r="E18" s="584"/>
    </row>
    <row r="19" spans="4:17" ht="15" x14ac:dyDescent="0.2">
      <c r="E19" s="814"/>
    </row>
    <row r="20" spans="4:17" ht="15" x14ac:dyDescent="0.2">
      <c r="E20" s="740"/>
      <c r="N20" s="48"/>
    </row>
    <row r="21" spans="4:17" ht="15" x14ac:dyDescent="0.2">
      <c r="E21" s="740"/>
      <c r="N21" s="48"/>
    </row>
    <row r="22" spans="4:17" ht="15" x14ac:dyDescent="0.2">
      <c r="E22" s="740"/>
      <c r="N22" s="48"/>
    </row>
    <row r="23" spans="4:17" ht="15.75" x14ac:dyDescent="0.25">
      <c r="E23" s="352" t="s">
        <v>3344</v>
      </c>
    </row>
    <row r="24" spans="4:17" ht="15" x14ac:dyDescent="0.2">
      <c r="E24" s="740"/>
    </row>
    <row r="25" spans="4:17" ht="15" x14ac:dyDescent="0.2">
      <c r="E25" s="740"/>
    </row>
    <row r="26" spans="4:17" ht="15.75" x14ac:dyDescent="0.25">
      <c r="E26" s="352" t="s">
        <v>222</v>
      </c>
    </row>
    <row r="28" spans="4:17" ht="23.25" x14ac:dyDescent="0.35">
      <c r="E28" s="829" t="s">
        <v>165</v>
      </c>
    </row>
    <row r="29" spans="4:17" ht="12" customHeight="1" x14ac:dyDescent="0.2">
      <c r="N29" s="1216"/>
      <c r="O29" s="1216"/>
      <c r="P29" s="1216"/>
      <c r="Q29" s="1216"/>
    </row>
    <row r="30" spans="4:17" ht="12" customHeight="1" thickBot="1" x14ac:dyDescent="0.25">
      <c r="N30" s="544"/>
      <c r="O30" s="544"/>
      <c r="P30" s="544"/>
      <c r="Q30" s="544"/>
    </row>
    <row r="31" spans="4:17" ht="21" customHeight="1" x14ac:dyDescent="0.35">
      <c r="D31" s="915">
        <v>1</v>
      </c>
      <c r="E31" s="789" t="s">
        <v>3295</v>
      </c>
      <c r="F31" s="362"/>
      <c r="G31" s="358"/>
      <c r="I31" s="915">
        <v>5</v>
      </c>
      <c r="J31" s="797" t="s">
        <v>3296</v>
      </c>
      <c r="K31" s="358"/>
      <c r="N31" s="544"/>
      <c r="O31" s="544"/>
      <c r="P31" s="544"/>
      <c r="Q31" s="544"/>
    </row>
    <row r="32" spans="4:17" x14ac:dyDescent="0.2">
      <c r="D32" s="359"/>
      <c r="E32" s="207" t="s">
        <v>3297</v>
      </c>
      <c r="F32" s="784"/>
      <c r="G32" s="785" t="s">
        <v>3328</v>
      </c>
      <c r="H32" s="580"/>
      <c r="I32" s="359"/>
      <c r="J32" s="501"/>
      <c r="K32" s="360"/>
      <c r="N32" s="544"/>
      <c r="O32" s="544"/>
      <c r="P32" s="544"/>
      <c r="Q32" s="544"/>
    </row>
    <row r="33" spans="2:24" ht="16.5" thickBot="1" x14ac:dyDescent="0.3">
      <c r="D33" s="359"/>
      <c r="E33" s="207"/>
      <c r="F33" s="546"/>
      <c r="G33" s="786"/>
      <c r="H33" s="560"/>
      <c r="I33" s="359"/>
      <c r="J33" s="18" t="s">
        <v>3299</v>
      </c>
      <c r="K33" s="727"/>
      <c r="N33" s="544"/>
      <c r="O33" s="544"/>
      <c r="P33" s="544"/>
      <c r="Q33" s="562"/>
    </row>
    <row r="34" spans="2:24" ht="18.600000000000001" customHeight="1" thickBot="1" x14ac:dyDescent="0.25">
      <c r="D34" s="359"/>
      <c r="E34" s="370" t="s">
        <v>236</v>
      </c>
      <c r="F34" s="546"/>
      <c r="G34" s="787"/>
      <c r="H34" s="513"/>
      <c r="I34" s="799"/>
      <c r="J34" s="839">
        <f>IF(J40="",F40*-J35,F40*-J40)</f>
        <v>29432.1</v>
      </c>
      <c r="K34" s="728" t="str">
        <f>IF(J59="","kWh PCI/an","kWh EP/an")</f>
        <v>kWh EP/an</v>
      </c>
      <c r="O34" s="544"/>
      <c r="P34" s="544"/>
      <c r="Q34" s="544"/>
    </row>
    <row r="35" spans="2:24" ht="30.6" customHeight="1" x14ac:dyDescent="0.2">
      <c r="B35" s="370" t="s">
        <v>230</v>
      </c>
      <c r="C35" s="370"/>
      <c r="D35" s="359"/>
      <c r="E35" s="207" t="s">
        <v>3635</v>
      </c>
      <c r="F35" s="788">
        <f>IF(F38="H2",IF(OR(E47="Chaudière fioul standard de plus de 15 ans",E47="Chaudière fioul THPE"),VLOOKUP(E47,'A.1. Conso_bâtiment_EF H2'!E102:AC123,24,0)*'A.1. Conso_bâtiment_EF H2'!M12,VLOOKUP(E47,'A.1. Conso_bâtiment_EF H2'!E102:AC123,22,0)*'A.1. Conso_bâtiment_EF H2'!M13),IF(F38="H1",IF(OR(E47="Chaudière fioul standard de plus de 15 ans",E47="Chaudière fioul THPE"),VLOOKUP(E47,'A.1. Conso_bâtiment_EF H1'!E102:AC123,24,0)*'A.1. Conso_bâtiment_EF H1'!M12,VLOOKUP(E47,'A.1. Conso_bâtiment_EF H1'!E102:AC123,22,0)*'A.1. Conso_bâtiment_EF H1'!M13),IF(F38="H3",IF(OR(E47="Chaudière fioul standard de plus de 15 ans",E47="Chaudière fioul THPE"),VLOOKUP(E47,'A.1. Conso_bâtiment_EF H3'!E102:AC123,24,0)*'A.1. Conso_bâtiment_EF H3'!M12,VLOOKUP(E47,'A.1. Conso_bâtiment_EF H3'!E102:AC123,22,0)*'A.1. Conso_bâtiment_EF H3'!M13),"")))</f>
        <v>152135.5</v>
      </c>
      <c r="G35" s="787"/>
      <c r="H35" s="513"/>
      <c r="I35" s="806" t="str">
        <f>IF(J40="","soit (cas moyen)","")</f>
        <v>soit (cas moyen)</v>
      </c>
      <c r="J35" s="812" cm="1">
        <f t="array" ref="J35">IF(J40="",INDEX('A.2. Performances_Bâtiment H2'!D83:M94,'3.2 Outil carbone'!J87,'3.2 Outil carbone'!J88),"")</f>
        <v>-0.19345977763243949</v>
      </c>
      <c r="K35" s="846" t="str">
        <f>IF(J40="",IF(J35&gt;0,"de consommation énergétique supplémentaire","d'économies d'énergie"),"")</f>
        <v>d'économies d'énergie</v>
      </c>
      <c r="N35" s="544"/>
      <c r="O35" s="544"/>
      <c r="P35" s="544"/>
      <c r="Q35" s="544"/>
    </row>
    <row r="36" spans="2:24" ht="18.600000000000001" customHeight="1" x14ac:dyDescent="0.2">
      <c r="B36" t="s">
        <v>182</v>
      </c>
      <c r="D36" s="359"/>
      <c r="F36" s="818"/>
      <c r="G36" s="787"/>
      <c r="H36" s="513"/>
      <c r="I36" s="359"/>
      <c r="K36" s="787"/>
      <c r="N36" s="544"/>
      <c r="O36" s="544"/>
      <c r="P36" s="544"/>
      <c r="Q36" s="544"/>
    </row>
    <row r="37" spans="2:24" ht="18.600000000000001" customHeight="1" x14ac:dyDescent="0.2">
      <c r="D37" s="359"/>
      <c r="E37" s="207" t="s">
        <v>3536</v>
      </c>
      <c r="F37" s="989" t="s">
        <v>3578</v>
      </c>
      <c r="G37" s="787"/>
      <c r="H37" s="513"/>
      <c r="I37" s="359"/>
      <c r="K37" s="787"/>
      <c r="N37" s="544"/>
      <c r="O37" s="544"/>
      <c r="P37" s="544"/>
      <c r="Q37" s="544"/>
    </row>
    <row r="38" spans="2:24" ht="18.600000000000001" customHeight="1" x14ac:dyDescent="0.2">
      <c r="D38" s="359"/>
      <c r="E38" s="207" t="s">
        <v>3634</v>
      </c>
      <c r="F38" s="990" t="str">
        <f>VLOOKUP(F37,'Correspondance département'!$B$2:$C$99,2,FALSE)</f>
        <v>H2</v>
      </c>
      <c r="G38" s="787"/>
      <c r="H38" s="513"/>
      <c r="I38" s="359"/>
      <c r="K38" s="787"/>
      <c r="N38" s="544"/>
      <c r="O38" s="544"/>
      <c r="P38" s="544"/>
      <c r="Q38" s="544"/>
    </row>
    <row r="39" spans="2:24" ht="18.600000000000001" customHeight="1" thickBot="1" x14ac:dyDescent="0.25">
      <c r="D39" s="359"/>
      <c r="E39" s="207"/>
      <c r="F39" s="207"/>
      <c r="G39" s="787"/>
      <c r="H39" s="513"/>
      <c r="I39" s="359"/>
      <c r="K39" s="787"/>
      <c r="N39" s="544"/>
      <c r="O39" s="544"/>
      <c r="P39" s="544"/>
      <c r="Q39" s="544"/>
    </row>
    <row r="40" spans="2:24" ht="15.75" thickBot="1" x14ac:dyDescent="0.3">
      <c r="B40" t="s">
        <v>185</v>
      </c>
      <c r="D40" s="359"/>
      <c r="E40" t="s">
        <v>3301</v>
      </c>
      <c r="F40" s="840">
        <f>IF(F32="",F35,F32)</f>
        <v>152135.5</v>
      </c>
      <c r="G40" s="360" t="s">
        <v>3302</v>
      </c>
      <c r="H40" s="538"/>
      <c r="I40" s="802" t="s">
        <v>257</v>
      </c>
      <c r="J40" s="556"/>
      <c r="K40" s="787" t="s">
        <v>3303</v>
      </c>
    </row>
    <row r="41" spans="2:24" ht="15" thickBot="1" x14ac:dyDescent="0.25">
      <c r="B41" t="s">
        <v>186</v>
      </c>
      <c r="D41" s="361"/>
      <c r="E41" s="363"/>
      <c r="F41" s="363"/>
      <c r="G41" s="364"/>
      <c r="I41" s="359"/>
      <c r="J41" s="537" t="s">
        <v>258</v>
      </c>
      <c r="K41" s="787"/>
      <c r="Q41" s="558"/>
      <c r="R41" s="559"/>
    </row>
    <row r="42" spans="2:24" ht="15" thickBot="1" x14ac:dyDescent="0.25">
      <c r="B42" t="s">
        <v>189</v>
      </c>
      <c r="C42" s="207"/>
      <c r="I42" s="361"/>
      <c r="J42" s="363"/>
      <c r="K42" s="821"/>
      <c r="Q42" s="198"/>
      <c r="R42" s="559"/>
    </row>
    <row r="43" spans="2:24" ht="31.5" thickBot="1" x14ac:dyDescent="0.4">
      <c r="B43" s="207" t="s">
        <v>196</v>
      </c>
      <c r="D43" s="915">
        <v>2</v>
      </c>
      <c r="E43" s="789" t="s">
        <v>3304</v>
      </c>
      <c r="F43" s="790"/>
      <c r="G43" s="358"/>
      <c r="K43" s="541"/>
      <c r="V43" s="273"/>
    </row>
    <row r="44" spans="2:24" ht="23.25" x14ac:dyDescent="0.35">
      <c r="B44" t="s">
        <v>197</v>
      </c>
      <c r="D44" s="359"/>
      <c r="G44" s="360"/>
      <c r="I44" s="915">
        <v>6</v>
      </c>
      <c r="J44" s="797" t="s">
        <v>3345</v>
      </c>
      <c r="K44" s="362"/>
      <c r="L44" s="362"/>
      <c r="M44" s="798"/>
      <c r="N44" s="362"/>
      <c r="O44" s="358"/>
      <c r="R44" s="856">
        <v>6</v>
      </c>
      <c r="S44" s="797" t="s">
        <v>3827</v>
      </c>
      <c r="T44" s="362"/>
      <c r="U44" s="362"/>
      <c r="V44" s="358"/>
      <c r="W44" s="816"/>
      <c r="X44" s="131"/>
    </row>
    <row r="45" spans="2:24" ht="23.25" x14ac:dyDescent="0.35">
      <c r="B45" t="s">
        <v>191</v>
      </c>
      <c r="D45" s="359"/>
      <c r="G45" s="360"/>
      <c r="I45" s="836"/>
      <c r="J45" s="831"/>
      <c r="M45" s="198"/>
      <c r="O45" s="360"/>
      <c r="R45" s="359" t="s">
        <v>3792</v>
      </c>
      <c r="V45" s="360"/>
      <c r="W45" s="816"/>
      <c r="X45" s="131"/>
    </row>
    <row r="46" spans="2:24" ht="18.75" thickBot="1" x14ac:dyDescent="0.3">
      <c r="B46" s="370" t="s">
        <v>246</v>
      </c>
      <c r="C46" s="370"/>
      <c r="D46" s="359"/>
      <c r="E46" s="18" t="s">
        <v>284</v>
      </c>
      <c r="G46" s="791" t="s">
        <v>3346</v>
      </c>
      <c r="I46" s="359"/>
      <c r="M46" s="501"/>
      <c r="O46" s="360"/>
      <c r="R46" s="359"/>
      <c r="T46" t="s">
        <v>3776</v>
      </c>
      <c r="V46" s="360"/>
      <c r="W46" s="816"/>
      <c r="X46" s="131"/>
    </row>
    <row r="47" spans="2:24" ht="15.6" customHeight="1" thickBot="1" x14ac:dyDescent="0.3">
      <c r="B47" t="s">
        <v>185</v>
      </c>
      <c r="D47" s="359"/>
      <c r="E47" s="581" t="s">
        <v>196</v>
      </c>
      <c r="G47" s="581" t="s">
        <v>187</v>
      </c>
      <c r="I47" s="808"/>
      <c r="J47" s="18" t="s">
        <v>3308</v>
      </c>
      <c r="K47" s="434"/>
      <c r="L47" s="434"/>
      <c r="M47" s="661" t="s">
        <v>3309</v>
      </c>
      <c r="N47" s="25"/>
      <c r="O47" s="360"/>
      <c r="R47" s="1123" t="s">
        <v>3827</v>
      </c>
      <c r="S47" s="1075"/>
      <c r="T47" s="1090"/>
      <c r="V47" s="360"/>
      <c r="W47" s="816"/>
      <c r="X47" s="131"/>
    </row>
    <row r="48" spans="2:24" ht="17.45" customHeight="1" thickBot="1" x14ac:dyDescent="0.3">
      <c r="B48" t="s">
        <v>186</v>
      </c>
      <c r="D48" s="359"/>
      <c r="G48" s="360"/>
      <c r="I48" s="799"/>
      <c r="J48" s="839">
        <f>F40-J34</f>
        <v>122703.4</v>
      </c>
      <c r="K48" s="138" t="str">
        <f>IF(J59="","kWh PCI/an","kWh EP/an")</f>
        <v>kWh EP/an</v>
      </c>
      <c r="L48" s="138"/>
      <c r="M48" s="606" t="s">
        <v>3310</v>
      </c>
      <c r="N48" s="25"/>
      <c r="O48" s="360"/>
      <c r="R48" s="1093" t="s">
        <v>3788</v>
      </c>
      <c r="S48" s="1094">
        <f>IF(OR(E47="Chaudière fioul THPE",E47="Chaudière fioul standard de plus de 15 ans"),((F40*'D.1. Facteur d''émissions'!C7)-((VLOOKUP("PAC élec air/eau",'A.1. Conso_bâtiment_EF H2'!E103:AC124,23,0)*'A.1. Conso_bâtiment_EF H2'!M13*'D.1. Facteur d''émissions'!C16)))/1000,((F40*'D.1. Facteur d''émissions'!C8)-((VLOOKUP("PAC élec air/eau",'A.1. Conso_bâtiment_EF H2'!E103:AC124,23,0)*'A.1. Conso_bâtiment_EF H2'!M13*'D.1. Facteur d''émissions'!C16)))/1000)</f>
        <v>44.311031500000006</v>
      </c>
      <c r="T48" s="1090">
        <f>S48*15</f>
        <v>664.66547250000008</v>
      </c>
      <c r="V48" s="360"/>
    </row>
    <row r="49" spans="2:24" ht="16.5" thickBot="1" x14ac:dyDescent="0.3">
      <c r="B49" t="s">
        <v>191</v>
      </c>
      <c r="D49" s="361"/>
      <c r="E49" s="363"/>
      <c r="F49" s="363"/>
      <c r="G49" s="364"/>
      <c r="I49" s="359"/>
      <c r="L49" s="834" t="s">
        <v>3311</v>
      </c>
      <c r="M49" s="830">
        <f>IF(AND(OR(E47="Chaudière fioul THPE",E47="Chaudière fioul standard de plus de 15 ans"),J59=""),((F40*'D.1. Facteur d''émissions'!C7)-(('3.2 Outil carbone'!J48*E54*'D.1. Facteur d''émissions'!C11)+('3.2 Outil carbone'!J48*(1-E54)*'D.1. Facteur d''émissions'!C8)))/1000,0)</f>
        <v>0</v>
      </c>
      <c r="N49" s="807" t="s">
        <v>3312</v>
      </c>
      <c r="O49" s="360"/>
      <c r="R49" s="1074" t="s">
        <v>3787</v>
      </c>
      <c r="S49" s="1095">
        <f>S50/T48</f>
        <v>135.40646193262279</v>
      </c>
      <c r="T49" t="s">
        <v>3776</v>
      </c>
      <c r="V49" s="360"/>
      <c r="X49" s="1"/>
    </row>
    <row r="50" spans="2:24" ht="15.75" thickBot="1" x14ac:dyDescent="0.3">
      <c r="B50" t="s">
        <v>189</v>
      </c>
      <c r="G50" s="1"/>
      <c r="H50" s="1"/>
      <c r="I50" s="809" t="s">
        <v>3313</v>
      </c>
      <c r="L50" s="733"/>
      <c r="M50" s="25"/>
      <c r="N50" s="25"/>
      <c r="O50" s="360"/>
      <c r="R50" s="1074" t="s">
        <v>3828</v>
      </c>
      <c r="S50" s="1091">
        <f>'C.1 Facteurs éco - coûts'!G26</f>
        <v>90000</v>
      </c>
      <c r="V50" s="360"/>
      <c r="X50" s="779"/>
    </row>
    <row r="51" spans="2:24" ht="24" thickBot="1" x14ac:dyDescent="0.4">
      <c r="B51" t="s">
        <v>187</v>
      </c>
      <c r="D51" s="915">
        <v>3</v>
      </c>
      <c r="E51" s="789" t="s">
        <v>3318</v>
      </c>
      <c r="F51" s="362"/>
      <c r="G51" s="358"/>
      <c r="H51" s="777"/>
      <c r="I51" s="800" t="s">
        <v>3314</v>
      </c>
      <c r="J51" s="842">
        <f>IF(J55="",J59,J55)</f>
        <v>0.35127055306427502</v>
      </c>
      <c r="K51" s="546"/>
      <c r="L51" s="834" t="s">
        <v>3315</v>
      </c>
      <c r="M51" s="606" t="s">
        <v>3316</v>
      </c>
      <c r="N51" s="25"/>
      <c r="O51" s="360"/>
      <c r="R51" s="359"/>
      <c r="V51" s="360"/>
    </row>
    <row r="52" spans="2:24" ht="15.75" thickBot="1" x14ac:dyDescent="0.3">
      <c r="B52" t="s">
        <v>188</v>
      </c>
      <c r="D52" s="359"/>
      <c r="G52" s="793"/>
      <c r="H52" s="663"/>
      <c r="I52" s="800" t="s">
        <v>3317</v>
      </c>
      <c r="J52" s="843">
        <f>IF(J56="",J60,J56)</f>
        <v>0.64872944693572498</v>
      </c>
      <c r="K52" s="546"/>
      <c r="L52" s="374"/>
      <c r="M52" s="830">
        <f>IF(AND(OR(E47="Chaudière fioul THPE",E47="Chaudière fioul standard de plus de 15 ans"),J59&lt;&gt;""),((F40*'D.1. Facteur d''émissions'!C7)-((M57*J51*E54*'D.1. Facteur d''émissions'!C11)+(M57*J51*(1-E54)*'D.1. Facteur d''émissions'!C8)+(M57*J52*'D.1. Facteur d''émissions'!C15)))/1000,0)</f>
        <v>41.198870500000005</v>
      </c>
      <c r="N52" s="25" t="s">
        <v>3312</v>
      </c>
      <c r="O52" s="360"/>
      <c r="R52" s="359"/>
      <c r="V52" s="360"/>
    </row>
    <row r="53" spans="2:24" ht="18.600000000000001" customHeight="1" thickBot="1" x14ac:dyDescent="0.3">
      <c r="B53" t="s">
        <v>190</v>
      </c>
      <c r="D53" s="359"/>
      <c r="E53" t="s">
        <v>3321</v>
      </c>
      <c r="G53" s="794"/>
      <c r="I53" s="837" t="str">
        <f>IF(J59="","","Check 100%")</f>
        <v>Check 100%</v>
      </c>
      <c r="J53" s="838" t="b">
        <f>IF(J59="","",(J51+J52)=100%)</f>
        <v>1</v>
      </c>
      <c r="K53" s="546"/>
      <c r="M53" s="783"/>
      <c r="N53" s="783"/>
      <c r="O53" s="360"/>
      <c r="R53" s="1123" t="s">
        <v>3832</v>
      </c>
      <c r="V53" s="360"/>
    </row>
    <row r="54" spans="2:24" ht="14.45" customHeight="1" thickBot="1" x14ac:dyDescent="0.3">
      <c r="D54" s="359"/>
      <c r="E54" s="781"/>
      <c r="F54" s="81"/>
      <c r="G54" s="795"/>
      <c r="H54" s="1"/>
      <c r="I54" s="810" t="s">
        <v>3319</v>
      </c>
      <c r="J54" s="513"/>
      <c r="L54" s="733"/>
      <c r="M54" s="606" t="s">
        <v>3320</v>
      </c>
      <c r="N54" s="25"/>
      <c r="O54" s="360"/>
      <c r="R54" s="359" t="s">
        <v>3789</v>
      </c>
      <c r="S54" s="1092">
        <f>IF(AND(OR(E47="Chaudière fioul THPE",E47="Chaudière fioul standard de plus de 15 ans"),J59=""),((F40*'D.1. Facteur d''émissions'!C7)-(('3.2 Outil carbone'!J48*'D.1. Facteur d''émissions'!C11)))/1000,0)</f>
        <v>0</v>
      </c>
      <c r="V54" s="360"/>
    </row>
    <row r="55" spans="2:24" ht="15.75" thickBot="1" x14ac:dyDescent="0.25">
      <c r="D55" s="361"/>
      <c r="E55" s="363"/>
      <c r="F55" s="363"/>
      <c r="G55" s="796"/>
      <c r="H55" s="777"/>
      <c r="I55" s="800" t="s">
        <v>3314</v>
      </c>
      <c r="J55" s="780"/>
      <c r="L55" s="834" t="s">
        <v>3322</v>
      </c>
      <c r="M55" s="830">
        <f>IF(OR(OR(E47="Chaudière fioul standard de plus de 15 ans",E47="Chaudière fioul THPE"),J59=""),0,((F40*'D.1. Facteur d''émissions'!C8)-((M57*J51*E54*'D.1. Facteur d''émissions'!C11)+(M57*J51*(1-E54)*'D.1. Facteur d''émissions'!C8)+(M57*J52*'D.1. Facteur d''émissions'!C15)))/1000)</f>
        <v>0</v>
      </c>
      <c r="N55" s="25" t="s">
        <v>3312</v>
      </c>
      <c r="O55" s="360"/>
      <c r="R55" s="359" t="s">
        <v>3790</v>
      </c>
      <c r="S55" s="1092">
        <f>IF(AND(OR(E47="Chaudière fioul THPE",E47="Chaudière fioul standard de plus de 15 ans"),J59&lt;&gt;""),((F40*'D.1. Facteur d''émissions'!C7)-((M57*J51*'D.1. Facteur d''émissions'!C11)+(M57*J52*'D.1. Facteur d''émissions'!C15)))/1000,0)</f>
        <v>45.812237750000001</v>
      </c>
      <c r="V55" s="360"/>
    </row>
    <row r="56" spans="2:24" ht="15.75" thickBot="1" x14ac:dyDescent="0.3">
      <c r="G56" s="1"/>
      <c r="H56" s="663"/>
      <c r="I56" s="800" t="s">
        <v>3317</v>
      </c>
      <c r="J56" s="780"/>
      <c r="L56" s="835"/>
      <c r="M56" s="783"/>
      <c r="N56" s="783"/>
      <c r="O56" s="360"/>
      <c r="R56" s="359" t="s">
        <v>3791</v>
      </c>
      <c r="S56" s="1092">
        <f>IF(OR(OR(E47="Chaudière fioul standard de plus de 15 ans",E47="Chaudière fioul THPE"),J59=""),0,((F40*'D.1. Facteur d''émissions'!C8)-((M57*J51*'D.1. Facteur d''émissions'!C11)+(M57*J52*'D.1. Facteur d''émissions'!C15)))/1000)</f>
        <v>0</v>
      </c>
      <c r="V56" s="360"/>
    </row>
    <row r="57" spans="2:24" ht="24.95" customHeight="1" x14ac:dyDescent="0.35">
      <c r="D57" s="915">
        <v>4</v>
      </c>
      <c r="E57" s="789" t="s">
        <v>3347</v>
      </c>
      <c r="F57" s="914" t="s">
        <v>3348</v>
      </c>
      <c r="G57" s="849"/>
      <c r="H57" s="663"/>
      <c r="I57" s="359"/>
      <c r="J57" s="803"/>
      <c r="L57" s="833"/>
      <c r="M57" s="827">
        <f>IF(J59="","",J48/(J51+J52*'D.1. Facteur d''émissions'!C47))</f>
        <v>66565.5</v>
      </c>
      <c r="N57" s="606" t="s">
        <v>3323</v>
      </c>
      <c r="O57" s="360"/>
      <c r="R57" s="359" t="s">
        <v>3793</v>
      </c>
      <c r="S57" s="1096">
        <f>IF(OR(OR(E47="Chaudière fioul THPE",E47="Chaudière fioul standard de plus de 15 ans"),J59&lt;&gt;""),0,((F40*'D.1. Facteur d''émissions'!C8)-(('3.2 Outil carbone'!J48*'D.1. Facteur d''émissions'!C11)))/1000)</f>
        <v>0</v>
      </c>
      <c r="T57" t="s">
        <v>3776</v>
      </c>
      <c r="V57" s="360"/>
    </row>
    <row r="58" spans="2:24" ht="15" x14ac:dyDescent="0.25">
      <c r="D58" s="359"/>
      <c r="F58" s="81"/>
      <c r="G58" s="795"/>
      <c r="H58" s="1"/>
      <c r="I58" s="809" t="s">
        <v>741</v>
      </c>
      <c r="L58" s="733"/>
      <c r="M58" s="1238" t="s">
        <v>3324</v>
      </c>
      <c r="N58" s="1238"/>
      <c r="O58" s="360"/>
      <c r="R58" s="1093" t="s">
        <v>3833</v>
      </c>
      <c r="S58" s="1120">
        <f>SUM(S54:S57)</f>
        <v>45.812237750000001</v>
      </c>
      <c r="T58" s="1090">
        <f>S58*15</f>
        <v>687.18356625000001</v>
      </c>
      <c r="V58" s="360"/>
    </row>
    <row r="59" spans="2:24" ht="15" x14ac:dyDescent="0.25">
      <c r="D59" s="359"/>
      <c r="E59" s="1" t="s">
        <v>3349</v>
      </c>
      <c r="G59" s="360"/>
      <c r="H59" s="778"/>
      <c r="I59" s="800" t="s">
        <v>3314</v>
      </c>
      <c r="J59" s="841">
        <f>IF(F38="H2",IF(VLOOKUP(G47,'A.1. Conso_bâtiment_EF H2'!E102:AC123,4,0)="Oui",VLOOKUP(G47,'A.1. Conso_bâtiment_EF H2'!E102:AC123,22,0)/VLOOKUP(G47,'A.1. Conso_bâtiment_EF H2'!E102:AC123,21,0),""),IF(F38="H1",IF(VLOOKUP(G47,'A.1. Conso_bâtiment_EF H1'!E102:AC123,4,0)="Oui",VLOOKUP(G47,'A.1. Conso_bâtiment_EF H1'!E102:AC123,22,0)/VLOOKUP(G47,'A.1. Conso_bâtiment_EF H1'!E102:AC123,21,0),""),IF(F38="H3",IF(VLOOKUP(G47,'A.1. Conso_bâtiment_EF H3'!E102:AC123,4,0)="Oui",VLOOKUP(G47,'A.1. Conso_bâtiment_EF H3'!E102:AC123,22,0)/VLOOKUP(G47,'A.1. Conso_bâtiment_EF H3'!E102:AC123,21,0),""),"")))</f>
        <v>0.35127055306427502</v>
      </c>
      <c r="M59" s="863"/>
      <c r="N59" s="783"/>
      <c r="O59" s="360"/>
      <c r="R59" s="359"/>
      <c r="V59" s="360"/>
    </row>
    <row r="60" spans="2:24" ht="15.75" thickBot="1" x14ac:dyDescent="0.3">
      <c r="D60" s="359"/>
      <c r="E60" s="850">
        <f>VLOOKUP(G47,'C.1 Facteurs éco - coûts'!C21:G26,5,0)</f>
        <v>75000</v>
      </c>
      <c r="G60" s="851" t="s">
        <v>3350</v>
      </c>
      <c r="H60" s="663"/>
      <c r="I60" s="800" t="str">
        <f>IF(J60="","","Part d'électricité (EF)*")</f>
        <v>Part d'électricité (EF)*</v>
      </c>
      <c r="J60" s="841">
        <f>IF(F38="H2",IF(VLOOKUP(G47,'A.1. Conso_bâtiment_EF H2'!E102:AC123,4,0)="Oui",VLOOKUP(G47,'A.1. Conso_bâtiment_EF H2'!E102:AC123,23,0)/VLOOKUP(G47,'A.1. Conso_bâtiment_EF H2'!E102:AC123,21,0),""),IF(F38="H1",IF(VLOOKUP(G47,'A.1. Conso_bâtiment_EF H1'!E102:AC123,4,0)="Oui",VLOOKUP(G47,'A.1. Conso_bâtiment_EF H1'!E102:AC123,23,0)/VLOOKUP(G47,'A.1. Conso_bâtiment_EF H1'!E102:AC123,21,0),""),IF(F38="H3",IF(VLOOKUP(G47,'A.1. Conso_bâtiment_EF H3'!E102:AC123,4,0)="Oui",VLOOKUP(G47,'A.1. Conso_bâtiment_EF H3'!E102:AC123,23,0)/VLOOKUP(G47,'A.1. Conso_bâtiment_EF H3'!E102:AC123,21,0),""),"")))</f>
        <v>0.64872944693572498</v>
      </c>
      <c r="L60" s="834" t="s">
        <v>3325</v>
      </c>
      <c r="M60" s="606" t="s">
        <v>3326</v>
      </c>
      <c r="N60" s="201"/>
      <c r="O60" s="360"/>
      <c r="R60" s="359"/>
      <c r="V60" s="360"/>
      <c r="W60" s="455"/>
    </row>
    <row r="61" spans="2:24" ht="16.5" thickBot="1" x14ac:dyDescent="0.3">
      <c r="D61" s="359"/>
      <c r="F61" s="1239" t="s">
        <v>3351</v>
      </c>
      <c r="G61" s="848">
        <f>IF(E63="",E60,E63)</f>
        <v>75000</v>
      </c>
      <c r="H61" s="663"/>
      <c r="I61" s="800"/>
      <c r="J61" s="455" t="str">
        <f>IF(J59="","","*si solution hybride")</f>
        <v>*si solution hybride</v>
      </c>
      <c r="K61" s="455"/>
      <c r="M61" s="830">
        <f>IF(OR(OR(E47="Chaudière fioul THPE",E47="Chaudière fioul standard de plus de 15 ans"),J59&lt;&gt;""),0,((F40*'D.1. Facteur d''émissions'!C8)-(('3.2 Outil carbone'!J48*E54*'D.1. Facteur d''émissions'!C11)+('3.2 Outil carbone'!J48*(1-E54)*'D.1. Facteur d''émissions'!C8)))/1000)</f>
        <v>0</v>
      </c>
      <c r="N61" s="25" t="s">
        <v>3312</v>
      </c>
      <c r="O61" s="804"/>
      <c r="R61" s="1074" t="s">
        <v>3777</v>
      </c>
      <c r="S61" s="1122">
        <f>G61/T58</f>
        <v>109.14114318722621</v>
      </c>
      <c r="V61" s="360"/>
    </row>
    <row r="62" spans="2:24" ht="15" x14ac:dyDescent="0.25">
      <c r="D62" s="359"/>
      <c r="E62" s="1" t="s">
        <v>3352</v>
      </c>
      <c r="F62" s="1239"/>
      <c r="G62" s="793"/>
      <c r="H62" s="1"/>
      <c r="I62" s="359"/>
      <c r="M62" s="198"/>
      <c r="O62" s="360"/>
      <c r="Q62" s="198"/>
      <c r="R62" s="359"/>
      <c r="S62" s="1089"/>
      <c r="T62" s="1090"/>
      <c r="V62" s="360"/>
    </row>
    <row r="63" spans="2:24" ht="43.5" x14ac:dyDescent="0.25">
      <c r="D63" s="359"/>
      <c r="E63" s="847"/>
      <c r="G63" s="793"/>
      <c r="H63" s="1"/>
      <c r="I63" s="359"/>
      <c r="J63" s="207" t="s">
        <v>3767</v>
      </c>
      <c r="L63" s="434" t="s">
        <v>3353</v>
      </c>
      <c r="M63" s="861">
        <f>SUM(M49+M52+M55+M61)</f>
        <v>41.198870500000005</v>
      </c>
      <c r="N63" s="807" t="s">
        <v>3312</v>
      </c>
      <c r="O63" s="360"/>
      <c r="Q63" s="198"/>
      <c r="R63" s="359"/>
      <c r="V63" s="360"/>
    </row>
    <row r="64" spans="2:24" ht="15" x14ac:dyDescent="0.25">
      <c r="D64" s="359"/>
      <c r="G64" s="793"/>
      <c r="H64" s="1"/>
      <c r="I64" s="359"/>
      <c r="O64" s="360"/>
      <c r="Q64" s="198"/>
      <c r="R64" s="359"/>
      <c r="V64" s="360"/>
    </row>
    <row r="65" spans="4:22" ht="16.5" thickBot="1" x14ac:dyDescent="0.3">
      <c r="D65" s="359"/>
      <c r="E65" s="1" t="s">
        <v>3354</v>
      </c>
      <c r="G65" s="793" t="s">
        <v>3355</v>
      </c>
      <c r="H65" s="1"/>
      <c r="I65" s="359"/>
      <c r="J65" s="857"/>
      <c r="K65" s="858"/>
      <c r="O65" s="360"/>
      <c r="Q65" s="198"/>
      <c r="R65" s="359"/>
      <c r="V65" s="360"/>
    </row>
    <row r="66" spans="4:22" ht="16.5" thickBot="1" x14ac:dyDescent="0.3">
      <c r="D66" s="359"/>
      <c r="E66" s="854">
        <f>IF(E67="",'C.1 Facteurs éco - coûts'!E98,E67)</f>
        <v>0.1162</v>
      </c>
      <c r="G66" s="859">
        <f>IF(G67="",'C.1 Facteurs éco - coûts'!E101,G67)</f>
        <v>0.19209999999999999</v>
      </c>
      <c r="H66" s="1"/>
      <c r="I66" s="359"/>
      <c r="J66" s="862"/>
      <c r="K66" s="858"/>
      <c r="M66" s="901" t="s">
        <v>27</v>
      </c>
      <c r="N66" s="898"/>
      <c r="O66" s="360"/>
      <c r="Q66" s="198"/>
      <c r="R66" s="359"/>
      <c r="V66" s="360"/>
    </row>
    <row r="67" spans="4:22" ht="15.75" x14ac:dyDescent="0.25">
      <c r="D67" s="359"/>
      <c r="E67" s="855"/>
      <c r="G67" s="860"/>
      <c r="H67" s="1"/>
      <c r="I67" s="359"/>
      <c r="J67" s="858"/>
      <c r="K67" s="858"/>
      <c r="M67" s="899">
        <f>(M63*1000)/'D.2. Equivalents ADEME'!D5</f>
        <v>9363.3796590909096</v>
      </c>
      <c r="N67" s="898" t="s">
        <v>3356</v>
      </c>
      <c r="O67" s="360"/>
      <c r="Q67" s="198"/>
      <c r="R67" s="359"/>
      <c r="V67" s="360"/>
    </row>
    <row r="68" spans="4:22" ht="15.75" x14ac:dyDescent="0.25">
      <c r="D68" s="359"/>
      <c r="E68" s="1" t="s">
        <v>3357</v>
      </c>
      <c r="G68" s="793" t="s">
        <v>3358</v>
      </c>
      <c r="H68" s="778"/>
      <c r="I68" s="359"/>
      <c r="J68" s="1105" t="s">
        <v>3800</v>
      </c>
      <c r="K68" s="858"/>
      <c r="M68" s="900">
        <f>(M63*1000)/'D.2. Equivalents ADEME'!D8</f>
        <v>4.7333261144301479</v>
      </c>
      <c r="N68" s="898" t="s">
        <v>3359</v>
      </c>
      <c r="O68" s="360"/>
      <c r="Q68" s="198"/>
      <c r="R68" s="359"/>
      <c r="V68" s="360"/>
    </row>
    <row r="69" spans="4:22" ht="16.5" thickBot="1" x14ac:dyDescent="0.3">
      <c r="D69" s="359"/>
      <c r="E69" s="854">
        <f>IF(E70="",'C.1 Facteurs éco - coûts'!E100,E70)</f>
        <v>0.10589999999999999</v>
      </c>
      <c r="G69" s="854">
        <f>IF(G70="",'C.1 Facteurs éco - coûts'!E104,G70)</f>
        <v>0.11559999999999999</v>
      </c>
      <c r="H69" s="778"/>
      <c r="I69" s="359"/>
      <c r="J69" s="858"/>
      <c r="K69" s="858"/>
      <c r="M69" s="902">
        <f>(M63*1000)/'D.2. Equivalents ADEME'!D7</f>
        <v>100.48505000000002</v>
      </c>
      <c r="N69" s="898" t="s">
        <v>3360</v>
      </c>
      <c r="O69" s="360"/>
      <c r="Q69" s="198"/>
      <c r="R69" s="359"/>
      <c r="V69" s="360"/>
    </row>
    <row r="70" spans="4:22" ht="15.75" thickBot="1" x14ac:dyDescent="0.3">
      <c r="D70" s="359"/>
      <c r="E70" s="855"/>
      <c r="G70" s="855"/>
      <c r="H70" s="778"/>
      <c r="I70" s="359"/>
      <c r="J70" s="862">
        <f>IF(OR(E47="Chaudière fioul THPE",E47="Chaudière fioul standard de plus de 15 ans"),IF(G47="PAC A/E + THPE (PAC hybride)",(F40*G69)-((J51*M57*E54*E69)+(J51*M57*(1-E54)*E66)+(J52*M57*G66)),((F40*G69)-((J48*E54*E69)+(J48*(1-E54)*E66)))),IF(G47="PAC A/E + THPE (PAC hybride)",((F40*E66)-((J51*M57*E54*E69)+(J51*M57*(1-E54)*E66)+(J52*M57*G66))),((F40*E66)-((J48*E54*E69)+J48*(1-E54)*E66))))</f>
        <v>6574.3629999999994</v>
      </c>
      <c r="K70" s="858" t="s">
        <v>3361</v>
      </c>
      <c r="M70" s="898"/>
      <c r="N70" s="898"/>
      <c r="O70" s="360"/>
      <c r="Q70" s="198"/>
      <c r="R70" s="359"/>
      <c r="V70" s="360"/>
    </row>
    <row r="71" spans="4:22" ht="15" thickBot="1" x14ac:dyDescent="0.25">
      <c r="D71" s="361"/>
      <c r="E71" s="363"/>
      <c r="F71" s="363"/>
      <c r="G71" s="364"/>
      <c r="H71" s="778"/>
      <c r="I71" s="361"/>
      <c r="J71" s="363"/>
      <c r="K71" s="363"/>
      <c r="L71" s="363"/>
      <c r="M71" s="363"/>
      <c r="N71" s="363"/>
      <c r="O71" s="364"/>
      <c r="Q71" s="198"/>
      <c r="R71" s="361"/>
      <c r="S71" s="363"/>
      <c r="T71" s="363"/>
      <c r="U71" s="363"/>
      <c r="V71" s="364"/>
    </row>
    <row r="72" spans="4:22" x14ac:dyDescent="0.2">
      <c r="G72" s="778"/>
      <c r="H72" s="778"/>
      <c r="Q72" s="198"/>
    </row>
    <row r="73" spans="4:22" x14ac:dyDescent="0.2">
      <c r="G73" s="778"/>
      <c r="H73" s="778"/>
      <c r="Q73" s="198"/>
    </row>
    <row r="74" spans="4:22" x14ac:dyDescent="0.2">
      <c r="G74" s="778"/>
      <c r="H74" s="778"/>
      <c r="Q74" s="198"/>
    </row>
    <row r="75" spans="4:22" x14ac:dyDescent="0.2">
      <c r="G75" s="778"/>
      <c r="H75" s="778"/>
      <c r="Q75" s="198"/>
    </row>
    <row r="76" spans="4:22" x14ac:dyDescent="0.2">
      <c r="G76" s="778"/>
      <c r="H76" s="778"/>
      <c r="Q76" s="198"/>
    </row>
    <row r="77" spans="4:22" x14ac:dyDescent="0.2">
      <c r="G77" s="778"/>
      <c r="H77" s="778"/>
      <c r="Q77" s="198"/>
    </row>
    <row r="78" spans="4:22" x14ac:dyDescent="0.2">
      <c r="G78" s="778"/>
      <c r="H78" s="778"/>
      <c r="Q78" s="198"/>
    </row>
    <row r="79" spans="4:22" x14ac:dyDescent="0.2">
      <c r="G79" s="778"/>
      <c r="H79" s="778"/>
      <c r="Q79" s="198"/>
    </row>
    <row r="80" spans="4:22" x14ac:dyDescent="0.2">
      <c r="G80" s="778"/>
      <c r="H80" s="778"/>
      <c r="Q80" s="198"/>
    </row>
    <row r="81" spans="2:21" x14ac:dyDescent="0.2">
      <c r="G81" s="778"/>
      <c r="H81" s="778"/>
      <c r="Q81" s="198"/>
    </row>
    <row r="82" spans="2:21" x14ac:dyDescent="0.2">
      <c r="F82" s="81"/>
      <c r="G82" s="663"/>
      <c r="H82" s="663"/>
      <c r="Q82" s="198"/>
    </row>
    <row r="83" spans="2:21" x14ac:dyDescent="0.2">
      <c r="F83" s="81"/>
      <c r="G83" s="663"/>
      <c r="H83" s="663"/>
      <c r="Q83" s="198"/>
    </row>
    <row r="84" spans="2:21" ht="15.75" x14ac:dyDescent="0.25">
      <c r="E84" s="352" t="s">
        <v>222</v>
      </c>
      <c r="F84" s="81"/>
      <c r="G84" s="663"/>
      <c r="H84" s="663"/>
      <c r="Q84" s="198"/>
    </row>
    <row r="85" spans="2:21" x14ac:dyDescent="0.2">
      <c r="F85" s="81"/>
      <c r="G85" s="663"/>
      <c r="H85" s="663"/>
      <c r="Q85" s="198"/>
    </row>
    <row r="87" spans="2:21" s="207" customFormat="1" hidden="1" outlineLevel="1" x14ac:dyDescent="0.2">
      <c r="E87" s="540" t="s">
        <v>260</v>
      </c>
      <c r="F87" s="540"/>
      <c r="G87" s="540"/>
      <c r="H87" s="540"/>
      <c r="I87" s="540"/>
      <c r="J87" s="540">
        <f>MATCH(E47,'A.2. Performances_Bâtiment H2'!D83:D94,0)</f>
        <v>11</v>
      </c>
      <c r="K87" s="540"/>
      <c r="L87" s="540"/>
      <c r="M87" s="540"/>
      <c r="N87" s="540"/>
      <c r="O87" s="540"/>
      <c r="P87" s="540"/>
      <c r="Q87" s="540">
        <f>MATCH(E47,'A.2. Performances_Bâtiment H2'!S83:S94,0)</f>
        <v>11</v>
      </c>
    </row>
    <row r="88" spans="2:21" s="207" customFormat="1" hidden="1" outlineLevel="1" x14ac:dyDescent="0.2">
      <c r="E88" s="540"/>
      <c r="F88" s="540"/>
      <c r="G88" s="540"/>
      <c r="H88" s="540"/>
      <c r="I88" s="540"/>
      <c r="J88" s="540">
        <f>MATCH(G47,'A.2. Performances_Bâtiment H2'!D83:M83,0)</f>
        <v>5</v>
      </c>
      <c r="K88" s="540"/>
      <c r="L88" s="540"/>
      <c r="M88" s="540"/>
      <c r="N88" s="540"/>
      <c r="O88" s="540"/>
      <c r="P88" s="540"/>
      <c r="Q88" s="540">
        <f>MATCH(G47,'A.2. Performances_Bâtiment H2'!S83:AB83,0)</f>
        <v>5</v>
      </c>
    </row>
    <row r="89" spans="2:21" ht="23.25" collapsed="1" x14ac:dyDescent="0.35">
      <c r="B89" s="370" t="s">
        <v>261</v>
      </c>
      <c r="C89" s="370"/>
      <c r="E89" s="828" t="s">
        <v>162</v>
      </c>
    </row>
    <row r="90" spans="2:21" ht="18.75" thickBot="1" x14ac:dyDescent="0.3">
      <c r="B90" t="s">
        <v>182</v>
      </c>
      <c r="E90" s="43"/>
    </row>
    <row r="91" spans="2:21" ht="23.25" x14ac:dyDescent="0.35">
      <c r="B91" t="s">
        <v>185</v>
      </c>
      <c r="D91" s="856">
        <v>1</v>
      </c>
      <c r="E91" s="789" t="s">
        <v>3327</v>
      </c>
      <c r="F91" s="362"/>
      <c r="G91" s="358"/>
      <c r="I91" s="856">
        <v>5</v>
      </c>
      <c r="J91" s="797" t="s">
        <v>3296</v>
      </c>
      <c r="K91" s="358"/>
      <c r="T91" s="704"/>
      <c r="U91" s="705"/>
    </row>
    <row r="92" spans="2:21" x14ac:dyDescent="0.2">
      <c r="B92" t="s">
        <v>186</v>
      </c>
      <c r="D92" s="359"/>
      <c r="E92" s="207" t="s">
        <v>3297</v>
      </c>
      <c r="F92" s="545"/>
      <c r="G92" s="785" t="s">
        <v>3328</v>
      </c>
      <c r="H92" s="575"/>
      <c r="I92" s="359"/>
      <c r="K92" s="360"/>
    </row>
    <row r="93" spans="2:21" x14ac:dyDescent="0.2">
      <c r="B93" t="s">
        <v>191</v>
      </c>
      <c r="D93" s="359"/>
      <c r="E93" s="207"/>
      <c r="F93" s="546"/>
      <c r="G93" s="785"/>
      <c r="H93" s="575"/>
      <c r="I93" s="359"/>
      <c r="K93" s="360"/>
    </row>
    <row r="94" spans="2:21" ht="28.5" x14ac:dyDescent="0.2">
      <c r="B94" s="207" t="s">
        <v>196</v>
      </c>
      <c r="D94" s="359"/>
      <c r="G94" s="360"/>
      <c r="I94" s="359"/>
      <c r="J94" s="707"/>
      <c r="K94" s="360"/>
    </row>
    <row r="95" spans="2:21" ht="29.25" x14ac:dyDescent="0.25">
      <c r="B95" t="s">
        <v>197</v>
      </c>
      <c r="D95" s="359"/>
      <c r="E95" s="207" t="s">
        <v>3635</v>
      </c>
      <c r="F95" s="788">
        <f>IF(F97="H2",IF(OR(E107="Chaudière fioul standard de plus de 15 ans",E107="Chaudière fioul THPE"),VLOOKUP(E107,'A.1. Conso_bâtiment_EF H2'!E102:AC123,8,0)*'A.1. Conso_bâtiment_EF H2'!J12,VLOOKUP(E107,'A.1. Conso_bâtiment_EF H2'!E102:AC123,6,0)*'A.1. Conso_bâtiment_EF H2'!J13),IF(F97="H1",IF(OR(E107="Chaudière fioul standard de plus de 15 ans",E107="Chaudière fioul THPE"),VLOOKUP(E107,'A.1. Conso_bâtiment_EF H1'!E102:AC123,8,0)*'A.1. Conso_bâtiment_EF H1'!J12,VLOOKUP(E107,'A.1. Conso_bâtiment_EF H1'!E102:AC123,6,0)*'A.1. Conso_bâtiment_EF H1'!J13),IF(F97="H3",IF(OR(E107="Chaudière fioul standard de plus de 15 ans",E107="Chaudière fioul THPE"),VLOOKUP(E107,'A.1. Conso_bâtiment_EF H3'!E102:AC123,8,0)*'A.1. Conso_bâtiment_EF H3'!J12,VLOOKUP(E107,'A.1. Conso_bâtiment_EF H3'!E102:AC123,6,0)*'A.1. Conso_bâtiment_EF H3'!J13),"")))</f>
        <v>11971.25</v>
      </c>
      <c r="G95" s="1237"/>
      <c r="H95" s="538"/>
      <c r="I95" s="359"/>
      <c r="J95" s="1" t="s">
        <v>3299</v>
      </c>
      <c r="K95" s="727"/>
    </row>
    <row r="96" spans="2:21" ht="15" x14ac:dyDescent="0.25">
      <c r="D96" s="359"/>
      <c r="E96" s="207" t="s">
        <v>3536</v>
      </c>
      <c r="F96" s="989" t="s">
        <v>3557</v>
      </c>
      <c r="G96" s="1237"/>
      <c r="H96" s="538"/>
      <c r="I96" s="359"/>
      <c r="J96" s="1"/>
      <c r="K96" s="727"/>
    </row>
    <row r="97" spans="2:22" ht="15.75" thickBot="1" x14ac:dyDescent="0.3">
      <c r="D97" s="359"/>
      <c r="E97" s="207" t="s">
        <v>3634</v>
      </c>
      <c r="F97" s="990" t="str">
        <f>VLOOKUP(F96,'Correspondance département'!$B$2:$C$99,2,FALSE)</f>
        <v>H3</v>
      </c>
      <c r="G97" s="1237"/>
      <c r="H97" s="538"/>
      <c r="I97" s="359"/>
      <c r="J97" s="1"/>
      <c r="K97" s="727"/>
    </row>
    <row r="98" spans="2:22" ht="15.75" thickBot="1" x14ac:dyDescent="0.25">
      <c r="D98" s="359"/>
      <c r="G98" s="1237"/>
      <c r="H98" s="538"/>
      <c r="I98" s="359"/>
      <c r="J98" s="839">
        <f>IF(J101="",F99*-J99,F99*-J101)</f>
        <v>4520.7110627177699</v>
      </c>
      <c r="K98" s="728" t="str">
        <f>IF(J121="","kWh PCI/an","kWh EP/an")</f>
        <v>kWh EP/an</v>
      </c>
    </row>
    <row r="99" spans="2:22" ht="15" thickBot="1" x14ac:dyDescent="0.25">
      <c r="B99" s="370" t="s">
        <v>264</v>
      </c>
      <c r="C99" s="370"/>
      <c r="D99" s="359"/>
      <c r="E99" t="s">
        <v>3301</v>
      </c>
      <c r="F99" s="840">
        <f>IF(F92="",F95,F92)</f>
        <v>11971.25</v>
      </c>
      <c r="G99" s="360" t="s">
        <v>3302</v>
      </c>
      <c r="I99" s="800" t="str">
        <f>IF(J101="","soit (cas moyen)","")</f>
        <v>soit (cas moyen)</v>
      </c>
      <c r="J99" s="801" cm="1">
        <f t="array" ref="J99">IF(J101="",INDEX('A.2. Performances_Bâtiment H2'!D18:M29,'3.2 Outil carbone'!J151,'3.2 Outil carbone'!J152),"")</f>
        <v>-0.37763066202090589</v>
      </c>
      <c r="K99" s="787" t="str">
        <f>IF(J101="",IF(J99&gt;0,"de consommation énergétique supplémentaire","d'économies d'énergie"),"")</f>
        <v>d'économies d'énergie</v>
      </c>
    </row>
    <row r="100" spans="2:22" ht="15" thickBot="1" x14ac:dyDescent="0.25">
      <c r="B100" t="s">
        <v>191</v>
      </c>
      <c r="C100" s="370"/>
      <c r="D100" s="361"/>
      <c r="E100" s="363"/>
      <c r="F100" s="819"/>
      <c r="G100" s="364"/>
      <c r="I100" s="800"/>
      <c r="J100" s="712"/>
      <c r="K100" s="787"/>
      <c r="M100" s="594"/>
    </row>
    <row r="101" spans="2:22" ht="15" x14ac:dyDescent="0.25">
      <c r="B101" t="s">
        <v>185</v>
      </c>
      <c r="C101" s="370"/>
      <c r="F101" s="818"/>
      <c r="I101" s="802" t="s">
        <v>257</v>
      </c>
      <c r="J101" s="556"/>
      <c r="K101" s="787"/>
    </row>
    <row r="102" spans="2:22" ht="15.75" thickBot="1" x14ac:dyDescent="0.3">
      <c r="B102" t="s">
        <v>187</v>
      </c>
      <c r="C102" s="370"/>
      <c r="F102" s="818"/>
      <c r="I102" s="802"/>
      <c r="J102" s="537" t="s">
        <v>258</v>
      </c>
      <c r="K102" s="787"/>
    </row>
    <row r="103" spans="2:22" ht="24" thickBot="1" x14ac:dyDescent="0.4">
      <c r="B103" t="s">
        <v>186</v>
      </c>
      <c r="C103" s="370"/>
      <c r="D103" s="856">
        <v>2</v>
      </c>
      <c r="E103" s="789" t="s">
        <v>3304</v>
      </c>
      <c r="F103" s="820"/>
      <c r="G103" s="358"/>
      <c r="I103" s="361"/>
      <c r="J103" s="363"/>
      <c r="K103" s="822"/>
    </row>
    <row r="104" spans="2:22" x14ac:dyDescent="0.2">
      <c r="B104" t="s">
        <v>188</v>
      </c>
      <c r="C104" s="370"/>
      <c r="D104" s="359"/>
      <c r="F104" s="818"/>
      <c r="G104" s="360"/>
    </row>
    <row r="105" spans="2:22" ht="15" thickBot="1" x14ac:dyDescent="0.25">
      <c r="D105" s="359"/>
      <c r="G105" s="360"/>
      <c r="N105" s="707"/>
    </row>
    <row r="106" spans="2:22" ht="24" thickBot="1" x14ac:dyDescent="0.4">
      <c r="D106" s="359"/>
      <c r="E106" s="1" t="s">
        <v>284</v>
      </c>
      <c r="G106" s="793" t="s">
        <v>3346</v>
      </c>
      <c r="H106" s="1"/>
      <c r="I106" s="856">
        <v>6</v>
      </c>
      <c r="J106" s="797" t="s">
        <v>3345</v>
      </c>
      <c r="K106" s="362"/>
      <c r="L106" s="823"/>
      <c r="M106" s="823"/>
      <c r="N106" s="362"/>
      <c r="O106" s="358"/>
      <c r="R106" s="856">
        <v>6</v>
      </c>
      <c r="S106" s="797" t="s">
        <v>3775</v>
      </c>
      <c r="T106" s="362"/>
      <c r="U106" s="362"/>
      <c r="V106" s="358"/>
    </row>
    <row r="107" spans="2:22" ht="16.5" thickBot="1" x14ac:dyDescent="0.3">
      <c r="D107" s="359"/>
      <c r="E107" s="581" t="s">
        <v>196</v>
      </c>
      <c r="G107" s="581" t="s">
        <v>187</v>
      </c>
      <c r="H107" s="1"/>
      <c r="I107" s="359"/>
      <c r="K107" s="434"/>
      <c r="L107" s="18"/>
      <c r="O107" s="360"/>
      <c r="R107" s="359" t="s">
        <v>3792</v>
      </c>
      <c r="V107" s="360"/>
    </row>
    <row r="108" spans="2:22" ht="16.5" thickBot="1" x14ac:dyDescent="0.3">
      <c r="D108" s="359"/>
      <c r="G108" s="360"/>
      <c r="H108" s="1"/>
      <c r="I108" s="359"/>
      <c r="J108" s="18" t="s">
        <v>3308</v>
      </c>
      <c r="L108" s="434"/>
      <c r="M108" s="661" t="s">
        <v>3309</v>
      </c>
      <c r="N108" s="25"/>
      <c r="O108" s="360"/>
      <c r="R108" s="359"/>
      <c r="T108" t="s">
        <v>3776</v>
      </c>
      <c r="V108" s="360"/>
    </row>
    <row r="109" spans="2:22" ht="15.75" thickBot="1" x14ac:dyDescent="0.3">
      <c r="D109" s="359"/>
      <c r="G109" s="360"/>
      <c r="I109" s="359"/>
      <c r="J109" s="839">
        <f>F99-J98</f>
        <v>7450.5389372822301</v>
      </c>
      <c r="K109" s="138" t="str">
        <f>IF(J121="","kWh PCI/an","kWh EP/an")</f>
        <v>kWh EP/an</v>
      </c>
      <c r="L109" s="138"/>
      <c r="M109" s="606" t="s">
        <v>3310</v>
      </c>
      <c r="N109" s="25"/>
      <c r="O109" s="360"/>
      <c r="R109" s="1123" t="s">
        <v>3827</v>
      </c>
      <c r="S109" s="1075"/>
      <c r="T109" s="1090"/>
      <c r="V109" s="360"/>
    </row>
    <row r="110" spans="2:22" ht="15.75" thickBot="1" x14ac:dyDescent="0.3">
      <c r="D110" s="361"/>
      <c r="E110" s="363"/>
      <c r="F110" s="363"/>
      <c r="G110" s="364"/>
      <c r="I110" s="729"/>
      <c r="L110" s="834" t="s">
        <v>3311</v>
      </c>
      <c r="M110" s="830">
        <f>IF(AND(OR(E107="Chaudière fioul THPE",E107="Chaudière fioul standard de plus de 15 ans"),J121=""),((F99*'D.1. Facteur d''émissions'!C7)-(('3.2 Outil carbone'!J109*E116*'D.1. Facteur d''émissions'!C11)+('3.2 Outil carbone'!J109*(1-E116)*'D.1. Facteur d''émissions'!C8)))/1000,0)</f>
        <v>0</v>
      </c>
      <c r="N110" s="807" t="s">
        <v>3312</v>
      </c>
      <c r="O110" s="360"/>
      <c r="Q110" s="698"/>
      <c r="R110" s="1093" t="s">
        <v>3788</v>
      </c>
      <c r="S110" s="1094">
        <f>IF(F97="H2",IF(OR(E107="Chaudière fioul THPE",E107="Chaudière fioul standard de plus de 15 ans"),((F99*'D.1. Facteur d''émissions'!C7)-((VLOOKUP("PAC élec air/eau",'A.1. Conso_bâtiment_EF H2'!E103:AC124,7,0)*'A.1. Conso_bâtiment_EF H2'!J13*'D.1. Facteur d''émissions'!C16)))/1000,((F99*'D.1. Facteur d''émissions'!C8)-((VLOOKUP("PAC élec air/eau",'A.1. Conso_bâtiment_EF H2'!E103:AC124,7,0)*'A.1. Conso_bâtiment_EF H2'!J13*'D.1. Facteur d''émissions'!C16)))/1000),IF(F97="H1",IF(OR(E107="Chaudière fioul THPE",E107="Chaudière fioul standard de plus de 15 ans"),((F99*'D.1. Facteur d''émissions'!C7)-((VLOOKUP("PAC élec air/eau",'A.1. Conso_bâtiment_EF H1'!E103:AC124,7,0)*'A.1. Conso_bâtiment_EF H1'!J13*'D.1. Facteur d''émissions'!C16)))/1000,((F99*'D.1. Facteur d''émissions'!C8)-((VLOOKUP("PAC élec air/eau",'A.1. Conso_bâtiment_EF H1'!E103:AC124,7,0)*'A.1. Conso_bâtiment_EF H1'!J13*'D.1. Facteur d''émissions'!C16)))/1000),IF(F97="H3",IF(OR(E107="Chaudière fioul THPE",E107="Chaudière fioul standard de plus de 15 ans"),((F99*'D.1. Facteur d''émissions'!C7)-((VLOOKUP("PAC élec air/eau",'A.1. Conso_bâtiment_EF H3'!E103:AC124,7,0)*'A.1. Conso_bâtiment_EF H3'!J13*'D.1. Facteur d''émissions'!C16)))/1000,((F99*'D.1. Facteur d''émissions'!C8)-((VLOOKUP("PAC élec air/eau",'A.1. Conso_bâtiment_EF H3'!E103:AC124,7,0)*'A.1. Conso_bâtiment_EF H3'!J13*'D.1. Facteur d''émissions'!C16)))/1000),"rien")))</f>
        <v>3.6161600100000002</v>
      </c>
      <c r="T110" s="1090">
        <f>S110*15</f>
        <v>54.242400150000002</v>
      </c>
      <c r="V110" s="360"/>
    </row>
    <row r="111" spans="2:22" ht="16.5" thickBot="1" x14ac:dyDescent="0.3">
      <c r="I111" s="852" t="s">
        <v>3313</v>
      </c>
      <c r="L111" s="733"/>
      <c r="M111" s="25"/>
      <c r="N111" s="25"/>
      <c r="O111" s="360"/>
      <c r="Q111" s="698"/>
      <c r="R111" s="1074" t="s">
        <v>3787</v>
      </c>
      <c r="S111" s="1095">
        <f>S112/T110</f>
        <v>267.3185544869367</v>
      </c>
      <c r="T111" t="s">
        <v>3776</v>
      </c>
      <c r="V111" s="360"/>
    </row>
    <row r="112" spans="2:22" ht="15.75" thickBot="1" x14ac:dyDescent="0.3">
      <c r="G112" s="1"/>
      <c r="H112" s="1"/>
      <c r="I112" s="800" t="s">
        <v>3314</v>
      </c>
      <c r="J112" s="842">
        <f>IF(J117="",J121,J117)</f>
        <v>0.55431432973805861</v>
      </c>
      <c r="L112" s="834" t="s">
        <v>3315</v>
      </c>
      <c r="M112" s="606" t="s">
        <v>3316</v>
      </c>
      <c r="N112" s="25"/>
      <c r="O112" s="360"/>
      <c r="R112" s="1074" t="s">
        <v>3828</v>
      </c>
      <c r="S112" s="1091">
        <f>'C.1 Facteurs éco - coûts'!D26</f>
        <v>14500</v>
      </c>
      <c r="V112" s="360"/>
    </row>
    <row r="113" spans="1:22" ht="24" thickBot="1" x14ac:dyDescent="0.4">
      <c r="D113" s="856">
        <v>3</v>
      </c>
      <c r="E113" s="789" t="s">
        <v>3318</v>
      </c>
      <c r="F113" s="362"/>
      <c r="G113" s="358"/>
      <c r="H113" s="777"/>
      <c r="I113" s="800" t="s">
        <v>3317</v>
      </c>
      <c r="J113" s="843">
        <f>IF(J118="",J122,J118)</f>
        <v>0.4456856702619415</v>
      </c>
      <c r="L113" s="374"/>
      <c r="M113" s="830">
        <f>IF(AND(OR(E107="Chaudière fioul THPE",E107="Chaudière fioul standard de plus de 15 ans"),J121&lt;&gt;""),((F99*'D.1. Facteur d''émissions'!C7)-((M118*J112*E116*'D.1. Facteur d''émissions'!C11)+(M118*J112*(1-E116)*'D.1. Facteur d''émissions'!C8)+(M118*J113*'D.1. Facteur d''émissions'!C15)))/1000,0)</f>
        <v>3.1317830542488463</v>
      </c>
      <c r="N113" s="25" t="s">
        <v>3312</v>
      </c>
      <c r="O113" s="360"/>
      <c r="Q113" s="703"/>
      <c r="R113" s="359"/>
      <c r="V113" s="360"/>
    </row>
    <row r="114" spans="1:22" ht="15" x14ac:dyDescent="0.25">
      <c r="D114" s="359"/>
      <c r="G114" s="793"/>
      <c r="H114" s="663"/>
      <c r="I114" s="837" t="str">
        <f>IF(J121="","","Check 100%")</f>
        <v>Check 100%</v>
      </c>
      <c r="J114" s="838" t="b">
        <f>IF(J112="","",(J112+J113)=100%)</f>
        <v>1</v>
      </c>
      <c r="M114" s="783"/>
      <c r="N114" s="783"/>
      <c r="O114" s="360"/>
      <c r="R114" s="359"/>
      <c r="V114" s="360"/>
    </row>
    <row r="115" spans="1:22" ht="15" customHeight="1" thickBot="1" x14ac:dyDescent="0.3">
      <c r="D115" s="359"/>
      <c r="E115" t="s">
        <v>3321</v>
      </c>
      <c r="G115" s="794"/>
      <c r="H115" s="663"/>
      <c r="I115" s="359"/>
      <c r="L115" s="733"/>
      <c r="M115" s="606" t="s">
        <v>3320</v>
      </c>
      <c r="N115" s="25"/>
      <c r="O115" s="360"/>
      <c r="R115" s="1123" t="s">
        <v>3832</v>
      </c>
      <c r="V115" s="360"/>
    </row>
    <row r="116" spans="1:22" ht="15.75" thickBot="1" x14ac:dyDescent="0.3">
      <c r="D116" s="359"/>
      <c r="E116" s="781"/>
      <c r="F116" s="81"/>
      <c r="G116" s="795"/>
      <c r="H116" s="1"/>
      <c r="I116" s="853" t="s">
        <v>3319</v>
      </c>
      <c r="J116" s="513"/>
      <c r="L116" s="834" t="s">
        <v>3322</v>
      </c>
      <c r="M116" s="1101">
        <f>IF(OR(OR(E107="Chaudière fioul standard de plus de 15 ans",E107="Chaudière fioul THPE"),J121=""),0,((F99*'D.1. Facteur d''émissions'!C8)-((M118*J112*E116*'D.1. Facteur d''émissions'!C11)+(M118*J112*(1-E116)*'D.1. Facteur d''émissions'!C8)+(M118*J113*'D.1. Facteur d''émissions'!C15)))/1000)</f>
        <v>0</v>
      </c>
      <c r="N116" s="25" t="s">
        <v>3312</v>
      </c>
      <c r="O116" s="360"/>
      <c r="R116" s="359" t="s">
        <v>3789</v>
      </c>
      <c r="S116" s="1092">
        <f>IF(AND(OR(E107="Chaudière fioul THPE",E107="Chaudière fioul standard de plus de 15 ans"),J121=""),((F99*'D.1. Facteur d''émissions'!C7)-(('3.2 Outil carbone'!J109*'D.1. Facteur d''émissions'!C11)))/1000,0)</f>
        <v>0</v>
      </c>
      <c r="V116" s="360"/>
    </row>
    <row r="117" spans="1:22" ht="15" thickBot="1" x14ac:dyDescent="0.25">
      <c r="D117" s="361"/>
      <c r="E117" s="363"/>
      <c r="F117" s="363"/>
      <c r="G117" s="796"/>
      <c r="H117" s="777"/>
      <c r="I117" s="800" t="s">
        <v>3314</v>
      </c>
      <c r="J117" s="780"/>
      <c r="L117" s="835"/>
      <c r="M117" s="783"/>
      <c r="N117" s="783"/>
      <c r="O117" s="360"/>
      <c r="R117" s="359" t="s">
        <v>3790</v>
      </c>
      <c r="S117" s="1092">
        <f>IF(AND(OR(E107="Chaudière fioul THPE",E107="Chaudière fioul standard de plus de 15 ans"),J121&lt;&gt;""),((F99*'D.1. Facteur d''émissions'!C7)-((M118*J112*'D.1. Facteur d''émissions'!C11)+(M118*J113*'D.1. Facteur d''émissions'!C15)))/1000,0)</f>
        <v>3.6477015750695103</v>
      </c>
      <c r="V117" s="360"/>
    </row>
    <row r="118" spans="1:22" ht="15.75" thickBot="1" x14ac:dyDescent="0.3">
      <c r="F118" s="81"/>
      <c r="G118" s="663"/>
      <c r="H118" s="663"/>
      <c r="I118" s="800" t="s">
        <v>3317</v>
      </c>
      <c r="J118" s="780"/>
      <c r="L118" s="833"/>
      <c r="M118" s="827">
        <f>IF(J121="","",J109/(J112+J113*'D.1. Facteur d''émissions'!C47))</f>
        <v>4717.3481332613037</v>
      </c>
      <c r="N118" s="606" t="s">
        <v>3323</v>
      </c>
      <c r="O118" s="360"/>
      <c r="R118" s="359" t="s">
        <v>3791</v>
      </c>
      <c r="S118" s="1092">
        <f>IF(OR(OR(E107="Chaudière fioul standard de plus de 15 ans",E107="Chaudière fioul THPE"),J121=""),0,((F99*'D.1. Facteur d''émissions'!C8)-((M118*J112*'D.1. Facteur d''émissions'!C11)+(M118*J113*'D.1. Facteur d''émissions'!C15)))/1000)</f>
        <v>0</v>
      </c>
      <c r="V118" s="360"/>
    </row>
    <row r="119" spans="1:22" ht="23.25" x14ac:dyDescent="0.35">
      <c r="A119" s="809"/>
      <c r="D119" s="856">
        <v>4</v>
      </c>
      <c r="E119" s="789" t="s">
        <v>3347</v>
      </c>
      <c r="F119" s="914" t="s">
        <v>3348</v>
      </c>
      <c r="G119" s="849"/>
      <c r="H119" s="663"/>
      <c r="I119" s="359"/>
      <c r="J119" s="803"/>
      <c r="L119" s="733"/>
      <c r="M119" s="1238" t="s">
        <v>3324</v>
      </c>
      <c r="N119" s="1238"/>
      <c r="O119" s="730"/>
      <c r="R119" s="359" t="s">
        <v>3793</v>
      </c>
      <c r="S119" s="1096">
        <f>IF(OR(OR(E107="Chaudière fioul THPE",E107="Chaudière fioul standard de plus de 15 ans"),J121&lt;&gt;""),0,((F99*'D.1. Facteur d''émissions'!C8)-(('3.2 Outil carbone'!J109*'D.1. Facteur d''émissions'!C11)))/1000)</f>
        <v>0</v>
      </c>
      <c r="T119" t="s">
        <v>3776</v>
      </c>
      <c r="V119" s="360"/>
    </row>
    <row r="120" spans="1:22" ht="15" x14ac:dyDescent="0.25">
      <c r="D120" s="359"/>
      <c r="F120" s="81"/>
      <c r="G120" s="795"/>
      <c r="H120" s="663"/>
      <c r="I120" s="852" t="s">
        <v>741</v>
      </c>
      <c r="M120" s="783"/>
      <c r="N120" s="783"/>
      <c r="O120" s="730"/>
      <c r="R120" s="1093" t="s">
        <v>3833</v>
      </c>
      <c r="S120" s="1120">
        <f>SUM(S116:S119)</f>
        <v>3.6477015750695103</v>
      </c>
      <c r="T120" s="1090">
        <f>S120*15</f>
        <v>54.715523626042653</v>
      </c>
      <c r="V120" s="360"/>
    </row>
    <row r="121" spans="1:22" ht="15.75" thickBot="1" x14ac:dyDescent="0.3">
      <c r="D121" s="359"/>
      <c r="E121" s="1" t="s">
        <v>3349</v>
      </c>
      <c r="G121" s="360"/>
      <c r="H121" s="663"/>
      <c r="I121" s="800" t="s">
        <v>3314</v>
      </c>
      <c r="J121" s="841">
        <f>IF(F97="H2",IF(VLOOKUP(G107,'A.1. Conso_bâtiment_EF H2'!E102:M123,4,0)="Oui",VLOOKUP(G107,'A.1. Conso_bâtiment_EF H2'!E102:M123,6,0)/VLOOKUP(G107,'A.1. Conso_bâtiment_EF H2'!E102:M123,5,0),""),IF(F97="H1",IF(VLOOKUP(G107,'A.1. Conso_bâtiment_EF H1'!E102:M123,4,0)="Oui",VLOOKUP(G107,'A.1. Conso_bâtiment_EF H1'!E102:M123,6,0)/VLOOKUP(G107,'A.1. Conso_bâtiment_EF H1'!E102:M123,5,0),""),IF(F97="H3",IF(VLOOKUP(G107,'A.1. Conso_bâtiment_EF H3'!E102:M123,4,0)="Oui",VLOOKUP(G107,'A.1. Conso_bâtiment_EF H3'!E102:M123,6,0)/VLOOKUP(G107,'A.1. Conso_bâtiment_EF H3'!E102:M123,5,0),""),"")))</f>
        <v>0.55431432973805861</v>
      </c>
      <c r="L121" s="834" t="s">
        <v>3325</v>
      </c>
      <c r="M121" s="606" t="s">
        <v>3326</v>
      </c>
      <c r="N121" s="201"/>
      <c r="O121" s="730"/>
      <c r="R121" s="359"/>
      <c r="V121" s="360"/>
    </row>
    <row r="122" spans="1:22" ht="15.75" thickBot="1" x14ac:dyDescent="0.3">
      <c r="D122" s="359"/>
      <c r="E122" s="850">
        <f>VLOOKUP(G107,'C.1 Facteurs éco - coûts'!C21:G26,2,0)</f>
        <v>13500</v>
      </c>
      <c r="G122" s="851" t="s">
        <v>3350</v>
      </c>
      <c r="H122" s="663"/>
      <c r="I122" s="800" t="str">
        <f>IF(J122="","","Part d'électricité (EF)*")</f>
        <v>Part d'électricité (EF)*</v>
      </c>
      <c r="J122" s="841">
        <f>IF(F97="H2",IF(VLOOKUP(G107,'A.1. Conso_bâtiment_EF H2'!E102:M123,4,0)="Oui",VLOOKUP(G107,'A.1. Conso_bâtiment_EF H2'!E102:M123,7,0)/VLOOKUP(G107,'A.1. Conso_bâtiment_EF H2'!E102:M123,5,0),""),IF(F97="H1",IF(VLOOKUP(G107,'A.1. Conso_bâtiment_EF H1'!E102:M123,4,0)="Oui",VLOOKUP(G107,'A.1. Conso_bâtiment_EF H1'!E102:M123,7,0)/VLOOKUP(G107,'A.1. Conso_bâtiment_EF H1'!E102:M123,5,0),""),IF(F97="H3",IF(VLOOKUP(G107,'A.1. Conso_bâtiment_EF H3'!E102:M123,4,0)="Oui",VLOOKUP(G107,'A.1. Conso_bâtiment_EF H3'!E102:M123,7,0)/VLOOKUP(G107,'A.1. Conso_bâtiment_EF H3'!E102:M123,5,0),""),"")))</f>
        <v>0.4456856702619415</v>
      </c>
      <c r="M122" s="830">
        <f>IF(OR(OR(E107="Chaudière fioul THPE",E107="Chaudière fioul standard de plus de 15 ans"),J121&lt;&gt;""),0,((F99*'D.1. Facteur d''émissions'!C8)-(('3.2 Outil carbone'!J109*E116*'D.1. Facteur d''émissions'!C11)+('3.2 Outil carbone'!J109*(1-E116)*'D.1. Facteur d''émissions'!C8)))/1000)</f>
        <v>0</v>
      </c>
      <c r="N122" s="25" t="s">
        <v>3312</v>
      </c>
      <c r="O122" s="730"/>
      <c r="R122" s="359"/>
      <c r="V122" s="360"/>
    </row>
    <row r="123" spans="1:22" ht="16.5" thickBot="1" x14ac:dyDescent="0.3">
      <c r="D123" s="359"/>
      <c r="F123" s="1239" t="s">
        <v>3351</v>
      </c>
      <c r="G123" s="848">
        <f>IF(E125="",E122,E125)</f>
        <v>13500</v>
      </c>
      <c r="H123" s="663"/>
      <c r="I123" s="891"/>
      <c r="J123" s="32"/>
      <c r="O123" s="730"/>
      <c r="R123" s="1074" t="s">
        <v>3777</v>
      </c>
      <c r="S123" s="1095">
        <f>G123/T120</f>
        <v>246.73071014117971</v>
      </c>
      <c r="V123" s="360"/>
    </row>
    <row r="124" spans="1:22" ht="15" x14ac:dyDescent="0.25">
      <c r="D124" s="359"/>
      <c r="E124" s="1" t="s">
        <v>3352</v>
      </c>
      <c r="F124" s="1239"/>
      <c r="G124" s="793"/>
      <c r="H124" s="663"/>
      <c r="I124" s="891"/>
      <c r="J124" s="32"/>
      <c r="O124" s="730"/>
      <c r="R124" s="359"/>
      <c r="S124" s="1089"/>
      <c r="T124" s="1090"/>
      <c r="V124" s="360"/>
    </row>
    <row r="125" spans="1:22" ht="18" x14ac:dyDescent="0.25">
      <c r="D125" s="359"/>
      <c r="E125" s="847"/>
      <c r="G125" s="793"/>
      <c r="H125" s="663"/>
      <c r="I125" s="891"/>
      <c r="J125" s="32"/>
      <c r="L125" s="455" t="s">
        <v>142</v>
      </c>
      <c r="M125" s="1102">
        <f>SUM(M110,M113,M116,M122)</f>
        <v>3.1317830542488463</v>
      </c>
      <c r="N125" s="807" t="s">
        <v>3312</v>
      </c>
      <c r="O125" s="730"/>
      <c r="R125" s="359"/>
      <c r="V125" s="360"/>
    </row>
    <row r="126" spans="1:22" ht="15" x14ac:dyDescent="0.25">
      <c r="D126" s="359"/>
      <c r="G126" s="793"/>
      <c r="H126" s="663"/>
      <c r="I126" s="891"/>
      <c r="J126" s="32"/>
      <c r="O126" s="730"/>
      <c r="R126" s="359"/>
      <c r="V126" s="360"/>
    </row>
    <row r="127" spans="1:22" ht="16.5" thickBot="1" x14ac:dyDescent="0.3">
      <c r="D127" s="359"/>
      <c r="E127" s="1" t="s">
        <v>3354</v>
      </c>
      <c r="G127" s="793" t="s">
        <v>3355</v>
      </c>
      <c r="H127" s="663"/>
      <c r="I127" s="891"/>
      <c r="J127" s="857"/>
      <c r="K127" s="858"/>
      <c r="O127" s="730"/>
      <c r="R127" s="359"/>
      <c r="V127" s="360"/>
    </row>
    <row r="128" spans="1:22" ht="16.5" thickBot="1" x14ac:dyDescent="0.3">
      <c r="D128" s="359"/>
      <c r="E128" s="854">
        <f>IF(E129="",'C.1 Facteurs éco - coûts'!E43,E129)</f>
        <v>0.12360499999999999</v>
      </c>
      <c r="G128" s="859">
        <f>IF(G129="",'C.1 Facteurs éco - coûts'!E20,G129)</f>
        <v>0</v>
      </c>
      <c r="H128" s="663"/>
      <c r="I128" s="891"/>
      <c r="J128" s="862"/>
      <c r="K128" s="858"/>
      <c r="M128" s="901" t="s">
        <v>27</v>
      </c>
      <c r="N128" s="898"/>
      <c r="O128" s="730"/>
      <c r="R128" s="359"/>
      <c r="V128" s="360"/>
    </row>
    <row r="129" spans="4:22" ht="15.75" x14ac:dyDescent="0.25">
      <c r="D129" s="359"/>
      <c r="E129" s="855"/>
      <c r="G129" s="860"/>
      <c r="H129" s="663"/>
      <c r="I129" s="891"/>
      <c r="J129" s="858"/>
      <c r="K129" s="858"/>
      <c r="M129" s="899">
        <f>(M125*1000)/'D.2. Equivalents ADEME'!D5</f>
        <v>711.76887596564688</v>
      </c>
      <c r="N129" s="898" t="s">
        <v>3356</v>
      </c>
      <c r="O129" s="730"/>
      <c r="R129" s="359"/>
      <c r="V129" s="360"/>
    </row>
    <row r="130" spans="4:22" ht="15.75" x14ac:dyDescent="0.25">
      <c r="D130" s="359"/>
      <c r="E130" s="1" t="s">
        <v>3357</v>
      </c>
      <c r="G130" s="793" t="s">
        <v>3358</v>
      </c>
      <c r="H130" s="663"/>
      <c r="I130" s="891"/>
      <c r="J130" s="1105" t="s">
        <v>3800</v>
      </c>
      <c r="K130" s="858"/>
      <c r="M130" s="900">
        <f>(M125*1000)/'D.2. Equivalents ADEME'!D8</f>
        <v>0.35980963398998694</v>
      </c>
      <c r="N130" s="898" t="s">
        <v>3359</v>
      </c>
      <c r="O130" s="730"/>
      <c r="R130" s="359"/>
      <c r="V130" s="360"/>
    </row>
    <row r="131" spans="4:22" ht="16.5" thickBot="1" x14ac:dyDescent="0.3">
      <c r="D131" s="359"/>
      <c r="E131" s="854">
        <f>IF(E132="",'C.1 Facteurs éco - coûts'!E100,E132)</f>
        <v>0.10589999999999999</v>
      </c>
      <c r="G131" s="859">
        <f>IF(G132="",'C.1 Facteurs éco - coûts'!E104,G132)</f>
        <v>0.11559999999999999</v>
      </c>
      <c r="H131" s="663"/>
      <c r="I131" s="891"/>
      <c r="J131" s="858"/>
      <c r="K131" s="858"/>
      <c r="M131" s="902">
        <f>(M125*1000)/'D.2. Equivalents ADEME'!D7</f>
        <v>7.6384952542654787</v>
      </c>
      <c r="N131" s="898" t="s">
        <v>3360</v>
      </c>
      <c r="O131" s="730"/>
      <c r="R131" s="359"/>
      <c r="V131" s="360"/>
    </row>
    <row r="132" spans="4:22" ht="15.75" thickBot="1" x14ac:dyDescent="0.3">
      <c r="D132" s="359"/>
      <c r="E132" s="855"/>
      <c r="G132" s="860"/>
      <c r="H132" s="663"/>
      <c r="I132" s="891"/>
      <c r="J132" s="862">
        <f>IF(OR(E107="Chaudière fioul THPE",E107="Chaudière fioul standard de plus de 15 ans"),IF(G107="PAC A/E + THPE (PAC hybride)",(F99*G131)-((J112*M118*E116*E131)+(J112*M118*(1-E116)*E128)+(J113*M118*G128)),((F99*G131)-((J109*E116*E131)+(J109*(1-E116)*E128)))),IF(G107="PAC A/E + THPE (PAC hybride)",((F99*E128)-((J112*M118*E116*E131)+(J112*M118*(1-E116)*E128)+(J113*M118*G128))),((F99*E128)-((J109*E116*E131)+J109*(1-E116)*E128))))</f>
        <v>1060.6625680890108</v>
      </c>
      <c r="K132" s="858" t="s">
        <v>3361</v>
      </c>
      <c r="M132" s="898"/>
      <c r="N132" s="898"/>
      <c r="O132" s="730"/>
      <c r="R132" s="359"/>
      <c r="V132" s="360"/>
    </row>
    <row r="133" spans="4:22" ht="15.75" thickBot="1" x14ac:dyDescent="0.3">
      <c r="D133" s="361"/>
      <c r="E133" s="363"/>
      <c r="F133" s="363"/>
      <c r="G133" s="364"/>
      <c r="H133" s="663"/>
      <c r="I133" s="824"/>
      <c r="J133" s="825"/>
      <c r="K133" s="363"/>
      <c r="L133" s="363"/>
      <c r="M133" s="363"/>
      <c r="N133" s="363"/>
      <c r="O133" s="826"/>
      <c r="R133" s="361"/>
      <c r="S133" s="363"/>
      <c r="T133" s="363"/>
      <c r="U133" s="363"/>
      <c r="V133" s="364"/>
    </row>
    <row r="134" spans="4:22" ht="15" x14ac:dyDescent="0.25">
      <c r="G134" s="81"/>
      <c r="H134" s="663"/>
      <c r="I134" s="663"/>
      <c r="J134" s="32"/>
      <c r="O134" s="579"/>
    </row>
    <row r="135" spans="4:22" ht="15" x14ac:dyDescent="0.25">
      <c r="G135" s="81"/>
      <c r="H135" s="663"/>
      <c r="I135" s="663"/>
      <c r="J135" s="32"/>
      <c r="O135" s="579"/>
    </row>
    <row r="136" spans="4:22" ht="15" x14ac:dyDescent="0.25">
      <c r="G136" s="81"/>
      <c r="H136" s="663"/>
      <c r="I136" s="663"/>
      <c r="J136" s="32"/>
      <c r="O136" s="579"/>
    </row>
    <row r="137" spans="4:22" ht="15" x14ac:dyDescent="0.25">
      <c r="G137" s="81"/>
      <c r="H137" s="663"/>
      <c r="I137" s="663"/>
      <c r="J137" s="32"/>
      <c r="O137" s="579"/>
    </row>
    <row r="138" spans="4:22" ht="15" x14ac:dyDescent="0.25">
      <c r="G138" s="81"/>
      <c r="H138" s="663"/>
      <c r="I138" s="663"/>
      <c r="J138" s="32"/>
      <c r="O138" s="579"/>
    </row>
    <row r="139" spans="4:22" ht="15" x14ac:dyDescent="0.25">
      <c r="G139" s="81"/>
      <c r="H139" s="663"/>
      <c r="I139" s="663"/>
      <c r="J139" s="32"/>
      <c r="O139" s="579"/>
    </row>
    <row r="140" spans="4:22" ht="15" x14ac:dyDescent="0.25">
      <c r="G140" s="81"/>
      <c r="H140" s="663"/>
      <c r="I140" s="663"/>
      <c r="J140" s="32"/>
      <c r="O140" s="579"/>
    </row>
    <row r="141" spans="4:22" ht="15" x14ac:dyDescent="0.25">
      <c r="G141" s="81"/>
      <c r="H141" s="663"/>
      <c r="I141" s="663"/>
      <c r="J141" s="32"/>
      <c r="O141" s="579"/>
    </row>
    <row r="142" spans="4:22" ht="15" x14ac:dyDescent="0.25">
      <c r="G142" s="81"/>
      <c r="H142" s="663"/>
      <c r="I142" s="663"/>
      <c r="J142" s="32"/>
      <c r="O142" s="579"/>
    </row>
    <row r="143" spans="4:22" ht="15" x14ac:dyDescent="0.25">
      <c r="G143" s="81"/>
      <c r="H143" s="663"/>
      <c r="I143" s="663"/>
      <c r="J143" s="32"/>
      <c r="O143" s="579"/>
    </row>
    <row r="144" spans="4:22" ht="15" x14ac:dyDescent="0.25">
      <c r="G144" s="81"/>
      <c r="H144" s="663"/>
      <c r="I144" s="663"/>
      <c r="J144" s="32"/>
      <c r="O144" s="579"/>
    </row>
    <row r="145" spans="2:17" ht="15" x14ac:dyDescent="0.25">
      <c r="G145" s="81"/>
      <c r="H145" s="663"/>
      <c r="I145" s="663"/>
      <c r="J145" s="32"/>
      <c r="O145" s="579"/>
    </row>
    <row r="146" spans="2:17" ht="15" x14ac:dyDescent="0.25">
      <c r="G146" s="81"/>
      <c r="H146" s="663"/>
      <c r="I146" s="663"/>
      <c r="J146" s="32"/>
      <c r="O146" s="579"/>
    </row>
    <row r="147" spans="2:17" ht="15" x14ac:dyDescent="0.25">
      <c r="G147" s="81"/>
      <c r="H147" s="663"/>
      <c r="I147" s="663"/>
      <c r="J147" s="32"/>
      <c r="O147" s="579"/>
    </row>
    <row r="148" spans="2:17" ht="15" x14ac:dyDescent="0.25">
      <c r="G148" s="81"/>
      <c r="H148" s="663"/>
      <c r="I148" s="663"/>
      <c r="J148" s="32"/>
      <c r="O148" s="579"/>
    </row>
    <row r="149" spans="2:17" ht="15" x14ac:dyDescent="0.25">
      <c r="E149" s="49" t="s">
        <v>222</v>
      </c>
      <c r="G149" s="81"/>
      <c r="H149" s="663"/>
      <c r="I149" s="663"/>
      <c r="J149" s="32"/>
      <c r="O149" s="579"/>
    </row>
    <row r="150" spans="2:17" x14ac:dyDescent="0.2">
      <c r="Q150" t="s">
        <v>266</v>
      </c>
    </row>
    <row r="151" spans="2:17" outlineLevel="1" x14ac:dyDescent="0.2">
      <c r="E151" s="540" t="s">
        <v>260</v>
      </c>
      <c r="F151" s="540"/>
      <c r="G151" s="540"/>
      <c r="H151" s="540"/>
      <c r="I151" s="540"/>
      <c r="J151" s="540">
        <f>MATCH(E107,'A.2. Performances_Bâtiment H2'!D18:D29,0)</f>
        <v>11</v>
      </c>
      <c r="K151" s="540"/>
      <c r="L151" s="540"/>
      <c r="M151" s="540"/>
      <c r="N151" s="540"/>
      <c r="O151" s="540"/>
      <c r="P151" s="540"/>
      <c r="Q151" s="540">
        <f>MATCH(E107,'A.2. Performances_Bâtiment H2'!S18:S29,0)</f>
        <v>11</v>
      </c>
    </row>
    <row r="152" spans="2:17" outlineLevel="1" x14ac:dyDescent="0.2">
      <c r="E152" s="540"/>
      <c r="F152" s="540"/>
      <c r="G152" s="540"/>
      <c r="H152" s="540"/>
      <c r="I152" s="540"/>
      <c r="J152" s="540">
        <f>MATCH(G107,'A.2. Performances_Bâtiment H2'!D18:M18,0)</f>
        <v>5</v>
      </c>
      <c r="K152" s="540"/>
      <c r="L152" s="540"/>
      <c r="M152" s="540"/>
      <c r="N152" s="540"/>
      <c r="O152" s="540"/>
      <c r="P152" s="540"/>
      <c r="Q152" s="540">
        <f>MATCH(G107,'A.2. Performances_Bâtiment H2'!S18:AB18,0)</f>
        <v>5</v>
      </c>
    </row>
    <row r="155" spans="2:17" ht="18" x14ac:dyDescent="0.25">
      <c r="E155" s="43" t="s">
        <v>163</v>
      </c>
    </row>
    <row r="156" spans="2:17" ht="15" thickBot="1" x14ac:dyDescent="0.25"/>
    <row r="157" spans="2:17" ht="23.25" x14ac:dyDescent="0.35">
      <c r="D157" s="856">
        <v>1</v>
      </c>
      <c r="E157" s="789" t="s">
        <v>3327</v>
      </c>
      <c r="F157" s="362"/>
      <c r="G157" s="358"/>
      <c r="I157" s="856">
        <v>4</v>
      </c>
      <c r="J157" s="797" t="s">
        <v>3296</v>
      </c>
      <c r="K157" s="358"/>
    </row>
    <row r="158" spans="2:17" x14ac:dyDescent="0.2">
      <c r="B158" s="370" t="s">
        <v>267</v>
      </c>
      <c r="C158" s="370"/>
      <c r="D158" s="359"/>
      <c r="G158" s="360"/>
      <c r="I158" s="359"/>
      <c r="K158" s="360"/>
    </row>
    <row r="159" spans="2:17" ht="13.5" customHeight="1" x14ac:dyDescent="0.2">
      <c r="B159" t="s">
        <v>182</v>
      </c>
      <c r="D159" s="359"/>
      <c r="E159" s="207" t="s">
        <v>3297</v>
      </c>
      <c r="F159" s="545"/>
      <c r="G159" s="785" t="s">
        <v>3328</v>
      </c>
      <c r="H159" s="575"/>
      <c r="I159" s="359"/>
      <c r="J159" s="707"/>
      <c r="K159" s="360"/>
    </row>
    <row r="160" spans="2:17" ht="15.75" thickBot="1" x14ac:dyDescent="0.3">
      <c r="B160" t="s">
        <v>185</v>
      </c>
      <c r="D160" s="359"/>
      <c r="G160" s="360"/>
      <c r="I160" s="359"/>
      <c r="J160" s="1" t="s">
        <v>3299</v>
      </c>
      <c r="K160" s="727"/>
    </row>
    <row r="161" spans="2:22" ht="29.25" thickBot="1" x14ac:dyDescent="0.25">
      <c r="B161" t="s">
        <v>186</v>
      </c>
      <c r="D161" s="359"/>
      <c r="E161" s="207" t="s">
        <v>3635</v>
      </c>
      <c r="F161" s="788">
        <f>IF(F163="H2",VLOOKUP(E173,'A.1. Conso_bâtiment_EF H2'!E102:AC123,12,0)*'A.1. Conso_bâtiment_EF H2'!K13,IF(F163="H1",VLOOKUP(E173,'A.1. Conso_bâtiment_EF H1'!E102:AC123,12,0)*'A.1. Conso_bâtiment_EF H1'!K13,IF(F163="H3",VLOOKUP(E173,'A.1. Conso_bâtiment_EF H3'!E102:AC123,12,0)*'A.1. Conso_bâtiment_EF H3'!K13,"")))</f>
        <v>10870.313</v>
      </c>
      <c r="G161" s="817" t="s">
        <v>263</v>
      </c>
      <c r="H161" s="538"/>
      <c r="I161" s="359"/>
      <c r="J161" s="839">
        <f>IF(J166="",F165*-J162,F165*-J166)</f>
        <v>3072.5509978586729</v>
      </c>
      <c r="K161" s="728" t="str">
        <f>IF(J185="","kWh PCI/an","kWh EP/an")</f>
        <v>kWh PCI/an</v>
      </c>
    </row>
    <row r="162" spans="2:22" x14ac:dyDescent="0.2">
      <c r="D162" s="359"/>
      <c r="E162" s="207" t="s">
        <v>3536</v>
      </c>
      <c r="F162" s="989" t="s">
        <v>3538</v>
      </c>
      <c r="G162" s="817"/>
      <c r="H162" s="538"/>
      <c r="I162" s="800" t="str">
        <f>IF(J166="","soit (cas moyen)","")</f>
        <v>soit (cas moyen)</v>
      </c>
      <c r="J162" s="801" cm="1">
        <f t="array" ref="J162">IF(J166="",INDEX('A.2. Performances_Bâtiment H2'!D46:M55,'3.2 Outil carbone'!J206,'3.2 Outil carbone'!J207),"")</f>
        <v>-0.28265524625267668</v>
      </c>
      <c r="K162" s="787" t="str">
        <f>IF(J166="",IF(J162&gt;0,"de consommation énergétique supplémentaire","d'économies d'énergie"),"")</f>
        <v>d'économies d'énergie</v>
      </c>
    </row>
    <row r="163" spans="2:22" x14ac:dyDescent="0.2">
      <c r="D163" s="359"/>
      <c r="E163" s="207" t="s">
        <v>3634</v>
      </c>
      <c r="F163" s="990" t="str">
        <f>VLOOKUP(F162,'Correspondance département'!$B$2:$C$99,2,FALSE)</f>
        <v>H1</v>
      </c>
      <c r="G163" s="817"/>
      <c r="H163" s="538"/>
      <c r="I163" s="800"/>
      <c r="J163" s="801"/>
      <c r="K163" s="787"/>
    </row>
    <row r="164" spans="2:22" ht="15" thickBot="1" x14ac:dyDescent="0.25">
      <c r="D164" s="359"/>
      <c r="F164" s="818"/>
      <c r="H164" s="538"/>
      <c r="I164" s="800"/>
      <c r="J164" s="801"/>
      <c r="K164" s="787"/>
    </row>
    <row r="165" spans="2:22" ht="15" thickBot="1" x14ac:dyDescent="0.25">
      <c r="D165" s="359"/>
      <c r="E165" t="s">
        <v>3301</v>
      </c>
      <c r="F165" s="840">
        <f>IF(F159="",F161,F159)</f>
        <v>10870.313</v>
      </c>
      <c r="G165" s="817"/>
      <c r="H165" s="538"/>
      <c r="I165" s="800"/>
      <c r="J165" s="712"/>
      <c r="K165" s="787"/>
    </row>
    <row r="166" spans="2:22" ht="15" x14ac:dyDescent="0.25">
      <c r="B166" s="370" t="s">
        <v>269</v>
      </c>
      <c r="C166" s="370"/>
      <c r="D166" s="359"/>
      <c r="G166" s="360"/>
      <c r="I166" s="802" t="s">
        <v>257</v>
      </c>
      <c r="J166" s="556"/>
      <c r="K166" s="787"/>
    </row>
    <row r="167" spans="2:22" ht="15.75" thickBot="1" x14ac:dyDescent="0.3">
      <c r="B167" t="s">
        <v>185</v>
      </c>
      <c r="D167" s="361"/>
      <c r="E167" s="363"/>
      <c r="F167" s="363"/>
      <c r="G167" s="364"/>
      <c r="I167" s="802"/>
      <c r="J167" s="537" t="s">
        <v>258</v>
      </c>
      <c r="K167" s="787"/>
    </row>
    <row r="168" spans="2:22" ht="15" thickBot="1" x14ac:dyDescent="0.25">
      <c r="B168" t="s">
        <v>186</v>
      </c>
      <c r="I168" s="361"/>
      <c r="J168" s="363"/>
      <c r="K168" s="822"/>
    </row>
    <row r="169" spans="2:22" ht="15" thickBot="1" x14ac:dyDescent="0.25">
      <c r="B169" t="s">
        <v>188</v>
      </c>
    </row>
    <row r="170" spans="2:22" ht="23.25" x14ac:dyDescent="0.35">
      <c r="D170" s="856">
        <v>2</v>
      </c>
      <c r="E170" s="789" t="s">
        <v>3304</v>
      </c>
      <c r="F170" s="362"/>
      <c r="G170" s="358"/>
      <c r="I170" s="856">
        <v>5</v>
      </c>
      <c r="J170" s="797" t="s">
        <v>3305</v>
      </c>
      <c r="K170" s="362"/>
      <c r="L170" s="823"/>
      <c r="M170" s="823"/>
      <c r="N170" s="362"/>
      <c r="O170" s="358"/>
      <c r="R170" s="856">
        <v>6</v>
      </c>
      <c r="S170" s="797" t="s">
        <v>3827</v>
      </c>
      <c r="T170" s="362"/>
      <c r="U170" s="362"/>
      <c r="V170" s="358"/>
    </row>
    <row r="171" spans="2:22" ht="18.75" x14ac:dyDescent="0.25">
      <c r="C171" s="512"/>
      <c r="D171" s="359"/>
      <c r="G171" s="360"/>
      <c r="I171" s="359"/>
      <c r="K171" s="434"/>
      <c r="L171" s="18"/>
      <c r="O171" s="360"/>
      <c r="R171" s="359" t="s">
        <v>3792</v>
      </c>
      <c r="V171" s="360"/>
    </row>
    <row r="172" spans="2:22" ht="19.5" thickBot="1" x14ac:dyDescent="0.3">
      <c r="B172" s="512"/>
      <c r="C172" s="512"/>
      <c r="D172" s="359"/>
      <c r="E172" s="1" t="s">
        <v>284</v>
      </c>
      <c r="G172" s="793" t="s">
        <v>3346</v>
      </c>
      <c r="I172" s="359"/>
      <c r="J172" s="18" t="s">
        <v>3308</v>
      </c>
      <c r="L172" s="434"/>
      <c r="M172" s="661" t="s">
        <v>3309</v>
      </c>
      <c r="N172" s="25"/>
      <c r="O172" s="360"/>
      <c r="P172" s="434"/>
      <c r="Q172" s="1"/>
      <c r="R172" s="359"/>
      <c r="T172" t="s">
        <v>3776</v>
      </c>
      <c r="V172" s="360"/>
    </row>
    <row r="173" spans="2:22" ht="19.5" thickBot="1" x14ac:dyDescent="0.3">
      <c r="B173" s="512"/>
      <c r="C173" s="512"/>
      <c r="D173" s="359"/>
      <c r="E173" s="581" t="s">
        <v>182</v>
      </c>
      <c r="G173" s="581" t="s">
        <v>186</v>
      </c>
      <c r="I173" s="359"/>
      <c r="J173" s="839">
        <f>F165-J161</f>
        <v>7797.7620021413277</v>
      </c>
      <c r="K173" s="138" t="str">
        <f>IF(J185="","kWh PCI/an","kWh EP/an")</f>
        <v>kWh PCI/an</v>
      </c>
      <c r="L173" s="138"/>
      <c r="M173" s="606" t="s">
        <v>3310</v>
      </c>
      <c r="N173" s="25"/>
      <c r="O173" s="360"/>
      <c r="P173" s="138"/>
      <c r="Q173" s="711"/>
      <c r="R173" s="1123" t="s">
        <v>3827</v>
      </c>
      <c r="S173" s="1075"/>
      <c r="T173" s="1090"/>
      <c r="V173" s="360"/>
    </row>
    <row r="174" spans="2:22" ht="19.5" thickBot="1" x14ac:dyDescent="0.3">
      <c r="B174" s="512"/>
      <c r="C174" s="512"/>
      <c r="D174" s="359"/>
      <c r="G174" s="360"/>
      <c r="I174" s="729"/>
      <c r="L174" s="834" t="s">
        <v>3311</v>
      </c>
      <c r="M174" s="830">
        <f>IF(AND(OR(E173="Chaudière fioul THPE",E173="Chaudière fioul standard de plus de 15 ans"),J185=""),((F161*'D.1. Facteur d''émissions'!C7)-(('3.2 Outil carbone'!J173*E180*'D.1. Facteur d''émissions'!C11)+('3.2 Outil carbone'!J173*(1-E180)*'D.1. Facteur d''émissions'!C8)))/1000,0)</f>
        <v>0</v>
      </c>
      <c r="N174" s="807" t="s">
        <v>3312</v>
      </c>
      <c r="O174" s="360"/>
      <c r="Q174" s="698"/>
      <c r="R174" s="1093" t="s">
        <v>3829</v>
      </c>
      <c r="S174" s="1094">
        <f>IF(F163="H2",IF(OR(E173="Chaudière fioul THPE",E173="Chaudière fioul standard de plus de 15 ans"),((F165*'D.1. Facteur d''émissions'!C7)-((VLOOKUP("Radiateur électrique (effet joule)",'A.1. Conso_bâtiment_EF H2'!E103:AC124,13,0)*'A.1. Conso_bâtiment_EF H2'!K13*'D.1. Facteur d''émissions'!C16)))/1000,((F165*'D.1. Facteur d''émissions'!C8)-((VLOOKUP("Radiateur électrique (effet joule)",'A.1. Conso_bâtiment_EF H2'!E103:AC124,13,0)*'A.1. Conso_bâtiment_EF H2'!K13*'D.1. Facteur d''émissions'!C16)))/1000),IF(F163="H1",IF(OR(E173="Chaudière fioul THPE",E173="Chaudière fioul standard de plus de 15 ans"),((F165*'D.1. Facteur d''émissions'!C7)-((VLOOKUP("Radiateur électrique (effet joule)",'A.1. Conso_bâtiment_EF H1'!E103:AC124,13,0)*'A.1. Conso_bâtiment_EF H1'!K13*'D.1. Facteur d''émissions'!C16)))/1000,((F165*'D.1. Facteur d''émissions'!C8)-((VLOOKUP("Radiateur électrique (effet joule)",'A.1. Conso_bâtiment_EF H1'!E103:AC124,13,0)*'A.1. Conso_bâtiment_EF H1'!K13*'D.1. Facteur d''émissions'!C16)))/1000),IF(F163="H3",IF(OR(E173="Chaudière fioul THPE",E173="Chaudière fioul standard de plus de 15 ans"),((F165*'D.1. Facteur d''émissions'!C7)-((VLOOKUP("Radiateur électrique (effet joule)",'A.1. Conso_bâtiment_EF H3'!E103:AC124,13,0)*'A.1. Conso_bâtiment_EF H3'!K13*'D.1. Facteur d''émissions'!C16)))/1000,((F165*'D.1. Facteur d''émissions'!C8)-((VLOOKUP("Radiateur électrique (effet joule)",'A.1. Conso_bâtiment_EF H3'!E103:AC124,13,0)*'A.1. Conso_bâtiment_EF H3'!K13*'D.1. Facteur d''émissions'!C16)))/1000),"")))</f>
        <v>2.0734690899999997</v>
      </c>
      <c r="T174" s="1090">
        <f>S174*15</f>
        <v>31.102036349999995</v>
      </c>
      <c r="V174" s="360"/>
    </row>
    <row r="175" spans="2:22" ht="19.5" thickBot="1" x14ac:dyDescent="0.3">
      <c r="B175" s="512"/>
      <c r="C175" s="512"/>
      <c r="D175" s="361"/>
      <c r="E175" s="363"/>
      <c r="F175" s="363"/>
      <c r="G175" s="792"/>
      <c r="H175" s="1"/>
      <c r="I175" s="809" t="s">
        <v>3313</v>
      </c>
      <c r="L175" s="733"/>
      <c r="M175" s="25"/>
      <c r="N175" s="25"/>
      <c r="O175" s="360"/>
      <c r="R175" s="1074" t="s">
        <v>3830</v>
      </c>
      <c r="S175" s="1095">
        <f>'C.1 Facteurs éco - coûts'!E27/T174</f>
        <v>91.312349070674287</v>
      </c>
      <c r="T175" t="s">
        <v>3776</v>
      </c>
      <c r="V175" s="360"/>
    </row>
    <row r="176" spans="2:22" ht="19.5" thickBot="1" x14ac:dyDescent="0.3">
      <c r="B176" s="512"/>
      <c r="C176" s="512"/>
      <c r="G176" s="663"/>
      <c r="H176" s="663"/>
      <c r="I176" s="800" t="s">
        <v>3314</v>
      </c>
      <c r="J176" s="842" t="str">
        <f>IF(J181="",J185,J181)</f>
        <v/>
      </c>
      <c r="L176" s="834" t="s">
        <v>3315</v>
      </c>
      <c r="M176" s="606" t="s">
        <v>3316</v>
      </c>
      <c r="N176" s="25"/>
      <c r="O176" s="360"/>
      <c r="R176" s="1074"/>
      <c r="S176" s="1091"/>
      <c r="V176" s="360"/>
    </row>
    <row r="177" spans="2:22" ht="24" thickBot="1" x14ac:dyDescent="0.4">
      <c r="B177" s="512"/>
      <c r="C177" s="512"/>
      <c r="D177" s="856">
        <v>3</v>
      </c>
      <c r="E177" s="789" t="s">
        <v>3318</v>
      </c>
      <c r="F177" s="362"/>
      <c r="G177" s="358"/>
      <c r="I177" s="800" t="s">
        <v>3317</v>
      </c>
      <c r="J177" s="843" t="str">
        <f>IF(J182="",J186,J182)</f>
        <v/>
      </c>
      <c r="L177" s="374"/>
      <c r="M177" s="830">
        <f>IF(AND(OR(E173="Chaudière fioul THPE",E173="Chaudière fioul standard de plus de 15 ans"),J185&lt;&gt;""),((F161*'D.1. Facteur d''émissions'!C7)-((M182*J176*E180*'D.1. Facteur d''émissions'!C11)+(M182*J176*(1-E180)*'D.1. Facteur d''émissions'!C8)+(M182*J177*'D.1. Facteur d''émissions'!C15)))/1000,0)</f>
        <v>0</v>
      </c>
      <c r="N177" s="25" t="s">
        <v>3312</v>
      </c>
      <c r="O177" s="360"/>
      <c r="R177" s="359"/>
      <c r="V177" s="360"/>
    </row>
    <row r="178" spans="2:22" ht="18.75" x14ac:dyDescent="0.2">
      <c r="B178" s="512"/>
      <c r="C178" s="512"/>
      <c r="D178" s="359"/>
      <c r="G178" s="360"/>
      <c r="I178" s="837" t="str">
        <f>IF(J185="","","Check 100%")</f>
        <v/>
      </c>
      <c r="J178" s="838" t="str">
        <f>IF(J185="","",(J176+J177)=100%)</f>
        <v/>
      </c>
      <c r="M178" s="783"/>
      <c r="N178" s="783"/>
      <c r="O178" s="360"/>
      <c r="R178" s="359"/>
      <c r="V178" s="360"/>
    </row>
    <row r="179" spans="2:22" ht="19.5" thickBot="1" x14ac:dyDescent="0.3">
      <c r="B179" s="512"/>
      <c r="C179" s="512"/>
      <c r="D179" s="359"/>
      <c r="E179" t="s">
        <v>3321</v>
      </c>
      <c r="G179" s="360"/>
      <c r="I179" s="359"/>
      <c r="L179" s="733"/>
      <c r="M179" s="606" t="s">
        <v>3320</v>
      </c>
      <c r="N179" s="25"/>
      <c r="O179" s="360"/>
      <c r="R179" s="1123" t="s">
        <v>3832</v>
      </c>
      <c r="V179" s="360"/>
    </row>
    <row r="180" spans="2:22" ht="19.5" thickBot="1" x14ac:dyDescent="0.25">
      <c r="B180" s="512"/>
      <c r="C180" s="512"/>
      <c r="D180" s="359"/>
      <c r="E180" s="781">
        <v>1</v>
      </c>
      <c r="G180" s="360"/>
      <c r="I180" s="810" t="s">
        <v>3319</v>
      </c>
      <c r="J180" s="513"/>
      <c r="L180" s="834" t="s">
        <v>3322</v>
      </c>
      <c r="M180" s="830">
        <f>IF(OR(OR(E173="Chaudière fioul standard de plus de 15 ans",E173="Chaudière fioul THPE"),J185=""),0,((F165*'D.1. Facteur d''émissions'!C8)-((M182*J176*E180*'D.1. Facteur d''émissions'!C11)+(M182*J176*(1-E180)*'D.1. Facteur d''émissions'!C8)+(M182*J177*'D.1. Facteur d''émissions'!C15)))/1000)</f>
        <v>0</v>
      </c>
      <c r="N180" s="25" t="s">
        <v>3312</v>
      </c>
      <c r="O180" s="360"/>
      <c r="R180" s="359" t="s">
        <v>3789</v>
      </c>
      <c r="S180" s="1092">
        <f>IF(AND(OR(E173="Chaudière fioul THPE",E173="Chaudière fioul standard de plus de 15 ans"),J185=""),((F161*'D.1. Facteur d''émissions'!C7)-(('3.2 Outil carbone'!J173*'D.1. Facteur d''émissions'!C11)))/1000,0)</f>
        <v>0</v>
      </c>
      <c r="V180" s="360"/>
    </row>
    <row r="181" spans="2:22" ht="19.5" thickBot="1" x14ac:dyDescent="0.25">
      <c r="B181" s="512"/>
      <c r="C181" s="512"/>
      <c r="D181" s="361"/>
      <c r="E181" s="363"/>
      <c r="F181" s="363"/>
      <c r="G181" s="364"/>
      <c r="I181" s="800" t="s">
        <v>3314</v>
      </c>
      <c r="J181" s="780"/>
      <c r="L181" s="835"/>
      <c r="M181" s="783"/>
      <c r="N181" s="783"/>
      <c r="O181" s="360"/>
      <c r="R181" s="359" t="s">
        <v>3790</v>
      </c>
      <c r="S181" s="1092">
        <f>IF(AND(OR(E173="Chaudière fioul THPE",E173="Chaudière fioul standard de plus de 15 ans"),J185&lt;&gt;""),((F161*'D.1. Facteur d''émissions'!C7)-((M182*J176*'D.1. Facteur d''émissions'!C11)+(M182*J177*'D.1. Facteur d''émissions'!C15)))/1000,0)</f>
        <v>0</v>
      </c>
      <c r="V181" s="360"/>
    </row>
    <row r="182" spans="2:22" ht="19.5" thickBot="1" x14ac:dyDescent="0.3">
      <c r="B182" s="512"/>
      <c r="C182" s="512"/>
      <c r="I182" s="800" t="s">
        <v>3317</v>
      </c>
      <c r="J182" s="780"/>
      <c r="L182" s="833"/>
      <c r="M182" s="827" t="str">
        <f>IF(J185="","",J173/(J176+J177*'D.1. Facteur d''émissions'!C47))</f>
        <v/>
      </c>
      <c r="N182" s="606" t="s">
        <v>3323</v>
      </c>
      <c r="O182" s="360"/>
      <c r="R182" s="359" t="s">
        <v>3791</v>
      </c>
      <c r="S182" s="1100">
        <f>IF(OR(OR(E173="Chaudière fioul standard de plus de 15 ans",E173="Chaudière fioul THPE"),J185=""),0,((F165*'D.1. Facteur d''émissions'!C8)-((M182*J176*'D.1. Facteur d''émissions'!C11)+(M182*J177*'D.1. Facteur d''émissions'!C15)))/1000)</f>
        <v>0</v>
      </c>
      <c r="V182" s="360"/>
    </row>
    <row r="183" spans="2:22" ht="23.25" x14ac:dyDescent="0.35">
      <c r="B183" s="512"/>
      <c r="C183" s="512"/>
      <c r="D183" s="856">
        <v>4</v>
      </c>
      <c r="E183" s="789" t="s">
        <v>3347</v>
      </c>
      <c r="F183" s="914" t="s">
        <v>3348</v>
      </c>
      <c r="G183" s="849"/>
      <c r="I183" s="359"/>
      <c r="J183" s="803"/>
      <c r="L183" s="733"/>
      <c r="M183" s="1238" t="s">
        <v>3324</v>
      </c>
      <c r="N183" s="1238"/>
      <c r="O183" s="730"/>
      <c r="R183" s="359" t="s">
        <v>3793</v>
      </c>
      <c r="S183" s="1096">
        <f>IF(OR(OR(E173="Chaudière fioul THPE",E173="Chaudière fioul standard de plus de 15 ans"),J185&lt;&gt;""),0,((F165*'D.1. Facteur d''émissions'!C8)-(('3.2 Outil carbone'!J173*'D.1. Facteur d''émissions'!C11)))/1000)</f>
        <v>2.2728381315107065</v>
      </c>
      <c r="T183" t="s">
        <v>3776</v>
      </c>
      <c r="V183" s="360"/>
    </row>
    <row r="184" spans="2:22" ht="18.75" x14ac:dyDescent="0.25">
      <c r="B184" s="512"/>
      <c r="C184" s="512"/>
      <c r="D184" s="359"/>
      <c r="F184" s="81"/>
      <c r="G184" s="795"/>
      <c r="I184" s="809" t="s">
        <v>741</v>
      </c>
      <c r="M184" s="783"/>
      <c r="N184" s="783"/>
      <c r="O184" s="730"/>
      <c r="R184" s="1093" t="s">
        <v>3833</v>
      </c>
      <c r="S184" s="1097">
        <f>SUM(S180:S183)</f>
        <v>2.2728381315107065</v>
      </c>
      <c r="T184" s="1090">
        <f>S184*15</f>
        <v>34.092571972660593</v>
      </c>
      <c r="V184" s="360"/>
    </row>
    <row r="185" spans="2:22" ht="19.5" thickBot="1" x14ac:dyDescent="0.3">
      <c r="B185" s="512"/>
      <c r="C185" s="512"/>
      <c r="D185" s="359"/>
      <c r="E185" s="1" t="s">
        <v>3349</v>
      </c>
      <c r="G185" s="360"/>
      <c r="I185" s="800" t="s">
        <v>3314</v>
      </c>
      <c r="J185" s="841" t="str">
        <f>IF(F163="H2",IF(VLOOKUP(G173,'A.1. Conso_bâtiment_EF H2'!E102:T123,4,0)="Oui",VLOOKUP(G173,'A.1. Conso_bâtiment_EF H2'!E102:T123,12,0)/VLOOKUP(G173,'A.1. Conso_bâtiment_EF H2'!E102:T123,11,0),""),IF(F163="H1",IF(VLOOKUP(G173,'A.1. Conso_bâtiment_EF H1'!E102:T123,4,0)="Oui",VLOOKUP(G173,'A.1. Conso_bâtiment_EF H1'!E102:T123,12,0)/VLOOKUP(G173,'A.1. Conso_bâtiment_EF H1'!E102:T123,11,0),""),IF(F163="H3",IF(VLOOKUP(G173,'A.1. Conso_bâtiment_EF H3'!E102:T123,4,0)="Oui",VLOOKUP(G173,'A.1. Conso_bâtiment_EF H3'!E102:T123,12,0)/VLOOKUP(G173,'A.1. Conso_bâtiment_EF H3'!E102:T123,11,0),""),"")))</f>
        <v/>
      </c>
      <c r="L185" s="834" t="s">
        <v>3325</v>
      </c>
      <c r="M185" s="606" t="s">
        <v>3326</v>
      </c>
      <c r="N185" s="201"/>
      <c r="O185" s="730"/>
      <c r="R185" s="359"/>
      <c r="V185" s="360"/>
    </row>
    <row r="186" spans="2:22" ht="19.5" thickBot="1" x14ac:dyDescent="0.3">
      <c r="B186" s="512"/>
      <c r="C186" s="512"/>
      <c r="D186" s="359"/>
      <c r="E186" s="850">
        <f>VLOOKUP(G173,'C.1 Facteurs éco - coûts'!C21:G26,3,0)</f>
        <v>5000</v>
      </c>
      <c r="G186" s="851" t="s">
        <v>3350</v>
      </c>
      <c r="I186" s="800" t="str">
        <f>IF(J186="","","Part d'électricité (EF)*")</f>
        <v/>
      </c>
      <c r="J186" s="841" t="str">
        <f>IF(F163="H2",IF(VLOOKUP(G173,'A.1. Conso_bâtiment_EF H2'!E102:T123,4,0)="Oui",VLOOKUP(G173,'A.1. Conso_bâtiment_EF H2'!E102:T123,13,0)/VLOOKUP(G173,'A.1. Conso_bâtiment_EF H2'!E102:T123,11,0),""),IF(F163="H1",IF(VLOOKUP(G173,'A.1. Conso_bâtiment_EF H1'!E102:T123,4,0)="Oui",VLOOKUP(G173,'A.1. Conso_bâtiment_EF H1'!E102:T123,13,0)/VLOOKUP(G173,'A.1. Conso_bâtiment_EF H1'!E102:T123,11,0),""),IF(F163="H3",IF(VLOOKUP(G173,'A.1. Conso_bâtiment_EF H3'!E102:T123,4,0)="Oui",VLOOKUP(G173,'A.1. Conso_bâtiment_EF H3'!E102:T123,13,0)/VLOOKUP(G173,'A.1. Conso_bâtiment_EF H3'!E102:T123,11,0),""),"")))</f>
        <v/>
      </c>
      <c r="M186" s="830">
        <f>IF(OR(OR(E173="Chaudière fioul THPE",E173="Chaudière fioul standard de plus de 15 ans"),J185&lt;&gt;""),0,((F165*'D.1. Facteur d''émissions'!C8)-(('3.2 Outil carbone'!J173*E180*'D.1. Facteur d''émissions'!C11)+('3.2 Outil carbone'!J173*(1-E180)*'D.1. Facteur d''émissions'!C8)))/1000)</f>
        <v>2.2728381315107065</v>
      </c>
      <c r="N186" s="25" t="s">
        <v>3312</v>
      </c>
      <c r="O186" s="730"/>
      <c r="R186" s="359"/>
      <c r="V186" s="360"/>
    </row>
    <row r="187" spans="2:22" ht="19.5" thickBot="1" x14ac:dyDescent="0.3">
      <c r="B187" s="512"/>
      <c r="C187" s="512"/>
      <c r="D187" s="359"/>
      <c r="F187" s="1239" t="s">
        <v>3351</v>
      </c>
      <c r="G187" s="848">
        <f>IF(E189="",E186,E189)</f>
        <v>5000</v>
      </c>
      <c r="I187" s="891"/>
      <c r="J187" s="32"/>
      <c r="O187" s="730"/>
      <c r="R187" s="1074" t="s">
        <v>3798</v>
      </c>
      <c r="S187" s="1095">
        <f>G187/T184</f>
        <v>146.65951292878648</v>
      </c>
      <c r="V187" s="360"/>
    </row>
    <row r="188" spans="2:22" ht="18.75" x14ac:dyDescent="0.25">
      <c r="B188" s="512"/>
      <c r="C188" s="512"/>
      <c r="D188" s="359"/>
      <c r="E188" s="1" t="s">
        <v>3352</v>
      </c>
      <c r="F188" s="1239"/>
      <c r="G188" s="793"/>
      <c r="I188" s="359"/>
      <c r="J188" s="665"/>
      <c r="L188" s="81" t="s">
        <v>142</v>
      </c>
      <c r="M188" s="861">
        <f>SUM(M174,M177,M180,M186)</f>
        <v>2.2728381315107065</v>
      </c>
      <c r="N188" s="807" t="s">
        <v>3312</v>
      </c>
      <c r="O188" s="360"/>
      <c r="R188" s="359"/>
      <c r="S188" s="1089"/>
      <c r="T188" s="1090"/>
      <c r="V188" s="360"/>
    </row>
    <row r="189" spans="2:22" ht="18.75" x14ac:dyDescent="0.25">
      <c r="B189" s="512"/>
      <c r="C189" s="512"/>
      <c r="D189" s="359"/>
      <c r="E189" s="847"/>
      <c r="G189" s="793"/>
      <c r="I189" s="359"/>
      <c r="J189" s="665"/>
      <c r="O189" s="360"/>
      <c r="R189" s="359"/>
      <c r="V189" s="360"/>
    </row>
    <row r="190" spans="2:22" ht="18.75" x14ac:dyDescent="0.25">
      <c r="B190" s="512"/>
      <c r="C190" s="512"/>
      <c r="D190" s="359"/>
      <c r="G190" s="793"/>
      <c r="I190" s="359"/>
      <c r="J190" s="665"/>
      <c r="O190" s="360"/>
      <c r="R190" s="359"/>
      <c r="V190" s="360"/>
    </row>
    <row r="191" spans="2:22" ht="19.5" thickBot="1" x14ac:dyDescent="0.3">
      <c r="B191" s="512"/>
      <c r="C191" s="512"/>
      <c r="D191" s="359"/>
      <c r="E191" s="1" t="s">
        <v>3354</v>
      </c>
      <c r="G191" s="793" t="s">
        <v>3355</v>
      </c>
      <c r="I191" s="359"/>
      <c r="J191" s="857"/>
      <c r="K191" s="858"/>
      <c r="M191" s="901" t="s">
        <v>27</v>
      </c>
      <c r="N191" s="898"/>
      <c r="O191" s="360"/>
      <c r="R191" s="359"/>
      <c r="V191" s="360"/>
    </row>
    <row r="192" spans="2:22" ht="19.5" thickBot="1" x14ac:dyDescent="0.3">
      <c r="B192" s="512"/>
      <c r="C192" s="512"/>
      <c r="D192" s="359"/>
      <c r="E192" s="854">
        <f>IF(E193="",'C.1 Facteurs éco - coûts'!E43,E193)</f>
        <v>0.12360499999999999</v>
      </c>
      <c r="G192" s="859">
        <f>IF(G193="",'C.1 Facteurs éco - coûts'!E20,G193)</f>
        <v>0</v>
      </c>
      <c r="I192" s="359"/>
      <c r="J192" s="862"/>
      <c r="K192" s="858"/>
      <c r="M192" s="899">
        <f>(M188*1000)/'D.2. Equivalents ADEME'!D5</f>
        <v>516.55412079788778</v>
      </c>
      <c r="N192" s="898" t="s">
        <v>3356</v>
      </c>
      <c r="O192" s="360"/>
      <c r="R192" s="359"/>
      <c r="V192" s="360"/>
    </row>
    <row r="193" spans="2:22" ht="18.75" x14ac:dyDescent="0.25">
      <c r="B193" s="512"/>
      <c r="C193" s="512"/>
      <c r="D193" s="359"/>
      <c r="E193" s="855"/>
      <c r="G193" s="860"/>
      <c r="I193" s="359"/>
      <c r="J193" s="858"/>
      <c r="K193" s="858"/>
      <c r="M193" s="903">
        <f>(M188*1000)/'D.2. Equivalents ADEME'!D8</f>
        <v>0.26112570444746164</v>
      </c>
      <c r="N193" s="898" t="s">
        <v>3359</v>
      </c>
      <c r="O193" s="360"/>
      <c r="R193" s="359"/>
      <c r="V193" s="360"/>
    </row>
    <row r="194" spans="2:22" ht="18.75" x14ac:dyDescent="0.25">
      <c r="B194" s="512"/>
      <c r="C194" s="512"/>
      <c r="D194" s="359"/>
      <c r="E194" s="1" t="s">
        <v>3357</v>
      </c>
      <c r="G194" s="793" t="s">
        <v>3358</v>
      </c>
      <c r="I194" s="359"/>
      <c r="J194" s="1105" t="s">
        <v>3800</v>
      </c>
      <c r="K194" s="858"/>
      <c r="M194" s="902">
        <f>(M188*1000)/'D.2. Equivalents ADEME'!D7</f>
        <v>5.5435076378309907</v>
      </c>
      <c r="N194" s="898" t="s">
        <v>3360</v>
      </c>
      <c r="O194" s="360"/>
      <c r="R194" s="359"/>
      <c r="V194" s="360"/>
    </row>
    <row r="195" spans="2:22" ht="19.5" thickBot="1" x14ac:dyDescent="0.25">
      <c r="B195" s="512"/>
      <c r="C195" s="512"/>
      <c r="D195" s="359"/>
      <c r="E195" s="854">
        <f>IF(E196="",'C.1 Facteurs éco - coûts'!E100,E196)</f>
        <v>0.10589999999999999</v>
      </c>
      <c r="G195" s="859">
        <f>IF(G196="",'C.1 Facteurs éco - coûts'!E104,G196)</f>
        <v>0.11559999999999999</v>
      </c>
      <c r="I195" s="359"/>
      <c r="J195" s="858"/>
      <c r="K195" s="858"/>
      <c r="M195" s="898"/>
      <c r="N195" s="898"/>
      <c r="O195" s="360"/>
      <c r="R195" s="359"/>
      <c r="V195" s="360"/>
    </row>
    <row r="196" spans="2:22" ht="18.600000000000001" customHeight="1" thickBot="1" x14ac:dyDescent="0.3">
      <c r="B196" s="512"/>
      <c r="C196" s="512"/>
      <c r="D196" s="359"/>
      <c r="E196" s="855"/>
      <c r="G196" s="860"/>
      <c r="I196" s="359"/>
      <c r="J196" s="862">
        <f>IF(OR(E173="Chaudière fioul THPE",E173="Chaudière fioul standard de plus de 15 ans"),IF(G173="PAC A/E + THPE (PAC hybride)",(F165*G195)-((J176*M182*E180*E195)+(J176*M182*(1-E180)*E192)+(J177*M182*G192)),((F165*G195)-((J173*E180*E195)+(J173*(1-E180)*E192)))),IF(G173="PAC A/E + THPE (PAC hybride)",((F165*E192)-((J176*M182*E180*E195)+(J176*M182*(1-E180)*E192)+(J177*M182*G192))),((F165*E192)-((J173*E180*E195)+J173*(1-E180)*E192))))</f>
        <v>517.84204233823334</v>
      </c>
      <c r="K196" s="858" t="s">
        <v>3361</v>
      </c>
      <c r="O196" s="360"/>
      <c r="R196" s="359"/>
      <c r="V196" s="360"/>
    </row>
    <row r="197" spans="2:22" ht="19.5" thickBot="1" x14ac:dyDescent="0.25">
      <c r="B197" s="512"/>
      <c r="C197" s="512"/>
      <c r="D197" s="361"/>
      <c r="E197" s="363"/>
      <c r="F197" s="363"/>
      <c r="G197" s="364"/>
      <c r="I197" s="361"/>
      <c r="J197" s="892"/>
      <c r="K197" s="363"/>
      <c r="L197" s="363"/>
      <c r="M197" s="363"/>
      <c r="N197" s="363"/>
      <c r="O197" s="364"/>
      <c r="R197" s="361"/>
      <c r="S197" s="363"/>
      <c r="T197" s="363"/>
      <c r="U197" s="363"/>
      <c r="V197" s="364"/>
    </row>
    <row r="198" spans="2:22" ht="18.75" x14ac:dyDescent="0.2">
      <c r="B198" s="512"/>
      <c r="C198" s="512"/>
      <c r="J198" s="665"/>
    </row>
    <row r="199" spans="2:22" ht="18.75" x14ac:dyDescent="0.2">
      <c r="B199" s="512"/>
      <c r="C199" s="512"/>
      <c r="J199" s="665"/>
    </row>
    <row r="200" spans="2:22" ht="18.75" x14ac:dyDescent="0.2">
      <c r="B200" s="512"/>
      <c r="C200" s="512"/>
      <c r="J200" s="665"/>
    </row>
    <row r="201" spans="2:22" ht="18.75" x14ac:dyDescent="0.2">
      <c r="B201" s="512"/>
      <c r="C201" s="512"/>
      <c r="J201" s="665"/>
    </row>
    <row r="202" spans="2:22" ht="18.75" x14ac:dyDescent="0.2">
      <c r="B202" s="512"/>
      <c r="C202" s="512"/>
      <c r="J202" s="665"/>
    </row>
    <row r="203" spans="2:22" ht="18.75" x14ac:dyDescent="0.2">
      <c r="B203" s="512"/>
      <c r="C203" s="512"/>
      <c r="J203" s="665"/>
    </row>
    <row r="204" spans="2:22" ht="18.75" x14ac:dyDescent="0.2">
      <c r="B204" s="512"/>
      <c r="C204" s="512"/>
      <c r="J204" s="665"/>
    </row>
    <row r="205" spans="2:22" ht="18.75" x14ac:dyDescent="0.2">
      <c r="B205" s="512"/>
      <c r="C205" s="512"/>
      <c r="J205" s="665"/>
    </row>
    <row r="206" spans="2:22" ht="18.75" hidden="1" outlineLevel="1" x14ac:dyDescent="0.2">
      <c r="B206" s="512"/>
      <c r="C206" s="512"/>
      <c r="E206" s="540" t="s">
        <v>260</v>
      </c>
      <c r="F206" s="540"/>
      <c r="G206" s="540"/>
      <c r="H206" s="540"/>
      <c r="I206" s="540"/>
      <c r="J206" s="540">
        <f>MATCH(E173,'A.2. Performances_Bâtiment H2'!D46:D55,0)</f>
        <v>2</v>
      </c>
      <c r="K206" s="540"/>
      <c r="L206" s="540"/>
      <c r="M206" s="540"/>
      <c r="N206" s="540"/>
      <c r="O206" s="540"/>
      <c r="P206" s="540"/>
      <c r="Q206" s="540">
        <f>MATCH(E173,'A.2. Performances_Bâtiment H2'!S46:S55,0)</f>
        <v>2</v>
      </c>
    </row>
    <row r="207" spans="2:22" ht="18.75" hidden="1" outlineLevel="1" x14ac:dyDescent="0.2">
      <c r="B207" s="512"/>
      <c r="C207" s="512"/>
      <c r="E207" s="540"/>
      <c r="F207" s="540"/>
      <c r="G207" s="540"/>
      <c r="H207" s="540"/>
      <c r="I207" s="540"/>
      <c r="J207" s="540">
        <f>MATCH(G173,'A.2. Performances_Bâtiment H2'!D46:M46,0)</f>
        <v>4</v>
      </c>
      <c r="K207" s="540"/>
      <c r="L207" s="540"/>
      <c r="M207" s="540"/>
      <c r="N207" s="540"/>
      <c r="O207" s="540"/>
      <c r="P207" s="540"/>
      <c r="Q207" s="540">
        <f>MATCH(G173,'A.2. Performances_Bâtiment H2'!S46:AB46,0)</f>
        <v>4</v>
      </c>
    </row>
    <row r="208" spans="2:22" ht="18.75" collapsed="1" x14ac:dyDescent="0.25">
      <c r="B208" s="512"/>
      <c r="C208" s="512"/>
      <c r="E208" s="49" t="s">
        <v>222</v>
      </c>
    </row>
    <row r="209" spans="2:11" ht="18.75" x14ac:dyDescent="0.25">
      <c r="B209" s="512"/>
      <c r="C209" s="512"/>
      <c r="E209" s="49"/>
    </row>
    <row r="210" spans="2:11" ht="18.75" x14ac:dyDescent="0.25">
      <c r="B210" s="512"/>
      <c r="C210" s="512"/>
      <c r="E210" s="43" t="s">
        <v>170</v>
      </c>
    </row>
    <row r="211" spans="2:11" ht="19.5" thickBot="1" x14ac:dyDescent="0.3">
      <c r="B211" s="512"/>
      <c r="C211" s="512"/>
      <c r="E211" s="49"/>
    </row>
    <row r="212" spans="2:11" ht="23.25" x14ac:dyDescent="0.35">
      <c r="B212" s="512"/>
      <c r="C212" s="512"/>
      <c r="D212" s="1121">
        <v>1</v>
      </c>
      <c r="E212" s="789" t="s">
        <v>3327</v>
      </c>
      <c r="F212" s="362"/>
      <c r="G212" s="358"/>
      <c r="I212" s="1121">
        <v>4</v>
      </c>
      <c r="J212" s="797" t="s">
        <v>3296</v>
      </c>
      <c r="K212" s="358"/>
    </row>
    <row r="213" spans="2:11" x14ac:dyDescent="0.2">
      <c r="B213" s="370" t="s">
        <v>272</v>
      </c>
      <c r="C213" s="370"/>
      <c r="D213" s="359"/>
      <c r="G213" s="360"/>
      <c r="I213" s="359"/>
      <c r="K213" s="360"/>
    </row>
    <row r="214" spans="2:11" x14ac:dyDescent="0.2">
      <c r="B214" t="s">
        <v>182</v>
      </c>
      <c r="D214" s="359"/>
      <c r="G214" s="360"/>
      <c r="I214" s="359"/>
      <c r="J214" s="707"/>
      <c r="K214" s="360"/>
    </row>
    <row r="215" spans="2:11" ht="15.75" thickBot="1" x14ac:dyDescent="0.3">
      <c r="B215" t="s">
        <v>185</v>
      </c>
      <c r="D215" s="359"/>
      <c r="E215" s="207" t="s">
        <v>3297</v>
      </c>
      <c r="F215" s="545"/>
      <c r="G215" s="785" t="s">
        <v>3328</v>
      </c>
      <c r="H215" s="575"/>
      <c r="I215" s="359"/>
      <c r="J215" s="1" t="s">
        <v>3299</v>
      </c>
      <c r="K215" s="727"/>
    </row>
    <row r="216" spans="2:11" ht="15.75" thickBot="1" x14ac:dyDescent="0.25">
      <c r="B216" t="s">
        <v>186</v>
      </c>
      <c r="D216" s="359"/>
      <c r="G216" s="360"/>
      <c r="I216" s="359"/>
      <c r="J216" s="839">
        <f>IF(J222="",F222*-J217,F222*-J222)</f>
        <v>12093.839999999995</v>
      </c>
      <c r="K216" s="728" t="str">
        <f>IF(J241="","kWh PCI/an","kWh EP/an")</f>
        <v>kWh EP/an</v>
      </c>
    </row>
    <row r="217" spans="2:11" ht="18" customHeight="1" x14ac:dyDescent="0.2">
      <c r="B217" t="s">
        <v>191</v>
      </c>
      <c r="D217" s="359"/>
      <c r="E217" s="207" t="s">
        <v>3300</v>
      </c>
      <c r="F217" s="788">
        <f>IF(F220="H2",IF(OR(E229="Chaudière fioul standard de plus de 15 ans",E229="Chaudière fioul THPE"),VLOOKUP(E229,'A.1. Conso_bâtiment_EF H2'!E102:AC123,19,0)*'A.1. Conso_bâtiment_EF H2'!L12,VLOOKUP(E229,'A.1. Conso_bâtiment_EF H2'!E102:AC123,17,0)*'A.1. Conso_bâtiment_EF H2'!L13)*F218,IF(F220="H1",IF(OR(E229="Chaudière fioul standard de plus de 15 ans",E229="Chaudière fioul THPE"),VLOOKUP(E229,'A.1. Conso_bâtiment_EF H1'!E102:AC123,19,0)*'A.1. Conso_bâtiment_EF H1'!L12,VLOOKUP(E229,'A.1. Conso_bâtiment_EF H1'!E102:AC123,17,0)*'A.1. Conso_bâtiment_EF H1'!L13)*F218,IF(F220="H3",IF(OR(E229="Chaudière fioul standard de plus de 15 ans",E229="Chaudière fioul THPE"),VLOOKUP(E229,'A.1. Conso_bâtiment_EF H3'!E102:AC123,19,0)*'A.1. Conso_bâtiment_EF H3'!L12,VLOOKUP(E229,'A.1. Conso_bâtiment_EF H3'!E102:AC123,17,0)*'A.1. Conso_bâtiment_EF H3'!L13)*F218,"")))</f>
        <v>39540.6</v>
      </c>
      <c r="G217" s="817"/>
      <c r="H217" s="538"/>
      <c r="I217" s="800" t="str">
        <f>IF(J222="","soit (cas moyen)","")</f>
        <v>soit (cas moyen)</v>
      </c>
      <c r="J217" s="801" cm="1">
        <f t="array" ref="J217">IF(J222="",INDEX('A.2. Performances_Bâtiment H2'!D65:M76,'3.2 Outil carbone'!J258,'3.2 Outil carbone'!J259),"")</f>
        <v>-0.3058587881822733</v>
      </c>
      <c r="K217" s="787" t="str">
        <f>IF(J222="",IF(J217&gt;0,"de consommation énergétique supplémentaire","d'économies d'énergie"),"")</f>
        <v>d'économies d'énergie</v>
      </c>
    </row>
    <row r="218" spans="2:11" x14ac:dyDescent="0.2">
      <c r="D218" s="359"/>
      <c r="E218" t="s">
        <v>3330</v>
      </c>
      <c r="F218" s="545">
        <v>3</v>
      </c>
      <c r="G218" s="817"/>
      <c r="H218" s="538"/>
      <c r="I218" s="800"/>
      <c r="J218" s="712"/>
      <c r="K218" s="787"/>
    </row>
    <row r="219" spans="2:11" x14ac:dyDescent="0.2">
      <c r="D219" s="359"/>
      <c r="E219" s="207" t="s">
        <v>3536</v>
      </c>
      <c r="F219" s="989" t="s">
        <v>3620</v>
      </c>
      <c r="G219" s="817"/>
      <c r="H219" s="538"/>
      <c r="I219" s="800"/>
      <c r="J219" s="712"/>
      <c r="K219" s="787"/>
    </row>
    <row r="220" spans="2:11" x14ac:dyDescent="0.2">
      <c r="D220" s="359"/>
      <c r="E220" s="207" t="s">
        <v>3634</v>
      </c>
      <c r="F220" s="990" t="str">
        <f>VLOOKUP(F219,'Correspondance département'!$B$2:$C$99,2,FALSE)</f>
        <v>H2</v>
      </c>
      <c r="G220" s="817"/>
      <c r="H220" s="538"/>
      <c r="I220" s="800"/>
      <c r="J220" s="712"/>
      <c r="K220" s="787"/>
    </row>
    <row r="221" spans="2:11" ht="15" thickBot="1" x14ac:dyDescent="0.25">
      <c r="B221" t="s">
        <v>189</v>
      </c>
      <c r="D221" s="359"/>
      <c r="G221" s="360"/>
      <c r="I221" s="800"/>
      <c r="J221" s="712"/>
      <c r="K221" s="787"/>
    </row>
    <row r="222" spans="2:11" ht="30" thickBot="1" x14ac:dyDescent="0.3">
      <c r="B222" s="207" t="s">
        <v>196</v>
      </c>
      <c r="D222" s="359"/>
      <c r="E222" t="s">
        <v>3301</v>
      </c>
      <c r="F222" s="840">
        <f>IF(F215="",F217,F215)</f>
        <v>39540.6</v>
      </c>
      <c r="G222" s="360"/>
      <c r="I222" s="802" t="s">
        <v>257</v>
      </c>
      <c r="J222" s="556"/>
      <c r="K222" s="787"/>
    </row>
    <row r="223" spans="2:11" ht="15.75" thickBot="1" x14ac:dyDescent="0.3">
      <c r="B223" t="s">
        <v>197</v>
      </c>
      <c r="D223" s="361"/>
      <c r="E223" s="363"/>
      <c r="F223" s="363"/>
      <c r="G223" s="364"/>
      <c r="I223" s="802"/>
      <c r="J223" s="537" t="s">
        <v>258</v>
      </c>
      <c r="K223" s="787"/>
    </row>
    <row r="224" spans="2:11" ht="15" thickBot="1" x14ac:dyDescent="0.25">
      <c r="I224" s="361"/>
      <c r="J224" s="363"/>
      <c r="K224" s="822"/>
    </row>
    <row r="225" spans="2:22" ht="15" thickBot="1" x14ac:dyDescent="0.25">
      <c r="B225" s="370" t="s">
        <v>274</v>
      </c>
      <c r="C225" s="370"/>
      <c r="F225" s="546"/>
      <c r="G225" s="536"/>
      <c r="H225" s="536"/>
    </row>
    <row r="226" spans="2:22" ht="23.25" x14ac:dyDescent="0.35">
      <c r="B226" t="s">
        <v>186</v>
      </c>
      <c r="D226" s="1121">
        <v>2</v>
      </c>
      <c r="E226" s="789" t="s">
        <v>3304</v>
      </c>
      <c r="F226" s="362"/>
      <c r="G226" s="358"/>
      <c r="I226" s="1121">
        <v>5</v>
      </c>
      <c r="J226" s="797" t="s">
        <v>3305</v>
      </c>
      <c r="K226" s="362"/>
      <c r="L226" s="823"/>
      <c r="M226" s="823"/>
      <c r="N226" s="362"/>
      <c r="O226" s="358"/>
      <c r="R226" s="856">
        <v>6</v>
      </c>
      <c r="S226" s="797" t="s">
        <v>3827</v>
      </c>
      <c r="T226" s="362"/>
      <c r="U226" s="362"/>
      <c r="V226" s="358"/>
    </row>
    <row r="227" spans="2:22" ht="15.75" x14ac:dyDescent="0.25">
      <c r="B227" t="s">
        <v>185</v>
      </c>
      <c r="D227" s="359"/>
      <c r="G227" s="360"/>
      <c r="H227" s="1"/>
      <c r="I227" s="359"/>
      <c r="K227" s="434"/>
      <c r="L227" s="18"/>
      <c r="O227" s="360"/>
      <c r="P227" s="434"/>
      <c r="Q227" s="1"/>
      <c r="R227" s="359" t="s">
        <v>3792</v>
      </c>
      <c r="V227" s="360"/>
    </row>
    <row r="228" spans="2:22" ht="16.5" thickBot="1" x14ac:dyDescent="0.3">
      <c r="B228" t="s">
        <v>191</v>
      </c>
      <c r="D228" s="359"/>
      <c r="E228" s="1" t="s">
        <v>284</v>
      </c>
      <c r="G228" s="793" t="s">
        <v>3346</v>
      </c>
      <c r="H228" s="312"/>
      <c r="I228" s="359"/>
      <c r="J228" s="18" t="s">
        <v>3308</v>
      </c>
      <c r="L228" s="434"/>
      <c r="M228" s="661" t="s">
        <v>3309</v>
      </c>
      <c r="N228" s="25"/>
      <c r="O228" s="360"/>
      <c r="P228" s="138"/>
      <c r="Q228" s="711"/>
      <c r="R228" s="359"/>
      <c r="T228" t="s">
        <v>3776</v>
      </c>
      <c r="V228" s="360"/>
    </row>
    <row r="229" spans="2:22" ht="15.75" thickBot="1" x14ac:dyDescent="0.3">
      <c r="B229" t="s">
        <v>189</v>
      </c>
      <c r="D229" s="359"/>
      <c r="E229" s="574" t="s">
        <v>182</v>
      </c>
      <c r="G229" s="574" t="s">
        <v>187</v>
      </c>
      <c r="I229" s="359"/>
      <c r="J229" s="839">
        <f>F222-J216</f>
        <v>27446.760000000002</v>
      </c>
      <c r="K229" s="138" t="str">
        <f>IF(I230="","kWh PCI/an","kWh EP/an")</f>
        <v>kWh PCI/an</v>
      </c>
      <c r="L229" s="138"/>
      <c r="M229" s="606" t="s">
        <v>3310</v>
      </c>
      <c r="N229" s="25"/>
      <c r="O229" s="360"/>
      <c r="Q229" s="712"/>
      <c r="R229" s="1123" t="s">
        <v>3827</v>
      </c>
      <c r="S229" s="1075"/>
      <c r="T229" s="1090"/>
      <c r="V229" s="360"/>
    </row>
    <row r="230" spans="2:22" ht="15.75" thickBot="1" x14ac:dyDescent="0.3">
      <c r="B230" t="s">
        <v>187</v>
      </c>
      <c r="D230" s="359"/>
      <c r="G230" s="360"/>
      <c r="I230" s="729"/>
      <c r="L230" s="834" t="s">
        <v>3311</v>
      </c>
      <c r="M230" s="830">
        <f>IF(AND(OR(E229="Chaudière fioul THPE",E229="Chaudière fioul standard de plus de 15 ans"),J241=""),((F222*'D.1. Facteur d''émissions'!C7)-(('3.2 Outil carbone'!J229*E238*'D.1. Facteur d''émissions'!C11)+('3.2 Outil carbone'!J229*(1-E238)*'D.1. Facteur d''émissions'!C8)))/1000,0)</f>
        <v>0</v>
      </c>
      <c r="N230" s="807" t="s">
        <v>3312</v>
      </c>
      <c r="O230" s="360"/>
      <c r="R230" s="1093" t="s">
        <v>3831</v>
      </c>
      <c r="S230" s="1094">
        <f>IF(F220="H2",IF(OR(E229="Chaudière fioul THPE",E229="Chaudière fioul standard de plus de 15 ans"),((F222*'D.1. Facteur d''émissions'!C7)-((VLOOKUP("PAC élec air/eau",'A.1. Conso_bâtiment_EF H2'!E103:AC124,18,0)*'A.1. Conso_bâtiment_EF H2'!L13*'D.1. Facteur d''émissions'!C16)))/1000,((F222*'D.1. Facteur d''émissions'!C8)-((VLOOKUP("PAC élec air/eau",'A.1. Conso_bâtiment_EF H2'!E103:AC124,18,0)*'A.1. Conso_bâtiment_EF H2'!L13*'D.1. Facteur d''émissions'!C16)))/1000),IF(F220="H1",IF(OR(E229="Chaudière fioul THPE",E229="Chaudière fioul standard de plus de 15 ans"),((F222*'D.1. Facteur d''émissions'!C7)-((VLOOKUP("PAC élec air/eau",'A.1. Conso_bâtiment_EF H1'!E103:AC124,18,0)*'A.1. Conso_bâtiment_EF H1'!L13*'D.1. Facteur d''émissions'!C16)))/1000,((F222*'D.1. Facteur d''émissions'!C8)-((VLOOKUP("PAC élec air/eau",'A.1. Conso_bâtiment_EF H1'!E103:AC124,18,0)*'A.1. Conso_bâtiment_EF H1'!L13*'D.1. Facteur d''émissions'!C16)))/1000),IF(F220="H3",IF(OR(E229="Chaudière fioul THPE",E229="Chaudière fioul standard de plus de 15 ans"),((F222*'D.1. Facteur d''émissions'!C7)-((VLOOKUP("PAC élec air/eau",'A.1. Conso_bâtiment_EF H3'!E103:AC124,18,0)*'A.1. Conso_bâtiment_EF H3'!L13*'D.1. Facteur d''émissions'!C16)))/1000,((F222*'D.1. Facteur d''émissions'!C8)-((VLOOKUP("PAC élec air/eau",'A.1. Conso_bâtiment_EF H3'!E103:AC124,18,0)*'A.1. Conso_bâtiment_EF H3'!L13*'D.1. Facteur d''émissions'!C16)))/1000),"")))</f>
        <v>9.1250345999999993</v>
      </c>
      <c r="T230" s="1090">
        <f>S230*15</f>
        <v>136.875519</v>
      </c>
      <c r="V230" s="360"/>
    </row>
    <row r="231" spans="2:22" ht="16.5" thickBot="1" x14ac:dyDescent="0.3">
      <c r="D231" s="359"/>
      <c r="G231" s="793"/>
      <c r="H231" s="1"/>
      <c r="I231" s="809" t="s">
        <v>3313</v>
      </c>
      <c r="L231" s="733"/>
      <c r="M231" s="25"/>
      <c r="N231" s="25"/>
      <c r="O231" s="360"/>
      <c r="R231" s="1074" t="s">
        <v>3799</v>
      </c>
      <c r="S231" s="1095">
        <f>('C.1 Facteurs éco - coûts'!F26*F218)/T230</f>
        <v>131.50635067181005</v>
      </c>
      <c r="T231" t="s">
        <v>3776</v>
      </c>
      <c r="V231" s="360"/>
    </row>
    <row r="232" spans="2:22" ht="15.75" thickBot="1" x14ac:dyDescent="0.3">
      <c r="D232" s="361"/>
      <c r="E232" s="363"/>
      <c r="F232" s="363"/>
      <c r="G232" s="796"/>
      <c r="H232" s="663"/>
      <c r="I232" s="800" t="s">
        <v>3314</v>
      </c>
      <c r="J232" s="842">
        <f>IF(J237="",J241,J237)</f>
        <v>0.33602150537634407</v>
      </c>
      <c r="L232" s="834" t="s">
        <v>3315</v>
      </c>
      <c r="M232" s="606" t="s">
        <v>3316</v>
      </c>
      <c r="N232" s="25"/>
      <c r="O232" s="360"/>
      <c r="R232" s="1074"/>
      <c r="S232" s="1091"/>
      <c r="V232" s="360"/>
    </row>
    <row r="233" spans="2:22" ht="15.75" thickBot="1" x14ac:dyDescent="0.3">
      <c r="G233" s="663"/>
      <c r="H233" s="663"/>
      <c r="I233" s="800" t="s">
        <v>3317</v>
      </c>
      <c r="J233" s="843">
        <f>IF(J238="",J242,J238)</f>
        <v>0.66397849462365599</v>
      </c>
      <c r="L233" s="374"/>
      <c r="M233" s="830">
        <f>IF(AND(OR(E229="Chaudière fioul THPE",E229="Chaudière fioul standard de plus de 15 ans"),J241&lt;&gt;""),((F222*'D.1. Facteur d''émissions'!C7)-((M238*J232*E238*'D.1. Facteur d''émissions'!C11)+(M238*J232*(1-E238)*'D.1. Facteur d''émissions'!C8)+(M238*J233*'D.1. Facteur d''émissions'!C15)))/1000,0)</f>
        <v>0</v>
      </c>
      <c r="N233" s="25" t="s">
        <v>3312</v>
      </c>
      <c r="O233" s="360"/>
      <c r="R233" s="359"/>
      <c r="V233" s="360"/>
    </row>
    <row r="234" spans="2:22" ht="15" thickBot="1" x14ac:dyDescent="0.25">
      <c r="G234" s="663"/>
      <c r="H234" s="663"/>
      <c r="I234" s="837" t="str">
        <f>IF(J241="","","Check 100%")</f>
        <v>Check 100%</v>
      </c>
      <c r="J234" s="838" t="b">
        <f>IF(J241="","",(J232+J233)=100%)</f>
        <v>1</v>
      </c>
      <c r="M234" s="783"/>
      <c r="N234" s="783"/>
      <c r="O234" s="360"/>
      <c r="R234" s="359"/>
      <c r="V234" s="360"/>
    </row>
    <row r="235" spans="2:22" ht="24" thickBot="1" x14ac:dyDescent="0.4">
      <c r="D235" s="1121">
        <v>3</v>
      </c>
      <c r="E235" s="789" t="s">
        <v>3318</v>
      </c>
      <c r="F235" s="362"/>
      <c r="G235" s="358"/>
      <c r="H235" s="663"/>
      <c r="I235" s="359"/>
      <c r="L235" s="733"/>
      <c r="M235" s="606" t="s">
        <v>3320</v>
      </c>
      <c r="N235" s="25"/>
      <c r="O235" s="360"/>
      <c r="R235" s="1123" t="s">
        <v>3832</v>
      </c>
      <c r="V235" s="360"/>
    </row>
    <row r="236" spans="2:22" ht="15.75" thickBot="1" x14ac:dyDescent="0.25">
      <c r="D236" s="359"/>
      <c r="G236" s="360"/>
      <c r="H236" s="663"/>
      <c r="I236" s="810" t="s">
        <v>3319</v>
      </c>
      <c r="J236" s="513"/>
      <c r="L236" s="834" t="s">
        <v>3322</v>
      </c>
      <c r="M236" s="830">
        <f>IF(OR(OR(E229="Chaudière fioul standard de plus de 15 ans",E229="Chaudière fioul THPE"),J241=""),0,((F222*'D.1. Facteur d''émissions'!C8)-((M238*J232*E238*'D.1. Facteur d''émissions'!C11)+(M238*J232*(1-E238)*'D.1. Facteur d''émissions'!C8)+(M238*J233*'D.1. Facteur d''émissions'!C15)))/1000)</f>
        <v>7.6998437999999991</v>
      </c>
      <c r="N236" s="25" t="s">
        <v>3312</v>
      </c>
      <c r="O236" s="360"/>
      <c r="R236" s="359" t="s">
        <v>3789</v>
      </c>
      <c r="S236" s="1092">
        <f>IF(AND(OR(E229="Chaudière fioul THPE",E229="Chaudière fioul standard de plus de 15 ans"),J241=""),((F222*'D.1. Facteur d''émissions'!C7)-(('3.2 Outil carbone'!J229*'D.1. Facteur d''émissions'!C11)))/1000,0)</f>
        <v>0</v>
      </c>
      <c r="V236" s="360"/>
    </row>
    <row r="237" spans="2:22" ht="15" thickBot="1" x14ac:dyDescent="0.25">
      <c r="D237" s="359"/>
      <c r="E237" t="s">
        <v>3321</v>
      </c>
      <c r="G237" s="360"/>
      <c r="H237" s="663"/>
      <c r="I237" s="800" t="s">
        <v>3314</v>
      </c>
      <c r="J237" s="780"/>
      <c r="L237" s="835"/>
      <c r="M237" s="783"/>
      <c r="N237" s="783"/>
      <c r="O237" s="360"/>
      <c r="R237" s="359" t="s">
        <v>3790</v>
      </c>
      <c r="S237" s="1092">
        <f>IF(AND(OR(E229="Chaudière fioul THPE",E229="Chaudière fioul standard de plus de 15 ans"),J241&lt;&gt;""),((F222*'D.1. Facteur d''émissions'!C7)-((M238*J232*'D.1. Facteur d''émissions'!C11)+(M238*J233*'D.1. Facteur d''émissions'!C15)))/1000,0)</f>
        <v>0</v>
      </c>
      <c r="V237" s="360"/>
    </row>
    <row r="238" spans="2:22" ht="15.75" thickBot="1" x14ac:dyDescent="0.3">
      <c r="D238" s="359"/>
      <c r="E238" s="781"/>
      <c r="G238" s="360"/>
      <c r="H238" s="663"/>
      <c r="I238" s="800" t="s">
        <v>3317</v>
      </c>
      <c r="J238" s="780"/>
      <c r="L238" s="833"/>
      <c r="M238" s="827">
        <f>IF(J241="","",J229/(J232+J233*'D.1. Facteur d''émissions'!C47))</f>
        <v>14731.200000000003</v>
      </c>
      <c r="N238" s="606" t="s">
        <v>3323</v>
      </c>
      <c r="O238" s="360"/>
      <c r="R238" s="359" t="s">
        <v>3791</v>
      </c>
      <c r="S238" s="1100">
        <f>IF(OR(OR(E229="Chaudière fioul standard de plus de 15 ans",E229="Chaudière fioul THPE"),J241=""),0,((F222*'D.1. Facteur d''émissions'!C8)-((M238*J232*'D.1. Facteur d''émissions'!C11)+(M238*J233*'D.1. Facteur d''émissions'!C15)))/1000)</f>
        <v>8.6764787999999982</v>
      </c>
      <c r="V238" s="360"/>
    </row>
    <row r="239" spans="2:22" ht="15" thickBot="1" x14ac:dyDescent="0.25">
      <c r="D239" s="361"/>
      <c r="E239" s="363"/>
      <c r="F239" s="363"/>
      <c r="G239" s="364"/>
      <c r="H239" s="663"/>
      <c r="I239" s="359"/>
      <c r="J239" s="803"/>
      <c r="L239" s="733"/>
      <c r="M239" s="1238" t="s">
        <v>3324</v>
      </c>
      <c r="N239" s="1238"/>
      <c r="O239" s="730"/>
      <c r="R239" s="359" t="s">
        <v>3793</v>
      </c>
      <c r="S239" s="1096">
        <f>IF(OR(OR(E229="Chaudière fioul THPE",E229="Chaudière fioul standard de plus de 15 ans"),J241&lt;&gt;""),0,((F222*'D.1. Facteur d''émissions'!C8)-(('3.2 Outil carbone'!J229*'D.1. Facteur d''émissions'!C11)))/1000)</f>
        <v>0</v>
      </c>
      <c r="T239" t="s">
        <v>3776</v>
      </c>
      <c r="V239" s="360"/>
    </row>
    <row r="240" spans="2:22" ht="15.75" thickBot="1" x14ac:dyDescent="0.3">
      <c r="G240" s="663"/>
      <c r="H240" s="663"/>
      <c r="I240" s="809" t="s">
        <v>741</v>
      </c>
      <c r="M240" s="783"/>
      <c r="N240" s="783"/>
      <c r="O240" s="730"/>
      <c r="R240" s="1093" t="s">
        <v>3833</v>
      </c>
      <c r="S240" s="1097">
        <f>SUM(S236:S239)</f>
        <v>8.6764787999999982</v>
      </c>
      <c r="T240" s="1090">
        <f>S240*15</f>
        <v>130.14718199999999</v>
      </c>
      <c r="V240" s="360"/>
    </row>
    <row r="241" spans="4:22" ht="24" thickBot="1" x14ac:dyDescent="0.4">
      <c r="D241" s="856">
        <v>4</v>
      </c>
      <c r="E241" s="789" t="s">
        <v>3347</v>
      </c>
      <c r="F241" s="914" t="s">
        <v>3348</v>
      </c>
      <c r="G241" s="849"/>
      <c r="H241" s="663"/>
      <c r="I241" s="800" t="s">
        <v>3314</v>
      </c>
      <c r="J241" s="841">
        <f>IF(VLOOKUP(G229,'A.1. Conso_bâtiment_EF H2'!E102:AC123,4,0)="Oui",VLOOKUP(G229,'A.1. Conso_bâtiment_EF H2'!E102:AC123,17,0)/VLOOKUP(G229,'A.1. Conso_bâtiment_EF H2'!E102:AC123,16,0),"")</f>
        <v>0.33602150537634407</v>
      </c>
      <c r="L241" s="834" t="s">
        <v>3325</v>
      </c>
      <c r="M241" s="606" t="s">
        <v>3326</v>
      </c>
      <c r="N241" s="201"/>
      <c r="O241" s="730"/>
      <c r="R241" s="359"/>
      <c r="V241" s="360"/>
    </row>
    <row r="242" spans="4:22" ht="15.75" thickBot="1" x14ac:dyDescent="0.25">
      <c r="D242" s="359"/>
      <c r="F242" s="81"/>
      <c r="G242" s="795"/>
      <c r="H242" s="663"/>
      <c r="I242" s="800" t="str">
        <f>IF(J242="","","Part d'électricité (EF)*")</f>
        <v>Part d'électricité (EF)*</v>
      </c>
      <c r="J242" s="841">
        <f>IF(VLOOKUP(G229,'A.1. Conso_bâtiment_EF H2'!E102:AC123,4,0)="Oui",VLOOKUP(G229,'A.1. Conso_bâtiment_EF H2'!E102:AC123,18,0)/VLOOKUP(G229,'A.1. Conso_bâtiment_EF H2'!E102:AC123,16,0),"")</f>
        <v>0.66397849462365599</v>
      </c>
      <c r="M242" s="830">
        <f>IF(OR(OR(E229="Chaudière fioul THPE",E229="Chaudière fioul standard de plus de 15 ans"),J241&lt;&gt;""),0,((F222*'D.1. Facteur d''émissions'!C8)-(('3.2 Outil carbone'!J229*E238*'D.1. Facteur d''émissions'!C11)+('3.2 Outil carbone'!J229*(1-E238)*'D.1. Facteur d''émissions'!C8)))/1000)</f>
        <v>0</v>
      </c>
      <c r="N242" s="25" t="s">
        <v>3312</v>
      </c>
      <c r="O242" s="730"/>
      <c r="R242" s="359"/>
      <c r="V242" s="360"/>
    </row>
    <row r="243" spans="4:22" ht="15.75" x14ac:dyDescent="0.25">
      <c r="D243" s="359"/>
      <c r="E243" s="1" t="s">
        <v>3349</v>
      </c>
      <c r="G243" s="360"/>
      <c r="H243" s="663"/>
      <c r="I243" s="891"/>
      <c r="J243" s="32"/>
      <c r="O243" s="730"/>
      <c r="R243" s="1074" t="s">
        <v>3777</v>
      </c>
      <c r="S243" s="1095">
        <f>G245/T240</f>
        <v>103.72871538624634</v>
      </c>
      <c r="V243" s="360"/>
    </row>
    <row r="244" spans="4:22" ht="18.75" thickBot="1" x14ac:dyDescent="0.3">
      <c r="D244" s="359"/>
      <c r="E244" s="850">
        <f>VLOOKUP(G229,'C.1 Facteurs éco - coûts'!C21:G26,4,0)*F218</f>
        <v>13500</v>
      </c>
      <c r="G244" s="851" t="s">
        <v>3350</v>
      </c>
      <c r="H244" s="663"/>
      <c r="I244" s="359"/>
      <c r="J244" s="665"/>
      <c r="L244" s="81" t="s">
        <v>142</v>
      </c>
      <c r="M244" s="861">
        <f>SUM(M230,M233,M236,M242)</f>
        <v>7.6998437999999991</v>
      </c>
      <c r="N244" s="807" t="s">
        <v>3312</v>
      </c>
      <c r="O244" s="360"/>
      <c r="R244" s="359"/>
      <c r="S244" s="1089"/>
      <c r="T244" s="1090"/>
      <c r="V244" s="360"/>
    </row>
    <row r="245" spans="4:22" ht="15.75" thickBot="1" x14ac:dyDescent="0.3">
      <c r="D245" s="359"/>
      <c r="F245" s="1239" t="s">
        <v>3351</v>
      </c>
      <c r="G245" s="848">
        <f>IF(E247="",E244,E247)</f>
        <v>13500</v>
      </c>
      <c r="H245" s="663"/>
      <c r="I245" s="359"/>
      <c r="J245" s="665"/>
      <c r="O245" s="360"/>
      <c r="R245" s="359"/>
      <c r="V245" s="360"/>
    </row>
    <row r="246" spans="4:22" ht="15.75" x14ac:dyDescent="0.25">
      <c r="D246" s="359"/>
      <c r="E246" s="1" t="s">
        <v>3352</v>
      </c>
      <c r="F246" s="1239"/>
      <c r="G246" s="793"/>
      <c r="H246" s="663"/>
      <c r="I246" s="359"/>
      <c r="J246" s="665"/>
      <c r="M246" s="901" t="s">
        <v>27</v>
      </c>
      <c r="N246" s="898"/>
      <c r="O246" s="360"/>
      <c r="R246" s="359"/>
      <c r="V246" s="360"/>
    </row>
    <row r="247" spans="4:22" ht="15.75" x14ac:dyDescent="0.25">
      <c r="D247" s="359"/>
      <c r="E247" s="847"/>
      <c r="G247" s="793"/>
      <c r="H247" s="663"/>
      <c r="I247" s="359"/>
      <c r="J247" s="665"/>
      <c r="M247" s="904">
        <f>(M244*1000)/'D.2. Equivalents ADEME'!D5</f>
        <v>1749.9644999999996</v>
      </c>
      <c r="N247" s="898" t="s">
        <v>3356</v>
      </c>
      <c r="O247" s="360"/>
      <c r="R247" s="359"/>
      <c r="V247" s="360"/>
    </row>
    <row r="248" spans="4:22" ht="15.75" x14ac:dyDescent="0.25">
      <c r="D248" s="359"/>
      <c r="G248" s="793"/>
      <c r="H248" s="663"/>
      <c r="I248" s="359"/>
      <c r="J248" s="1105" t="s">
        <v>3800</v>
      </c>
      <c r="K248" s="858"/>
      <c r="M248" s="903">
        <f>(M244*1000)/'D.2. Equivalents ADEME'!D8</f>
        <v>0.8846327895220587</v>
      </c>
      <c r="N248" s="898" t="s">
        <v>3359</v>
      </c>
      <c r="O248" s="360"/>
      <c r="R248" s="359"/>
      <c r="V248" s="360"/>
    </row>
    <row r="249" spans="4:22" ht="16.5" thickBot="1" x14ac:dyDescent="0.3">
      <c r="D249" s="359"/>
      <c r="E249" s="1" t="s">
        <v>3354</v>
      </c>
      <c r="G249" s="793" t="s">
        <v>3355</v>
      </c>
      <c r="H249" s="663"/>
      <c r="I249" s="359"/>
      <c r="J249" s="858"/>
      <c r="K249" s="858"/>
      <c r="M249" s="902">
        <f>(M244*1000)/'D.2. Equivalents ADEME'!D7</f>
        <v>18.780106829268291</v>
      </c>
      <c r="N249" s="898" t="s">
        <v>3360</v>
      </c>
      <c r="O249" s="360"/>
      <c r="R249" s="359"/>
      <c r="V249" s="360"/>
    </row>
    <row r="250" spans="4:22" ht="15.75" thickBot="1" x14ac:dyDescent="0.3">
      <c r="D250" s="359"/>
      <c r="E250" s="854">
        <f>IF(E93="",'C.1 Facteurs éco - coûts'!E43,E193)</f>
        <v>0.12360499999999999</v>
      </c>
      <c r="G250" s="859">
        <f>IF(G251="",'C.1 Facteurs éco - coûts'!E20,G251)</f>
        <v>0</v>
      </c>
      <c r="H250" s="663"/>
      <c r="I250" s="359"/>
      <c r="J250" s="862">
        <f>IF(OR(E229="Chaudière fioul THPE",E229="Chaudière fioul standard de plus de 15 ans"),IF(G229="PAC A/E + THPE (PAC hybride)",(F222*G253)-((J232*M238*E238*E253)+(J232*M238*(1-E238)*E250)+(J233*M238*G250)),((F222*G253)-((J229*E238*E253)+(J229*(1-E238)*E250)))),IF(G229="PAC A/E + THPE (PAC hybride)",((F222*E250)-((J232*M238*E238*E253)+(J232*M238*(1-E238)*E250)+(J233*M238*G250))),((F222*E250)-((J229*E238*E253)+J229*(1-E238)*E250))))</f>
        <v>4275.5711129999991</v>
      </c>
      <c r="K250" s="858" t="s">
        <v>3361</v>
      </c>
      <c r="M250" s="898"/>
      <c r="N250" s="898"/>
      <c r="O250" s="360"/>
      <c r="R250" s="359"/>
      <c r="V250" s="360"/>
    </row>
    <row r="251" spans="4:22" x14ac:dyDescent="0.2">
      <c r="D251" s="359"/>
      <c r="E251" s="855"/>
      <c r="G251" s="860"/>
      <c r="H251" s="663"/>
      <c r="I251" s="359"/>
      <c r="J251" s="665"/>
      <c r="O251" s="360"/>
      <c r="R251" s="359"/>
      <c r="V251" s="360"/>
    </row>
    <row r="252" spans="4:22" ht="15.75" thickBot="1" x14ac:dyDescent="0.3">
      <c r="D252" s="359"/>
      <c r="E252" s="1" t="s">
        <v>3357</v>
      </c>
      <c r="G252" s="793" t="s">
        <v>3358</v>
      </c>
      <c r="H252" s="663"/>
      <c r="I252" s="361"/>
      <c r="J252" s="892"/>
      <c r="K252" s="363"/>
      <c r="L252" s="363"/>
      <c r="M252" s="363"/>
      <c r="N252" s="363"/>
      <c r="O252" s="364"/>
      <c r="R252" s="359"/>
      <c r="V252" s="360"/>
    </row>
    <row r="253" spans="4:22" ht="15" thickBot="1" x14ac:dyDescent="0.25">
      <c r="D253" s="359"/>
      <c r="E253" s="854">
        <f>IF(E254="",'C.1 Facteurs éco - coûts'!E100,E254)</f>
        <v>0.10589999999999999</v>
      </c>
      <c r="G253" s="859">
        <f>'C.1 Facteurs éco - coûts'!E104</f>
        <v>0.11559999999999999</v>
      </c>
      <c r="H253" s="663"/>
      <c r="J253" s="665"/>
      <c r="R253" s="361"/>
      <c r="S253" s="363"/>
      <c r="T253" s="363"/>
      <c r="U253" s="363"/>
      <c r="V253" s="364"/>
    </row>
    <row r="254" spans="4:22" x14ac:dyDescent="0.2">
      <c r="D254" s="359"/>
      <c r="E254" s="855"/>
      <c r="G254" s="860"/>
      <c r="H254" s="663"/>
      <c r="J254" s="665"/>
    </row>
    <row r="255" spans="4:22" ht="15" thickBot="1" x14ac:dyDescent="0.25">
      <c r="D255" s="361"/>
      <c r="E255" s="363"/>
      <c r="F255" s="363"/>
      <c r="G255" s="364"/>
      <c r="H255" s="663"/>
      <c r="J255" s="665"/>
    </row>
    <row r="256" spans="4:22" x14ac:dyDescent="0.2">
      <c r="G256" s="663"/>
      <c r="H256" s="663"/>
      <c r="J256" s="665"/>
    </row>
    <row r="258" spans="5:17" hidden="1" outlineLevel="1" x14ac:dyDescent="0.2">
      <c r="E258" s="540" t="s">
        <v>260</v>
      </c>
      <c r="F258" s="540"/>
      <c r="I258" s="540"/>
      <c r="J258" s="540">
        <f>MATCH(E229,'A.2. Performances_Bâtiment H2'!D65:D76,0)</f>
        <v>2</v>
      </c>
      <c r="K258" s="540"/>
      <c r="L258" s="540"/>
      <c r="M258" s="540"/>
      <c r="N258" s="540"/>
      <c r="O258" s="540"/>
      <c r="P258" s="540"/>
      <c r="Q258" s="540">
        <f>MATCH(E229,'A.2. Performances_Bâtiment H2'!S65:S74,0)</f>
        <v>2</v>
      </c>
    </row>
    <row r="259" spans="5:17" hidden="1" outlineLevel="1" x14ac:dyDescent="0.2">
      <c r="E259" s="540"/>
      <c r="F259" s="540"/>
      <c r="I259" s="540"/>
      <c r="J259" s="540">
        <f>MATCH(G229,'A.2. Performances_Bâtiment H2'!D65:M65,0)</f>
        <v>5</v>
      </c>
      <c r="K259" s="540"/>
      <c r="L259" s="540"/>
      <c r="M259" s="540"/>
      <c r="N259" s="540"/>
      <c r="O259" s="540"/>
      <c r="P259" s="540"/>
      <c r="Q259" s="540">
        <f>MATCH(G229,'A.2. Performances_Bâtiment H2'!S65:AB65,0)</f>
        <v>5</v>
      </c>
    </row>
    <row r="260" spans="5:17" collapsed="1" x14ac:dyDescent="0.2"/>
    <row r="261" spans="5:17" ht="18" x14ac:dyDescent="0.25">
      <c r="E261" s="59" t="s">
        <v>3362</v>
      </c>
    </row>
    <row r="287" spans="5:5" ht="15" x14ac:dyDescent="0.25">
      <c r="E287" s="49"/>
    </row>
    <row r="288" spans="5:5" ht="15.75" x14ac:dyDescent="0.25">
      <c r="E288" s="352"/>
    </row>
    <row r="290" spans="2:18" ht="18" x14ac:dyDescent="0.25">
      <c r="B290" s="370"/>
      <c r="C290" s="370"/>
      <c r="E290" s="43"/>
    </row>
    <row r="292" spans="2:18" x14ac:dyDescent="0.2">
      <c r="F292" s="546"/>
      <c r="G292" s="575"/>
      <c r="H292" s="575"/>
    </row>
    <row r="293" spans="2:18" x14ac:dyDescent="0.2">
      <c r="E293" s="207"/>
      <c r="F293" s="546"/>
      <c r="G293" s="560"/>
      <c r="H293" s="560"/>
    </row>
    <row r="294" spans="2:18" x14ac:dyDescent="0.2">
      <c r="F294" s="546"/>
      <c r="G294" s="513"/>
      <c r="H294" s="513"/>
    </row>
    <row r="295" spans="2:18" x14ac:dyDescent="0.2">
      <c r="F295" s="818"/>
      <c r="G295" s="513"/>
      <c r="H295" s="513"/>
    </row>
    <row r="297" spans="2:18" x14ac:dyDescent="0.2">
      <c r="F297" s="818"/>
      <c r="G297" s="538"/>
      <c r="H297" s="538"/>
    </row>
    <row r="298" spans="2:18" x14ac:dyDescent="0.2">
      <c r="B298" s="370"/>
      <c r="C298" s="370"/>
      <c r="F298" s="546"/>
    </row>
    <row r="299" spans="2:18" x14ac:dyDescent="0.2">
      <c r="F299" s="198"/>
    </row>
    <row r="300" spans="2:18" x14ac:dyDescent="0.2">
      <c r="F300" s="546"/>
      <c r="G300" s="536"/>
      <c r="H300" s="536"/>
    </row>
    <row r="302" spans="2:18" ht="15" x14ac:dyDescent="0.25">
      <c r="E302" s="1"/>
      <c r="G302" s="1"/>
      <c r="H302" s="1"/>
      <c r="J302" s="1"/>
      <c r="K302" s="434"/>
      <c r="L302" s="434"/>
      <c r="M302" s="434"/>
      <c r="N302" s="1" t="s">
        <v>3308</v>
      </c>
      <c r="O302" s="434" t="s">
        <v>3363</v>
      </c>
      <c r="P302" s="434"/>
      <c r="Q302" s="1" t="s">
        <v>3364</v>
      </c>
      <c r="R302" s="312"/>
    </row>
    <row r="303" spans="2:18" ht="15" x14ac:dyDescent="0.2">
      <c r="J303" s="710"/>
      <c r="K303" s="138"/>
      <c r="L303" s="138"/>
      <c r="M303" s="138"/>
      <c r="N303" s="515">
        <f>IF(F295=0,F299-J303,F295-J303)</f>
        <v>0</v>
      </c>
      <c r="O303" s="516" t="s">
        <v>253</v>
      </c>
      <c r="P303" s="138"/>
      <c r="Q303" s="515" t="e">
        <f>IF(F295=0,F299*'D.1. Facteur d''émissions'!#REF!-(F299*'D.1. Facteur d''émissions'!#REF!*(1+Q304)),F297*'D.1. Facteur d''émissions'!#REF!-(F297*'D.1. Facteur d''émissions'!#REF!*(1+Q304)))</f>
        <v>#REF!</v>
      </c>
      <c r="R303" s="517" t="s">
        <v>254</v>
      </c>
    </row>
    <row r="304" spans="2:18" x14ac:dyDescent="0.2">
      <c r="J304" s="712"/>
      <c r="K304" s="513"/>
      <c r="L304" s="513"/>
      <c r="N304" s="198"/>
      <c r="Q304" s="557" t="e" cm="1">
        <f t="array" ref="Q304">INDEX('A.4 Performances_Industrie'!D14:Q18,'3.2 Outil carbone'!J309,'3.2 Outil carbone'!J310)</f>
        <v>#N/A</v>
      </c>
      <c r="R304" s="513" t="s">
        <v>256</v>
      </c>
    </row>
    <row r="305" spans="5:17" ht="15" x14ac:dyDescent="0.25">
      <c r="I305" s="32"/>
      <c r="J305" s="712"/>
      <c r="K305" s="541"/>
      <c r="L305" s="541"/>
    </row>
    <row r="306" spans="5:17" x14ac:dyDescent="0.2">
      <c r="J306" s="665"/>
    </row>
    <row r="309" spans="5:17" hidden="1" outlineLevel="1" x14ac:dyDescent="0.2">
      <c r="E309" s="540" t="s">
        <v>260</v>
      </c>
      <c r="F309" s="540"/>
      <c r="G309" s="540"/>
      <c r="H309" s="540"/>
      <c r="I309" s="540"/>
      <c r="J309" s="540" t="e">
        <f>MATCH(E303,'A.4 Performances_Industrie'!D14:D18,0)</f>
        <v>#N/A</v>
      </c>
      <c r="K309" s="540"/>
      <c r="L309" s="540"/>
      <c r="M309" s="540"/>
      <c r="N309" s="540"/>
      <c r="O309" s="540"/>
      <c r="P309" s="540"/>
      <c r="Q309" s="540" t="e">
        <f>MATCH(E303,'A.4 Performances_Industrie'!D14:D18,0)</f>
        <v>#N/A</v>
      </c>
    </row>
    <row r="310" spans="5:17" hidden="1" outlineLevel="1" x14ac:dyDescent="0.2">
      <c r="E310" s="540"/>
      <c r="F310" s="540"/>
      <c r="G310" s="540"/>
      <c r="H310" s="540"/>
      <c r="I310" s="540"/>
      <c r="J310" s="540" t="e">
        <f>MATCH(G303,'A.4 Performances_Industrie'!D14:Q14,0)</f>
        <v>#N/A</v>
      </c>
      <c r="K310" s="540"/>
      <c r="L310" s="540"/>
      <c r="M310" s="540"/>
      <c r="N310" s="540"/>
      <c r="O310" s="540"/>
      <c r="P310" s="540"/>
      <c r="Q310" s="540" t="e">
        <f>MATCH(G303,'A.4 Performances_Industrie'!D14:Q14,0)</f>
        <v>#N/A</v>
      </c>
    </row>
    <row r="311" spans="5:17" collapsed="1" x14ac:dyDescent="0.2"/>
  </sheetData>
  <mergeCells count="10">
    <mergeCell ref="F245:F246"/>
    <mergeCell ref="M183:N183"/>
    <mergeCell ref="M239:N239"/>
    <mergeCell ref="F61:F62"/>
    <mergeCell ref="N29:Q29"/>
    <mergeCell ref="M58:N58"/>
    <mergeCell ref="G95:G98"/>
    <mergeCell ref="M119:N119"/>
    <mergeCell ref="F123:F124"/>
    <mergeCell ref="F187:F188"/>
  </mergeCells>
  <conditionalFormatting sqref="J53">
    <cfRule type="containsText" dxfId="19" priority="16" operator="containsText" text="faux">
      <formula>NOT(ISERROR(SEARCH("faux",J53)))</formula>
    </cfRule>
    <cfRule type="cellIs" dxfId="18" priority="17" operator="equal">
      <formula>TRUE</formula>
    </cfRule>
  </conditionalFormatting>
  <conditionalFormatting sqref="J114">
    <cfRule type="containsText" dxfId="17" priority="11" operator="containsText" text="faux">
      <formula>NOT(ISERROR(SEARCH("faux",J114)))</formula>
    </cfRule>
    <cfRule type="cellIs" dxfId="16" priority="12" operator="equal">
      <formula>TRUE</formula>
    </cfRule>
  </conditionalFormatting>
  <conditionalFormatting sqref="J178">
    <cfRule type="containsText" dxfId="15" priority="6" operator="containsText" text="faux">
      <formula>NOT(ISERROR(SEARCH("faux",J178)))</formula>
    </cfRule>
    <cfRule type="cellIs" dxfId="14" priority="7" operator="equal">
      <formula>TRUE</formula>
    </cfRule>
  </conditionalFormatting>
  <conditionalFormatting sqref="J234">
    <cfRule type="containsText" dxfId="13" priority="1" operator="containsText" text="faux">
      <formula>NOT(ISERROR(SEARCH("faux",J234)))</formula>
    </cfRule>
    <cfRule type="cellIs" dxfId="12" priority="2" operator="equal">
      <formula>TRUE</formula>
    </cfRule>
  </conditionalFormatting>
  <conditionalFormatting sqref="M49 M52 M55 M61">
    <cfRule type="cellIs" dxfId="11" priority="18" operator="equal">
      <formula>0</formula>
    </cfRule>
    <cfRule type="cellIs" dxfId="10" priority="19" operator="greaterThan">
      <formula>1</formula>
    </cfRule>
    <cfRule type="cellIs" dxfId="9" priority="20" operator="greaterThan">
      <formula>0</formula>
    </cfRule>
  </conditionalFormatting>
  <conditionalFormatting sqref="M110 M113 M116 M122">
    <cfRule type="cellIs" dxfId="8" priority="13" operator="equal">
      <formula>0</formula>
    </cfRule>
    <cfRule type="cellIs" dxfId="7" priority="14" operator="greaterThan">
      <formula>1</formula>
    </cfRule>
    <cfRule type="cellIs" dxfId="6" priority="15" operator="greaterThan">
      <formula>0</formula>
    </cfRule>
  </conditionalFormatting>
  <conditionalFormatting sqref="M174 M177 M180 M186">
    <cfRule type="cellIs" dxfId="5" priority="8" operator="equal">
      <formula>0</formula>
    </cfRule>
    <cfRule type="cellIs" dxfId="4" priority="9" operator="greaterThan">
      <formula>1</formula>
    </cfRule>
    <cfRule type="cellIs" dxfId="3" priority="10" operator="greaterThan">
      <formula>0</formula>
    </cfRule>
  </conditionalFormatting>
  <conditionalFormatting sqref="M230 M233 M236 M242">
    <cfRule type="cellIs" dxfId="2" priority="3" operator="equal">
      <formula>0</formula>
    </cfRule>
    <cfRule type="cellIs" dxfId="1" priority="4" operator="greaterThan">
      <formula>1</formula>
    </cfRule>
    <cfRule type="cellIs" dxfId="0" priority="5" operator="greaterThan">
      <formula>0</formula>
    </cfRule>
  </conditionalFormatting>
  <dataValidations count="10">
    <dataValidation type="list" allowBlank="1" showInputMessage="1" showErrorMessage="1" sqref="E229" xr:uid="{3F2FB853-3604-43AF-BF08-C69AFD2D6433}">
      <formula1>$B$214:$B$223</formula1>
    </dataValidation>
    <dataValidation type="list" allowBlank="1" showInputMessage="1" showErrorMessage="1" sqref="G173" xr:uid="{5B808C6D-C9EF-429F-B955-33C4E941D77E}">
      <formula1>$B$167:$B$170</formula1>
    </dataValidation>
    <dataValidation type="list" allowBlank="1" showInputMessage="1" showErrorMessage="1" sqref="E47" xr:uid="{D8FA2105-61EB-41F9-A010-7937CAACBFFB}">
      <formula1>$B$36:$B$45</formula1>
    </dataValidation>
    <dataValidation type="list" allowBlank="1" showInputMessage="1" showErrorMessage="1" sqref="G47" xr:uid="{DC3C6884-446A-46C1-88C2-654E807E29A5}">
      <formula1>$B$47:$B$54</formula1>
    </dataValidation>
    <dataValidation type="list" allowBlank="1" showInputMessage="1" showErrorMessage="1" sqref="G303:H303" xr:uid="{0176D0E3-2EB4-4C40-B8A9-0228D7AFD28D}">
      <formula1>$B$299:$B$301</formula1>
    </dataValidation>
    <dataValidation type="list" allowBlank="1" showInputMessage="1" showErrorMessage="1" sqref="E303" xr:uid="{DA0316C3-ACA6-458C-A4B1-4C800ED3D4CC}">
      <formula1>$B$291:$B$292</formula1>
    </dataValidation>
    <dataValidation type="list" allowBlank="1" showInputMessage="1" showErrorMessage="1" sqref="E173" xr:uid="{3163547D-8B85-40BC-903F-41D71E2C5189}">
      <formula1>$B$159:$B$161</formula1>
    </dataValidation>
    <dataValidation type="list" allowBlank="1" showInputMessage="1" showErrorMessage="1" sqref="E107" xr:uid="{78943282-ECC0-4021-826A-483D3D8AFEAC}">
      <formula1>$B$90:$B$95</formula1>
    </dataValidation>
    <dataValidation type="list" allowBlank="1" showInputMessage="1" showErrorMessage="1" sqref="G107 B107" xr:uid="{8C403069-470B-4BB5-9E82-5D0EF9BD5CC5}">
      <formula1>$B$100:$B$104</formula1>
    </dataValidation>
    <dataValidation type="list" allowBlank="1" showInputMessage="1" showErrorMessage="1" sqref="H228 G229" xr:uid="{E22E5241-33B9-49EC-BC44-5BB01D59C7FC}">
      <formula1>$B$226:$B$230</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4CE5F27-9233-4968-B8A1-A1EDC825AD11}">
          <x14:formula1>
            <xm:f>'Correspondance département'!$B$3:$B$99</xm:f>
          </x14:formula1>
          <xm:sqref>F37 F96 F162 F219</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349F2-CD1C-4097-B776-30F7BE87213F}">
  <dimension ref="B2:C99"/>
  <sheetViews>
    <sheetView showGridLines="0" workbookViewId="0">
      <selection activeCell="B3" sqref="B3:C5"/>
    </sheetView>
  </sheetViews>
  <sheetFormatPr baseColWidth="10" defaultRowHeight="18" x14ac:dyDescent="0.25"/>
  <cols>
    <col min="2" max="2" width="31.125" style="273" bestFit="1" customWidth="1"/>
    <col min="3" max="3" width="21.125" style="5" customWidth="1"/>
  </cols>
  <sheetData>
    <row r="2" spans="2:3" ht="18.75" x14ac:dyDescent="0.2">
      <c r="B2" s="985" t="s">
        <v>3537</v>
      </c>
      <c r="C2" s="981" t="s">
        <v>622</v>
      </c>
    </row>
    <row r="3" spans="2:3" ht="18.75" x14ac:dyDescent="0.2">
      <c r="B3" s="986" t="s">
        <v>3538</v>
      </c>
      <c r="C3" s="982" t="s">
        <v>153</v>
      </c>
    </row>
    <row r="4" spans="2:3" ht="18.75" x14ac:dyDescent="0.2">
      <c r="B4" s="986" t="s">
        <v>3539</v>
      </c>
      <c r="C4" s="982" t="s">
        <v>153</v>
      </c>
    </row>
    <row r="5" spans="2:3" ht="18.75" x14ac:dyDescent="0.2">
      <c r="B5" s="986" t="s">
        <v>3540</v>
      </c>
      <c r="C5" s="982" t="s">
        <v>153</v>
      </c>
    </row>
    <row r="6" spans="2:3" ht="18.75" x14ac:dyDescent="0.2">
      <c r="B6" s="986" t="s">
        <v>3541</v>
      </c>
      <c r="C6" s="983" t="s">
        <v>154</v>
      </c>
    </row>
    <row r="7" spans="2:3" ht="18.75" x14ac:dyDescent="0.2">
      <c r="B7" s="986" t="s">
        <v>3542</v>
      </c>
      <c r="C7" s="982" t="s">
        <v>153</v>
      </c>
    </row>
    <row r="8" spans="2:3" ht="18.75" x14ac:dyDescent="0.2">
      <c r="B8" s="986" t="s">
        <v>3543</v>
      </c>
      <c r="C8" s="984" t="s">
        <v>155</v>
      </c>
    </row>
    <row r="9" spans="2:3" ht="18.75" x14ac:dyDescent="0.2">
      <c r="B9" s="986" t="s">
        <v>3544</v>
      </c>
      <c r="C9" s="983" t="s">
        <v>154</v>
      </c>
    </row>
    <row r="10" spans="2:3" ht="18.75" x14ac:dyDescent="0.2">
      <c r="B10" s="986" t="s">
        <v>3545</v>
      </c>
      <c r="C10" s="982" t="s">
        <v>153</v>
      </c>
    </row>
    <row r="11" spans="2:3" ht="18.75" x14ac:dyDescent="0.2">
      <c r="B11" s="986" t="s">
        <v>3546</v>
      </c>
      <c r="C11" s="983" t="s">
        <v>154</v>
      </c>
    </row>
    <row r="12" spans="2:3" ht="18.75" x14ac:dyDescent="0.2">
      <c r="B12" s="986" t="s">
        <v>3547</v>
      </c>
      <c r="C12" s="982" t="s">
        <v>153</v>
      </c>
    </row>
    <row r="13" spans="2:3" ht="18.75" x14ac:dyDescent="0.2">
      <c r="B13" s="986" t="s">
        <v>3548</v>
      </c>
      <c r="C13" s="984" t="s">
        <v>155</v>
      </c>
    </row>
    <row r="14" spans="2:3" ht="18.75" x14ac:dyDescent="0.2">
      <c r="B14" s="986" t="s">
        <v>3549</v>
      </c>
      <c r="C14" s="983" t="s">
        <v>154</v>
      </c>
    </row>
    <row r="15" spans="2:3" ht="18.75" x14ac:dyDescent="0.2">
      <c r="B15" s="986" t="s">
        <v>3550</v>
      </c>
      <c r="C15" s="984" t="s">
        <v>155</v>
      </c>
    </row>
    <row r="16" spans="2:3" ht="18.75" x14ac:dyDescent="0.2">
      <c r="B16" s="986" t="s">
        <v>3551</v>
      </c>
      <c r="C16" s="982" t="s">
        <v>153</v>
      </c>
    </row>
    <row r="17" spans="2:3" ht="18.75" x14ac:dyDescent="0.2">
      <c r="B17" s="986" t="s">
        <v>3552</v>
      </c>
      <c r="C17" s="982" t="s">
        <v>153</v>
      </c>
    </row>
    <row r="18" spans="2:3" ht="18.75" x14ac:dyDescent="0.2">
      <c r="B18" s="986" t="s">
        <v>3553</v>
      </c>
      <c r="C18" s="983" t="s">
        <v>154</v>
      </c>
    </row>
    <row r="19" spans="2:3" ht="18.75" x14ac:dyDescent="0.2">
      <c r="B19" s="986" t="s">
        <v>3554</v>
      </c>
      <c r="C19" s="983" t="s">
        <v>154</v>
      </c>
    </row>
    <row r="20" spans="2:3" ht="18.75" x14ac:dyDescent="0.2">
      <c r="B20" s="986" t="s">
        <v>3555</v>
      </c>
      <c r="C20" s="982" t="s">
        <v>153</v>
      </c>
    </row>
    <row r="21" spans="2:3" ht="18.75" x14ac:dyDescent="0.2">
      <c r="B21" s="986" t="s">
        <v>3556</v>
      </c>
      <c r="C21" s="982" t="s">
        <v>153</v>
      </c>
    </row>
    <row r="22" spans="2:3" ht="18.75" x14ac:dyDescent="0.2">
      <c r="B22" s="986" t="s">
        <v>3557</v>
      </c>
      <c r="C22" s="984" t="s">
        <v>155</v>
      </c>
    </row>
    <row r="23" spans="2:3" ht="18.75" x14ac:dyDescent="0.2">
      <c r="B23" s="986" t="s">
        <v>3558</v>
      </c>
      <c r="C23" s="984" t="s">
        <v>155</v>
      </c>
    </row>
    <row r="24" spans="2:3" ht="18.75" x14ac:dyDescent="0.2">
      <c r="B24" s="986" t="s">
        <v>3559</v>
      </c>
      <c r="C24" s="982" t="s">
        <v>153</v>
      </c>
    </row>
    <row r="25" spans="2:3" ht="18.75" x14ac:dyDescent="0.2">
      <c r="B25" s="986" t="s">
        <v>3560</v>
      </c>
      <c r="C25" s="983" t="s">
        <v>154</v>
      </c>
    </row>
    <row r="26" spans="2:3" ht="18.75" x14ac:dyDescent="0.2">
      <c r="B26" s="986" t="s">
        <v>3561</v>
      </c>
      <c r="C26" s="982" t="s">
        <v>153</v>
      </c>
    </row>
    <row r="27" spans="2:3" ht="18.75" x14ac:dyDescent="0.2">
      <c r="B27" s="986" t="s">
        <v>3562</v>
      </c>
      <c r="C27" s="983" t="s">
        <v>154</v>
      </c>
    </row>
    <row r="28" spans="2:3" ht="18.75" x14ac:dyDescent="0.2">
      <c r="B28" s="986" t="s">
        <v>3563</v>
      </c>
      <c r="C28" s="982" t="s">
        <v>153</v>
      </c>
    </row>
    <row r="29" spans="2:3" ht="18.75" x14ac:dyDescent="0.2">
      <c r="B29" s="986" t="s">
        <v>3564</v>
      </c>
      <c r="C29" s="983" t="s">
        <v>154</v>
      </c>
    </row>
    <row r="30" spans="2:3" ht="18.75" x14ac:dyDescent="0.2">
      <c r="B30" s="986" t="s">
        <v>3565</v>
      </c>
      <c r="C30" s="982" t="s">
        <v>153</v>
      </c>
    </row>
    <row r="31" spans="2:3" ht="18.75" x14ac:dyDescent="0.2">
      <c r="B31" s="986" t="s">
        <v>3566</v>
      </c>
      <c r="C31" s="982" t="s">
        <v>153</v>
      </c>
    </row>
    <row r="32" spans="2:3" ht="18.75" x14ac:dyDescent="0.2">
      <c r="B32" s="986" t="s">
        <v>3567</v>
      </c>
      <c r="C32" s="983" t="s">
        <v>154</v>
      </c>
    </row>
    <row r="33" spans="2:3" ht="18.75" x14ac:dyDescent="0.2">
      <c r="B33" s="986" t="s">
        <v>3568</v>
      </c>
      <c r="C33" s="984" t="s">
        <v>155</v>
      </c>
    </row>
    <row r="34" spans="2:3" ht="18.75" x14ac:dyDescent="0.2">
      <c r="B34" s="986" t="s">
        <v>3569</v>
      </c>
      <c r="C34" s="983" t="s">
        <v>154</v>
      </c>
    </row>
    <row r="35" spans="2:3" ht="18.75" x14ac:dyDescent="0.2">
      <c r="B35" s="986" t="s">
        <v>3570</v>
      </c>
      <c r="C35" s="983" t="s">
        <v>154</v>
      </c>
    </row>
    <row r="36" spans="2:3" ht="18.75" x14ac:dyDescent="0.2">
      <c r="B36" s="986" t="s">
        <v>3571</v>
      </c>
      <c r="C36" s="983" t="s">
        <v>154</v>
      </c>
    </row>
    <row r="37" spans="2:3" ht="18.75" x14ac:dyDescent="0.2">
      <c r="B37" s="986" t="s">
        <v>3572</v>
      </c>
      <c r="C37" s="984" t="s">
        <v>155</v>
      </c>
    </row>
    <row r="38" spans="2:3" ht="18.75" x14ac:dyDescent="0.2">
      <c r="B38" s="986" t="s">
        <v>3573</v>
      </c>
      <c r="C38" s="982" t="s">
        <v>153</v>
      </c>
    </row>
    <row r="39" spans="2:3" ht="18.75" x14ac:dyDescent="0.2">
      <c r="B39" s="986" t="s">
        <v>3574</v>
      </c>
      <c r="C39" s="982" t="s">
        <v>153</v>
      </c>
    </row>
    <row r="40" spans="2:3" ht="18.75" x14ac:dyDescent="0.2">
      <c r="B40" s="986" t="s">
        <v>3575</v>
      </c>
      <c r="C40" s="982" t="s">
        <v>153</v>
      </c>
    </row>
    <row r="41" spans="2:3" ht="18.75" x14ac:dyDescent="0.2">
      <c r="B41" s="986" t="s">
        <v>3576</v>
      </c>
      <c r="C41" s="982" t="s">
        <v>153</v>
      </c>
    </row>
    <row r="42" spans="2:3" ht="18.75" x14ac:dyDescent="0.2">
      <c r="B42" s="986" t="s">
        <v>3577</v>
      </c>
      <c r="C42" s="982" t="s">
        <v>153</v>
      </c>
    </row>
    <row r="43" spans="2:3" ht="18.75" x14ac:dyDescent="0.2">
      <c r="B43" s="986" t="s">
        <v>3578</v>
      </c>
      <c r="C43" s="983" t="s">
        <v>154</v>
      </c>
    </row>
    <row r="44" spans="2:3" ht="18.75" x14ac:dyDescent="0.2">
      <c r="B44" s="986" t="s">
        <v>3579</v>
      </c>
      <c r="C44" s="982" t="s">
        <v>153</v>
      </c>
    </row>
    <row r="45" spans="2:3" ht="18.75" x14ac:dyDescent="0.2">
      <c r="B45" s="986" t="s">
        <v>3580</v>
      </c>
      <c r="C45" s="982" t="s">
        <v>153</v>
      </c>
    </row>
    <row r="46" spans="2:3" ht="18.75" x14ac:dyDescent="0.2">
      <c r="B46" s="986" t="s">
        <v>3581</v>
      </c>
      <c r="C46" s="982" t="s">
        <v>153</v>
      </c>
    </row>
    <row r="47" spans="2:3" ht="18.75" x14ac:dyDescent="0.2">
      <c r="B47" s="986" t="s">
        <v>3582</v>
      </c>
      <c r="C47" s="983" t="s">
        <v>154</v>
      </c>
    </row>
    <row r="48" spans="2:3" ht="18.75" x14ac:dyDescent="0.2">
      <c r="B48" s="986" t="s">
        <v>3583</v>
      </c>
      <c r="C48" s="982" t="s">
        <v>153</v>
      </c>
    </row>
    <row r="49" spans="2:3" ht="18.75" x14ac:dyDescent="0.2">
      <c r="B49" s="986" t="s">
        <v>3584</v>
      </c>
      <c r="C49" s="983" t="s">
        <v>154</v>
      </c>
    </row>
    <row r="50" spans="2:3" ht="18.75" x14ac:dyDescent="0.2">
      <c r="B50" s="986" t="s">
        <v>3585</v>
      </c>
      <c r="C50" s="983" t="s">
        <v>154</v>
      </c>
    </row>
    <row r="51" spans="2:3" ht="18.75" x14ac:dyDescent="0.2">
      <c r="B51" s="986" t="s">
        <v>3586</v>
      </c>
      <c r="C51" s="982" t="s">
        <v>153</v>
      </c>
    </row>
    <row r="52" spans="2:3" ht="18.75" x14ac:dyDescent="0.2">
      <c r="B52" s="986" t="s">
        <v>3587</v>
      </c>
      <c r="C52" s="982" t="s">
        <v>153</v>
      </c>
    </row>
    <row r="53" spans="2:3" ht="18.75" x14ac:dyDescent="0.2">
      <c r="B53" s="986" t="s">
        <v>3588</v>
      </c>
      <c r="C53" s="982" t="s">
        <v>153</v>
      </c>
    </row>
    <row r="54" spans="2:3" ht="18.75" x14ac:dyDescent="0.2">
      <c r="B54" s="986" t="s">
        <v>3589</v>
      </c>
      <c r="C54" s="982" t="s">
        <v>153</v>
      </c>
    </row>
    <row r="55" spans="2:3" ht="18.75" x14ac:dyDescent="0.2">
      <c r="B55" s="986" t="s">
        <v>3590</v>
      </c>
      <c r="C55" s="982" t="s">
        <v>153</v>
      </c>
    </row>
    <row r="56" spans="2:3" ht="18.75" x14ac:dyDescent="0.2">
      <c r="B56" s="986" t="s">
        <v>3591</v>
      </c>
      <c r="C56" s="982" t="s">
        <v>153</v>
      </c>
    </row>
    <row r="57" spans="2:3" ht="18.75" x14ac:dyDescent="0.2">
      <c r="B57" s="986" t="s">
        <v>3592</v>
      </c>
      <c r="C57" s="982" t="s">
        <v>153</v>
      </c>
    </row>
    <row r="58" spans="2:3" ht="18.75" x14ac:dyDescent="0.2">
      <c r="B58" s="986" t="s">
        <v>3593</v>
      </c>
      <c r="C58" s="982" t="s">
        <v>153</v>
      </c>
    </row>
    <row r="59" spans="2:3" ht="18.75" x14ac:dyDescent="0.2">
      <c r="B59" s="986" t="s">
        <v>3594</v>
      </c>
      <c r="C59" s="983" t="s">
        <v>154</v>
      </c>
    </row>
    <row r="60" spans="2:3" ht="18.75" x14ac:dyDescent="0.2">
      <c r="B60" s="986" t="s">
        <v>3595</v>
      </c>
      <c r="C60" s="982" t="s">
        <v>153</v>
      </c>
    </row>
    <row r="61" spans="2:3" ht="18.75" x14ac:dyDescent="0.2">
      <c r="B61" s="986" t="s">
        <v>3596</v>
      </c>
      <c r="C61" s="982" t="s">
        <v>153</v>
      </c>
    </row>
    <row r="62" spans="2:3" ht="18.75" x14ac:dyDescent="0.2">
      <c r="B62" s="986" t="s">
        <v>3597</v>
      </c>
      <c r="C62" s="982" t="s">
        <v>153</v>
      </c>
    </row>
    <row r="63" spans="2:3" ht="18.75" x14ac:dyDescent="0.2">
      <c r="B63" s="986" t="s">
        <v>3598</v>
      </c>
      <c r="C63" s="982" t="s">
        <v>153</v>
      </c>
    </row>
    <row r="64" spans="2:3" ht="18.75" x14ac:dyDescent="0.2">
      <c r="B64" s="986" t="s">
        <v>3598</v>
      </c>
      <c r="C64" s="982" t="s">
        <v>153</v>
      </c>
    </row>
    <row r="65" spans="2:3" ht="18.75" x14ac:dyDescent="0.2">
      <c r="B65" s="986" t="s">
        <v>3599</v>
      </c>
      <c r="C65" s="982" t="s">
        <v>153</v>
      </c>
    </row>
    <row r="66" spans="2:3" ht="18.75" x14ac:dyDescent="0.2">
      <c r="B66" s="986" t="s">
        <v>3600</v>
      </c>
      <c r="C66" s="982" t="s">
        <v>153</v>
      </c>
    </row>
    <row r="67" spans="2:3" ht="18.75" x14ac:dyDescent="0.2">
      <c r="B67" s="986" t="s">
        <v>3601</v>
      </c>
      <c r="C67" s="982" t="s">
        <v>153</v>
      </c>
    </row>
    <row r="68" spans="2:3" ht="18.75" x14ac:dyDescent="0.2">
      <c r="B68" s="986" t="s">
        <v>3602</v>
      </c>
      <c r="C68" s="983" t="s">
        <v>154</v>
      </c>
    </row>
    <row r="69" spans="2:3" ht="18.75" x14ac:dyDescent="0.2">
      <c r="B69" s="986" t="s">
        <v>3603</v>
      </c>
      <c r="C69" s="983" t="s">
        <v>154</v>
      </c>
    </row>
    <row r="70" spans="2:3" ht="18.75" x14ac:dyDescent="0.2">
      <c r="B70" s="986" t="s">
        <v>3604</v>
      </c>
      <c r="C70" s="984" t="s">
        <v>155</v>
      </c>
    </row>
    <row r="71" spans="2:3" ht="18.75" x14ac:dyDescent="0.2">
      <c r="B71" s="986" t="s">
        <v>3605</v>
      </c>
      <c r="C71" s="982" t="s">
        <v>153</v>
      </c>
    </row>
    <row r="72" spans="2:3" ht="18.75" x14ac:dyDescent="0.2">
      <c r="B72" s="986" t="s">
        <v>3606</v>
      </c>
      <c r="C72" s="982" t="s">
        <v>153</v>
      </c>
    </row>
    <row r="73" spans="2:3" ht="18.75" x14ac:dyDescent="0.2">
      <c r="B73" s="986" t="s">
        <v>3607</v>
      </c>
      <c r="C73" s="982" t="s">
        <v>153</v>
      </c>
    </row>
    <row r="74" spans="2:3" ht="18.75" x14ac:dyDescent="0.2">
      <c r="B74" s="986" t="s">
        <v>3608</v>
      </c>
      <c r="C74" s="982" t="s">
        <v>153</v>
      </c>
    </row>
    <row r="75" spans="2:3" ht="18.75" x14ac:dyDescent="0.2">
      <c r="B75" s="986" t="s">
        <v>3609</v>
      </c>
      <c r="C75" s="982" t="s">
        <v>153</v>
      </c>
    </row>
    <row r="76" spans="2:3" ht="18.75" x14ac:dyDescent="0.2">
      <c r="B76" s="986" t="s">
        <v>3610</v>
      </c>
      <c r="C76" s="982" t="s">
        <v>153</v>
      </c>
    </row>
    <row r="77" spans="2:3" ht="18.75" x14ac:dyDescent="0.2">
      <c r="B77" s="986" t="s">
        <v>3611</v>
      </c>
      <c r="C77" s="982" t="s">
        <v>153</v>
      </c>
    </row>
    <row r="78" spans="2:3" ht="18.75" x14ac:dyDescent="0.2">
      <c r="B78" s="986" t="s">
        <v>3612</v>
      </c>
      <c r="C78" s="982" t="s">
        <v>153</v>
      </c>
    </row>
    <row r="79" spans="2:3" ht="18.75" x14ac:dyDescent="0.2">
      <c r="B79" s="986" t="s">
        <v>3613</v>
      </c>
      <c r="C79" s="982" t="s">
        <v>153</v>
      </c>
    </row>
    <row r="80" spans="2:3" ht="18.75" x14ac:dyDescent="0.2">
      <c r="B80" s="986" t="s">
        <v>3614</v>
      </c>
      <c r="C80" s="982" t="s">
        <v>153</v>
      </c>
    </row>
    <row r="81" spans="2:3" ht="18.75" x14ac:dyDescent="0.2">
      <c r="B81" s="986" t="s">
        <v>3615</v>
      </c>
      <c r="C81" s="982" t="s">
        <v>153</v>
      </c>
    </row>
    <row r="82" spans="2:3" ht="18.75" x14ac:dyDescent="0.2">
      <c r="B82" s="986" t="s">
        <v>3616</v>
      </c>
      <c r="C82" s="982" t="s">
        <v>153</v>
      </c>
    </row>
    <row r="83" spans="2:3" ht="18.75" x14ac:dyDescent="0.2">
      <c r="B83" s="986" t="s">
        <v>3617</v>
      </c>
      <c r="C83" s="982" t="s">
        <v>153</v>
      </c>
    </row>
    <row r="84" spans="2:3" ht="18.75" x14ac:dyDescent="0.2">
      <c r="B84" s="986" t="s">
        <v>3618</v>
      </c>
      <c r="C84" s="982" t="s">
        <v>153</v>
      </c>
    </row>
    <row r="85" spans="2:3" ht="18.75" x14ac:dyDescent="0.2">
      <c r="B85" s="986" t="s">
        <v>3619</v>
      </c>
      <c r="C85" s="983" t="s">
        <v>154</v>
      </c>
    </row>
    <row r="86" spans="2:3" ht="18.75" x14ac:dyDescent="0.2">
      <c r="B86" s="986" t="s">
        <v>3620</v>
      </c>
      <c r="C86" s="983" t="s">
        <v>154</v>
      </c>
    </row>
    <row r="87" spans="2:3" ht="18.75" x14ac:dyDescent="0.2">
      <c r="B87" s="986" t="s">
        <v>3621</v>
      </c>
      <c r="C87" s="984" t="s">
        <v>155</v>
      </c>
    </row>
    <row r="88" spans="2:3" ht="18.75" x14ac:dyDescent="0.2">
      <c r="B88" s="986" t="s">
        <v>3622</v>
      </c>
      <c r="C88" s="984" t="s">
        <v>155</v>
      </c>
    </row>
    <row r="89" spans="2:3" ht="18.75" x14ac:dyDescent="0.2">
      <c r="B89" s="986" t="s">
        <v>3623</v>
      </c>
      <c r="C89" s="983" t="s">
        <v>154</v>
      </c>
    </row>
    <row r="90" spans="2:3" ht="18.75" x14ac:dyDescent="0.2">
      <c r="B90" s="986" t="s">
        <v>3624</v>
      </c>
      <c r="C90" s="982" t="s">
        <v>153</v>
      </c>
    </row>
    <row r="91" spans="2:3" ht="18.75" x14ac:dyDescent="0.2">
      <c r="B91" s="986" t="s">
        <v>3625</v>
      </c>
      <c r="C91" s="982" t="s">
        <v>153</v>
      </c>
    </row>
    <row r="92" spans="2:3" ht="18.75" x14ac:dyDescent="0.2">
      <c r="B92" s="986" t="s">
        <v>3626</v>
      </c>
      <c r="C92" s="982" t="s">
        <v>153</v>
      </c>
    </row>
    <row r="93" spans="2:3" ht="18.75" x14ac:dyDescent="0.2">
      <c r="B93" s="986" t="s">
        <v>3627</v>
      </c>
      <c r="C93" s="982" t="s">
        <v>153</v>
      </c>
    </row>
    <row r="94" spans="2:3" ht="18.75" x14ac:dyDescent="0.2">
      <c r="B94" s="986" t="s">
        <v>3628</v>
      </c>
      <c r="C94" s="982" t="s">
        <v>153</v>
      </c>
    </row>
    <row r="95" spans="2:3" ht="18.75" x14ac:dyDescent="0.2">
      <c r="B95" s="986" t="s">
        <v>3629</v>
      </c>
      <c r="C95" s="982" t="s">
        <v>153</v>
      </c>
    </row>
    <row r="96" spans="2:3" ht="18.75" x14ac:dyDescent="0.2">
      <c r="B96" s="986" t="s">
        <v>3630</v>
      </c>
      <c r="C96" s="982" t="s">
        <v>153</v>
      </c>
    </row>
    <row r="97" spans="2:3" ht="18.75" x14ac:dyDescent="0.2">
      <c r="B97" s="986" t="s">
        <v>3631</v>
      </c>
      <c r="C97" s="982" t="s">
        <v>153</v>
      </c>
    </row>
    <row r="98" spans="2:3" ht="18.75" x14ac:dyDescent="0.2">
      <c r="B98" s="986" t="s">
        <v>3632</v>
      </c>
      <c r="C98" s="982" t="s">
        <v>153</v>
      </c>
    </row>
    <row r="99" spans="2:3" ht="18.75" x14ac:dyDescent="0.2">
      <c r="B99" s="986" t="s">
        <v>3633</v>
      </c>
      <c r="C99" s="982" t="s">
        <v>153</v>
      </c>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1C9CE-0D3E-4975-B961-F44345020AFF}">
  <sheetPr>
    <tabColor rgb="FF3333CC"/>
  </sheetPr>
  <dimension ref="B3:O91"/>
  <sheetViews>
    <sheetView showGridLines="0" topLeftCell="A11" zoomScale="85" zoomScaleNormal="85" workbookViewId="0">
      <selection activeCell="F19" sqref="F19"/>
    </sheetView>
  </sheetViews>
  <sheetFormatPr baseColWidth="10" defaultColWidth="10.625" defaultRowHeight="15" x14ac:dyDescent="0.25"/>
  <cols>
    <col min="1" max="3" width="10.625" style="1048"/>
    <col min="4" max="4" width="40.625" style="1048" customWidth="1"/>
    <col min="5" max="6" width="25.375" style="1048" customWidth="1"/>
    <col min="7" max="7" width="22.625" style="1048" hidden="1" customWidth="1"/>
    <col min="8" max="11" width="10.625" style="1048"/>
    <col min="12" max="12" width="40.375" style="1048" customWidth="1"/>
    <col min="13" max="14" width="23.375" style="1048" customWidth="1"/>
    <col min="15" max="15" width="33.375" style="1048" hidden="1" customWidth="1"/>
    <col min="16" max="16384" width="10.625" style="1048"/>
  </cols>
  <sheetData>
    <row r="3" spans="2:15" ht="23.25" x14ac:dyDescent="0.35">
      <c r="B3" s="1064" t="s">
        <v>3756</v>
      </c>
      <c r="J3" s="1064" t="s">
        <v>3758</v>
      </c>
    </row>
    <row r="4" spans="2:15" x14ac:dyDescent="0.25">
      <c r="D4" s="1050" t="s">
        <v>666</v>
      </c>
      <c r="E4" s="1051"/>
      <c r="F4" s="1051"/>
      <c r="L4" s="1050" t="s">
        <v>666</v>
      </c>
      <c r="M4" s="1051"/>
      <c r="N4" s="1051"/>
    </row>
    <row r="5" spans="2:15" x14ac:dyDescent="0.25">
      <c r="D5" s="1051" t="s">
        <v>3778</v>
      </c>
      <c r="E5" s="1051"/>
      <c r="F5" s="1051"/>
      <c r="L5" s="1051" t="s">
        <v>3778</v>
      </c>
      <c r="M5" s="1051"/>
      <c r="N5" s="1051"/>
    </row>
    <row r="6" spans="2:15" x14ac:dyDescent="0.25">
      <c r="D6" s="1051" t="s">
        <v>3318</v>
      </c>
      <c r="E6" s="1053">
        <v>0</v>
      </c>
      <c r="F6" s="1053"/>
      <c r="L6" s="1051" t="s">
        <v>3318</v>
      </c>
      <c r="M6" s="1053">
        <v>0</v>
      </c>
      <c r="N6" s="1053"/>
    </row>
    <row r="7" spans="2:15" x14ac:dyDescent="0.25">
      <c r="D7" s="1051" t="s">
        <v>3753</v>
      </c>
      <c r="E7" s="1052" t="s">
        <v>3754</v>
      </c>
      <c r="F7" s="1052"/>
      <c r="L7" s="1051" t="s">
        <v>3753</v>
      </c>
      <c r="M7" s="1052" t="s">
        <v>3754</v>
      </c>
      <c r="N7" s="1052"/>
    </row>
    <row r="8" spans="2:15" x14ac:dyDescent="0.25">
      <c r="D8" s="1051" t="s">
        <v>3814</v>
      </c>
      <c r="E8" s="1054">
        <v>111</v>
      </c>
      <c r="F8" s="1054"/>
      <c r="L8" s="1051" t="s">
        <v>3815</v>
      </c>
      <c r="M8" s="1054">
        <v>71</v>
      </c>
      <c r="N8" s="1054"/>
    </row>
    <row r="9" spans="2:15" x14ac:dyDescent="0.25">
      <c r="D9" s="1051" t="s">
        <v>3755</v>
      </c>
      <c r="E9" s="1054">
        <v>122</v>
      </c>
      <c r="F9" s="1054"/>
      <c r="L9" s="1051"/>
      <c r="M9" s="1054"/>
      <c r="N9" s="1054"/>
    </row>
    <row r="10" spans="2:15" ht="69.599999999999994" customHeight="1" x14ac:dyDescent="0.25">
      <c r="D10" s="1240" t="s">
        <v>3774</v>
      </c>
      <c r="E10" s="1240"/>
      <c r="F10" s="1240"/>
      <c r="G10" s="1240"/>
      <c r="L10" s="1240" t="s">
        <v>3774</v>
      </c>
      <c r="M10" s="1240"/>
      <c r="N10" s="1240"/>
      <c r="O10" s="1240"/>
    </row>
    <row r="15" spans="2:15" ht="18.75" x14ac:dyDescent="0.3">
      <c r="B15" s="1070"/>
      <c r="C15" s="1070"/>
      <c r="D15" s="1241" t="s">
        <v>3759</v>
      </c>
      <c r="E15" s="1241"/>
      <c r="F15" s="1241"/>
      <c r="G15" s="1241"/>
      <c r="H15" s="1241"/>
      <c r="I15" s="1241"/>
      <c r="J15" s="1241"/>
      <c r="K15" s="1241"/>
      <c r="L15" s="1241"/>
      <c r="M15" s="1241"/>
      <c r="N15" s="1241"/>
      <c r="O15" s="1241"/>
    </row>
    <row r="16" spans="2:15" ht="18.75" x14ac:dyDescent="0.3">
      <c r="B16" s="1055"/>
      <c r="C16" s="1055"/>
      <c r="D16" s="1049"/>
    </row>
    <row r="17" spans="2:15" ht="18.75" x14ac:dyDescent="0.3">
      <c r="B17" s="1055"/>
      <c r="C17" s="1055"/>
      <c r="D17" s="1049"/>
      <c r="E17" s="1249" t="s">
        <v>3760</v>
      </c>
      <c r="F17" s="1249"/>
      <c r="G17" s="1249"/>
      <c r="I17" s="1065"/>
      <c r="M17" s="1249" t="s">
        <v>3760</v>
      </c>
      <c r="N17" s="1249"/>
      <c r="O17" s="1249"/>
    </row>
    <row r="18" spans="2:15" x14ac:dyDescent="0.25">
      <c r="I18" s="1065"/>
    </row>
    <row r="19" spans="2:15" ht="30" x14ac:dyDescent="0.25">
      <c r="E19" s="1056" t="s">
        <v>3751</v>
      </c>
      <c r="F19" s="1056"/>
      <c r="G19" s="1057" t="s">
        <v>3761</v>
      </c>
      <c r="I19" s="1065"/>
      <c r="M19" s="1056" t="s">
        <v>3751</v>
      </c>
      <c r="N19" s="1056"/>
      <c r="O19" s="1057" t="s">
        <v>3762</v>
      </c>
    </row>
    <row r="20" spans="2:15" ht="24.6" customHeight="1" x14ac:dyDescent="0.25">
      <c r="B20" s="1059" t="s">
        <v>3747</v>
      </c>
      <c r="C20" s="1246" t="s">
        <v>3226</v>
      </c>
      <c r="D20" s="1058" t="s">
        <v>3750</v>
      </c>
      <c r="E20" s="1061">
        <f>'A.2. Performances_Bâtiment H2'!V19</f>
        <v>-0.25077399380804954</v>
      </c>
      <c r="F20" s="1061"/>
      <c r="G20" s="1061">
        <f>'A.2. Performances_Bâtiment H2'!W19</f>
        <v>-0.73390481495394899</v>
      </c>
      <c r="I20" s="1065"/>
      <c r="J20" s="1059" t="s">
        <v>3747</v>
      </c>
      <c r="K20" s="1246" t="s">
        <v>3226</v>
      </c>
      <c r="L20" s="1058" t="s">
        <v>3750</v>
      </c>
      <c r="M20" s="1061">
        <f>'A.2. Performances_Bâtiment H2'!V47</f>
        <v>-0.28265524625267668</v>
      </c>
      <c r="N20" s="1061"/>
      <c r="O20" s="1061">
        <f>'A.2. Performances_Bâtiment H2'!X47</f>
        <v>-0.43882881026403725</v>
      </c>
    </row>
    <row r="21" spans="2:15" ht="24.6" customHeight="1" x14ac:dyDescent="0.25">
      <c r="B21" s="1255" t="s">
        <v>3757</v>
      </c>
      <c r="C21" s="1247"/>
      <c r="D21" s="1058" t="s">
        <v>3752</v>
      </c>
      <c r="E21" s="1061">
        <f>'A.2. Performances_Bâtiment H2'!V28</f>
        <v>-0.50240461134770087</v>
      </c>
      <c r="F21" s="1061"/>
      <c r="G21" s="1061">
        <f>'A.2. Performances_Bâtiment H2'!W28</f>
        <v>-0.82327397083494636</v>
      </c>
      <c r="I21" s="1065"/>
      <c r="J21" s="1082" t="s">
        <v>3757</v>
      </c>
      <c r="K21" s="1248"/>
      <c r="L21" s="1058" t="s">
        <v>735</v>
      </c>
      <c r="M21" s="1062">
        <f>'A.2. Performances_Bâtiment H2'!V56</f>
        <v>6.0310579005913008</v>
      </c>
      <c r="N21" s="1062"/>
      <c r="O21" s="1062">
        <f>'A.2. Performances_Bâtiment H2'!X56</f>
        <v>4.8976933434810608</v>
      </c>
    </row>
    <row r="22" spans="2:15" ht="24.6" customHeight="1" x14ac:dyDescent="0.25">
      <c r="B22" s="1255"/>
      <c r="C22" s="1247"/>
      <c r="D22" s="1058" t="s">
        <v>734</v>
      </c>
      <c r="E22" s="1062">
        <f>'A.2. Performances_Bâtiment H2'!V30</f>
        <v>10.306917969586634</v>
      </c>
      <c r="F22" s="1062"/>
      <c r="G22" s="1061"/>
      <c r="I22" s="1065"/>
      <c r="J22" s="1081"/>
      <c r="K22" s="1083"/>
      <c r="O22" s="1078"/>
    </row>
    <row r="23" spans="2:15" ht="24.6" customHeight="1" x14ac:dyDescent="0.25">
      <c r="B23" s="1255"/>
      <c r="C23" s="1248"/>
      <c r="D23" s="1058" t="s">
        <v>735</v>
      </c>
      <c r="E23" s="1062">
        <f>'A.2. Performances_Bâtiment H2'!V31</f>
        <v>4.9534740092640241</v>
      </c>
      <c r="F23" s="1062"/>
      <c r="G23" s="1062">
        <f>'A.2. Performances_Bâtiment H2'!W31</f>
        <v>1.1144364384971692</v>
      </c>
      <c r="I23" s="1065"/>
    </row>
    <row r="24" spans="2:15" x14ac:dyDescent="0.25">
      <c r="D24" s="1060"/>
      <c r="I24" s="1065"/>
      <c r="L24" s="1060"/>
    </row>
    <row r="25" spans="2:15" x14ac:dyDescent="0.25">
      <c r="B25" s="1066" t="s">
        <v>3766</v>
      </c>
      <c r="I25" s="1065"/>
    </row>
    <row r="26" spans="2:15" x14ac:dyDescent="0.25">
      <c r="I26" s="1065"/>
    </row>
    <row r="27" spans="2:15" ht="30" x14ac:dyDescent="0.25">
      <c r="E27" s="1057" t="s">
        <v>3779</v>
      </c>
      <c r="F27" s="1111"/>
      <c r="I27" s="1065"/>
    </row>
    <row r="28" spans="2:15" ht="54" customHeight="1" x14ac:dyDescent="0.25">
      <c r="B28" s="1080" t="s">
        <v>3780</v>
      </c>
      <c r="C28" s="1079" t="s">
        <v>3226</v>
      </c>
      <c r="D28" s="1058" t="s">
        <v>3750</v>
      </c>
      <c r="E28" s="1061">
        <f>'A.2. Performances_Bâtiment H2'!W19</f>
        <v>-0.73390481495394899</v>
      </c>
      <c r="F28" s="1112"/>
      <c r="I28" s="1065"/>
    </row>
    <row r="29" spans="2:15" ht="24.6" customHeight="1" x14ac:dyDescent="0.25">
      <c r="I29" s="1065"/>
    </row>
    <row r="30" spans="2:15" ht="24.6" customHeight="1" x14ac:dyDescent="0.25"/>
    <row r="31" spans="2:15" ht="24.6" customHeight="1" x14ac:dyDescent="0.35">
      <c r="B31" s="1068"/>
      <c r="C31" s="1242" t="s">
        <v>3764</v>
      </c>
      <c r="D31" s="1242"/>
      <c r="E31" s="1242"/>
      <c r="F31" s="1242"/>
      <c r="G31" s="1242"/>
      <c r="H31" s="1242"/>
      <c r="I31" s="1242"/>
      <c r="J31" s="1242"/>
      <c r="K31" s="1242"/>
      <c r="L31" s="1242"/>
      <c r="M31" s="1242"/>
      <c r="N31" s="1242"/>
      <c r="O31" s="1242"/>
    </row>
    <row r="32" spans="2:15" ht="24.6" customHeight="1" x14ac:dyDescent="0.25"/>
    <row r="33" spans="2:15" ht="24.6" customHeight="1" x14ac:dyDescent="0.3">
      <c r="B33" s="1069" t="s">
        <v>128</v>
      </c>
      <c r="E33" s="1249" t="s">
        <v>3760</v>
      </c>
      <c r="F33" s="1249"/>
      <c r="G33" s="1249"/>
      <c r="I33" s="1065"/>
      <c r="J33" s="1069" t="s">
        <v>3455</v>
      </c>
      <c r="M33" s="1243" t="s">
        <v>3760</v>
      </c>
      <c r="N33" s="1244"/>
      <c r="O33" s="1245"/>
    </row>
    <row r="34" spans="2:15" ht="24.6" customHeight="1" x14ac:dyDescent="0.25">
      <c r="I34" s="1065"/>
    </row>
    <row r="35" spans="2:15" ht="28.5" customHeight="1" x14ac:dyDescent="0.25">
      <c r="E35" s="1056" t="s">
        <v>3751</v>
      </c>
      <c r="F35" s="1056" t="s">
        <v>3809</v>
      </c>
      <c r="G35" s="1057" t="s">
        <v>3772</v>
      </c>
      <c r="I35" s="1065"/>
      <c r="M35" s="1056" t="s">
        <v>3751</v>
      </c>
      <c r="N35" s="1056" t="s">
        <v>3809</v>
      </c>
      <c r="O35" s="1057" t="s">
        <v>3773</v>
      </c>
    </row>
    <row r="36" spans="2:15" ht="24.6" customHeight="1" x14ac:dyDescent="0.25">
      <c r="B36" s="1067" t="s">
        <v>3747</v>
      </c>
      <c r="C36" s="1259" t="s">
        <v>3226</v>
      </c>
      <c r="D36" s="1058" t="s">
        <v>3750</v>
      </c>
      <c r="E36" s="1056">
        <v>-0.9</v>
      </c>
      <c r="F36" s="1114"/>
      <c r="G36" s="1056">
        <v>-2.8</v>
      </c>
      <c r="I36" s="1065"/>
      <c r="J36" s="1067" t="s">
        <v>3747</v>
      </c>
      <c r="K36" s="1246" t="s">
        <v>3226</v>
      </c>
      <c r="L36" s="1058" t="s">
        <v>3750</v>
      </c>
      <c r="M36" s="1056">
        <v>-0.7</v>
      </c>
      <c r="N36" s="1114"/>
      <c r="O36" s="1056">
        <v>-1.1000000000000001</v>
      </c>
    </row>
    <row r="37" spans="2:15" ht="24.6" customHeight="1" x14ac:dyDescent="0.25">
      <c r="B37" s="1110" t="s">
        <v>3808</v>
      </c>
      <c r="C37" s="1260"/>
      <c r="D37" s="1058" t="s">
        <v>3810</v>
      </c>
      <c r="E37" s="1114"/>
      <c r="F37" s="1063">
        <v>0.7</v>
      </c>
      <c r="G37" s="1056"/>
      <c r="I37" s="1065"/>
      <c r="J37" s="1110" t="s">
        <v>3808</v>
      </c>
      <c r="K37" s="1247"/>
      <c r="L37" s="1058" t="s">
        <v>3810</v>
      </c>
      <c r="M37" s="1114"/>
      <c r="N37" s="1063">
        <v>0.4</v>
      </c>
      <c r="O37" s="1056"/>
    </row>
    <row r="38" spans="2:15" ht="24.6" customHeight="1" x14ac:dyDescent="0.25">
      <c r="B38" s="1256" t="s">
        <v>3813</v>
      </c>
      <c r="C38" s="1260"/>
      <c r="D38" s="1058" t="s">
        <v>3752</v>
      </c>
      <c r="E38" s="1056">
        <v>-3.1</v>
      </c>
      <c r="F38" s="1114"/>
      <c r="G38" s="1056">
        <v>-5.0999999999999996</v>
      </c>
      <c r="I38" s="1065"/>
      <c r="J38" s="1059" t="s">
        <v>3757</v>
      </c>
      <c r="K38" s="1248"/>
      <c r="L38" s="1058" t="s">
        <v>735</v>
      </c>
      <c r="M38" s="1063">
        <v>1.6</v>
      </c>
      <c r="N38" s="1115"/>
      <c r="O38" s="1063">
        <v>1.2</v>
      </c>
    </row>
    <row r="39" spans="2:15" ht="24.6" customHeight="1" x14ac:dyDescent="0.25">
      <c r="B39" s="1257"/>
      <c r="C39" s="1260"/>
      <c r="D39" s="1058" t="s">
        <v>734</v>
      </c>
      <c r="E39" s="1063">
        <v>2.6</v>
      </c>
      <c r="F39" s="1115"/>
      <c r="G39" s="1056"/>
      <c r="I39" s="1065"/>
      <c r="J39" s="1076"/>
      <c r="L39" s="1077"/>
      <c r="M39" s="1084"/>
      <c r="N39" s="1084"/>
      <c r="O39" s="1084"/>
    </row>
    <row r="40" spans="2:15" ht="24.6" customHeight="1" x14ac:dyDescent="0.25">
      <c r="B40" s="1257"/>
      <c r="C40" s="1260"/>
      <c r="D40" s="1058" t="s">
        <v>735</v>
      </c>
      <c r="E40" s="1063">
        <v>2.2999999999999998</v>
      </c>
      <c r="F40" s="1115"/>
      <c r="G40" s="1063">
        <v>0.5</v>
      </c>
      <c r="I40" s="1065"/>
    </row>
    <row r="41" spans="2:15" ht="24.6" customHeight="1" x14ac:dyDescent="0.25">
      <c r="B41" s="1257"/>
      <c r="C41" s="1260"/>
      <c r="D41" s="1058" t="s">
        <v>3811</v>
      </c>
      <c r="E41" s="1063">
        <f>(('A.1. Conso_bâtiment_EF H1'!J106*'D.1. Facteur d''émissions'!C8*'A.1. Conso_bâtiment_EF H1'!J13)-('A.1. Conso_bâtiment_EF H1'!M118*'D.1. Facteur d''émissions'!C14*'A.1. Conso_bâtiment_EF H1'!J13))/1000</f>
        <v>2.2618249110000006</v>
      </c>
      <c r="F41" s="1115"/>
      <c r="G41" s="1084"/>
    </row>
    <row r="42" spans="2:15" ht="24.6" customHeight="1" x14ac:dyDescent="0.25">
      <c r="B42" s="1258"/>
      <c r="C42" s="1260"/>
      <c r="D42" s="1058" t="s">
        <v>3812</v>
      </c>
      <c r="E42" s="1117">
        <f>(('A.1. Conso_bâtiment_EF H1'!J106*'D.1. Facteur d''émissions'!C8*'A.1. Conso_bâtiment_EF H1'!J13)-('A.1. Conso_bâtiment_EF H1'!N119*'D.1. Facteur d''émissions'!C13*'A.1. Conso_bâtiment_EF H1'!J13))/1000</f>
        <v>-1.4313032640000005</v>
      </c>
      <c r="F42" s="1115"/>
      <c r="G42" s="1084"/>
    </row>
    <row r="43" spans="2:15" ht="24.6" customHeight="1" x14ac:dyDescent="0.25">
      <c r="B43" s="1066" t="s">
        <v>3768</v>
      </c>
    </row>
    <row r="44" spans="2:15" ht="24.6" customHeight="1" x14ac:dyDescent="0.25">
      <c r="B44" s="1066"/>
    </row>
    <row r="45" spans="2:15" ht="24.6" customHeight="1" x14ac:dyDescent="0.25">
      <c r="E45" s="1057" t="s">
        <v>3779</v>
      </c>
      <c r="F45" s="1111"/>
    </row>
    <row r="46" spans="2:15" ht="51.6" customHeight="1" x14ac:dyDescent="0.25">
      <c r="B46" s="1085" t="s">
        <v>3780</v>
      </c>
      <c r="C46" s="1079" t="s">
        <v>3226</v>
      </c>
      <c r="D46" s="1058" t="s">
        <v>3750</v>
      </c>
      <c r="E46" s="1056">
        <v>-2.8</v>
      </c>
      <c r="F46" s="1113"/>
    </row>
    <row r="47" spans="2:15" ht="24.6" customHeight="1" x14ac:dyDescent="0.25">
      <c r="B47" s="1066"/>
    </row>
    <row r="48" spans="2:15" ht="24.6" customHeight="1" x14ac:dyDescent="0.25">
      <c r="B48" s="1066"/>
    </row>
    <row r="49" spans="2:15" ht="24.6" customHeight="1" x14ac:dyDescent="0.25">
      <c r="B49" s="1066"/>
    </row>
    <row r="51" spans="2:15" ht="23.25" x14ac:dyDescent="0.35">
      <c r="B51" s="1068"/>
      <c r="C51" s="1242" t="s">
        <v>3763</v>
      </c>
      <c r="D51" s="1242"/>
      <c r="E51" s="1242"/>
      <c r="F51" s="1242"/>
      <c r="G51" s="1242"/>
      <c r="H51" s="1242"/>
      <c r="I51" s="1242"/>
      <c r="J51" s="1242"/>
      <c r="K51" s="1242"/>
      <c r="L51" s="1242"/>
      <c r="M51" s="1242"/>
      <c r="N51" s="1242"/>
      <c r="O51" s="1242"/>
    </row>
    <row r="53" spans="2:15" ht="18.75" x14ac:dyDescent="0.3">
      <c r="B53" s="1069" t="s">
        <v>128</v>
      </c>
      <c r="E53" s="1249" t="s">
        <v>3760</v>
      </c>
      <c r="F53" s="1249"/>
      <c r="G53" s="1249"/>
      <c r="I53" s="1065"/>
      <c r="J53" s="1069" t="s">
        <v>3455</v>
      </c>
      <c r="M53" s="1249" t="s">
        <v>3760</v>
      </c>
      <c r="N53" s="1249"/>
      <c r="O53" s="1249"/>
    </row>
    <row r="54" spans="2:15" x14ac:dyDescent="0.25">
      <c r="I54" s="1065"/>
    </row>
    <row r="55" spans="2:15" ht="30" x14ac:dyDescent="0.25">
      <c r="E55" s="1056" t="s">
        <v>3751</v>
      </c>
      <c r="F55" s="1056" t="s">
        <v>3809</v>
      </c>
      <c r="G55" s="1057" t="s">
        <v>3772</v>
      </c>
      <c r="I55" s="1065"/>
      <c r="M55" s="1056" t="s">
        <v>3751</v>
      </c>
      <c r="N55" s="1056" t="s">
        <v>3809</v>
      </c>
      <c r="O55" s="1057" t="s">
        <v>3773</v>
      </c>
    </row>
    <row r="56" spans="2:15" ht="30.6" customHeight="1" x14ac:dyDescent="0.25">
      <c r="B56" s="1067" t="s">
        <v>3747</v>
      </c>
      <c r="C56" s="1261" t="s">
        <v>3226</v>
      </c>
      <c r="D56" s="1058" t="s">
        <v>3750</v>
      </c>
      <c r="E56" s="1056">
        <v>-0.9</v>
      </c>
      <c r="F56" s="1114"/>
      <c r="G56" s="1056">
        <v>-2.5</v>
      </c>
      <c r="I56" s="1065"/>
      <c r="J56" s="1067" t="s">
        <v>3747</v>
      </c>
      <c r="K56" s="1246" t="s">
        <v>3226</v>
      </c>
      <c r="L56" s="1058" t="s">
        <v>3750</v>
      </c>
      <c r="M56" s="1056">
        <v>-0.7</v>
      </c>
      <c r="N56" s="1114"/>
      <c r="O56" s="1056">
        <v>-1</v>
      </c>
    </row>
    <row r="57" spans="2:15" ht="30.6" customHeight="1" x14ac:dyDescent="0.25">
      <c r="B57" s="1110" t="s">
        <v>3808</v>
      </c>
      <c r="C57" s="1262"/>
      <c r="D57" s="1116" t="s">
        <v>3810</v>
      </c>
      <c r="E57" s="1114"/>
      <c r="F57" s="1063">
        <v>0.7</v>
      </c>
      <c r="G57" s="1056"/>
      <c r="I57" s="1065"/>
      <c r="J57" s="1110" t="s">
        <v>3808</v>
      </c>
      <c r="K57" s="1247"/>
      <c r="L57" s="1116" t="s">
        <v>3810</v>
      </c>
      <c r="M57" s="1114"/>
      <c r="N57" s="1063">
        <v>0.4</v>
      </c>
      <c r="O57" s="1056"/>
    </row>
    <row r="58" spans="2:15" ht="30.6" customHeight="1" x14ac:dyDescent="0.25">
      <c r="B58" s="1256" t="s">
        <v>3813</v>
      </c>
      <c r="C58" s="1262"/>
      <c r="D58" s="1058" t="s">
        <v>3752</v>
      </c>
      <c r="E58" s="1056">
        <v>-2.8</v>
      </c>
      <c r="F58" s="1114"/>
      <c r="G58" s="1056">
        <v>-4.5999999999999996</v>
      </c>
      <c r="I58" s="1065"/>
      <c r="J58" s="1059" t="s">
        <v>3757</v>
      </c>
      <c r="K58" s="1248"/>
      <c r="L58" s="1058" t="s">
        <v>735</v>
      </c>
      <c r="M58" s="1063">
        <v>1.5</v>
      </c>
      <c r="N58" s="1115"/>
      <c r="O58" s="1063">
        <v>1.1000000000000001</v>
      </c>
    </row>
    <row r="59" spans="2:15" ht="30.6" customHeight="1" x14ac:dyDescent="0.25">
      <c r="B59" s="1257"/>
      <c r="C59" s="1262"/>
      <c r="D59" s="1058" t="s">
        <v>734</v>
      </c>
      <c r="E59" s="1063">
        <v>2.4</v>
      </c>
      <c r="F59" s="1115"/>
      <c r="G59" s="1056"/>
      <c r="I59" s="1065"/>
      <c r="J59" s="1076"/>
      <c r="L59" s="1077"/>
      <c r="M59" s="1084"/>
      <c r="N59" s="1084"/>
      <c r="O59" s="1084"/>
    </row>
    <row r="60" spans="2:15" ht="30.6" customHeight="1" x14ac:dyDescent="0.25">
      <c r="B60" s="1257"/>
      <c r="C60" s="1262"/>
      <c r="D60" s="1058" t="s">
        <v>735</v>
      </c>
      <c r="E60" s="1063">
        <v>2.1</v>
      </c>
      <c r="F60" s="1115"/>
      <c r="G60" s="1063">
        <v>0.5</v>
      </c>
      <c r="I60" s="1065"/>
    </row>
    <row r="61" spans="2:15" ht="30.6" customHeight="1" x14ac:dyDescent="0.25">
      <c r="B61" s="1257"/>
      <c r="C61" s="1262"/>
      <c r="D61" s="1058" t="s">
        <v>3811</v>
      </c>
      <c r="E61" s="1063">
        <f>(('A.1. Conso_bâtiment_EF H2'!J106*'D.1. Facteur d''émissions'!C8*'A.1. Conso_bâtiment_EF H2'!J13)-('A.1. Conso_bâtiment_EF H2'!M118*'D.1. Facteur d''émissions'!C14*'A.1. Conso_bâtiment_EF H2'!J13))/1000</f>
        <v>2.0564192999999995</v>
      </c>
      <c r="F61" s="1115"/>
      <c r="G61" s="1084"/>
    </row>
    <row r="62" spans="2:15" ht="30.6" customHeight="1" x14ac:dyDescent="0.25">
      <c r="B62" s="1258"/>
      <c r="C62" s="1262"/>
      <c r="D62" s="1058" t="s">
        <v>3812</v>
      </c>
      <c r="E62" s="1117">
        <f>(('A.1. Conso_bâtiment_EF H2'!J106*'D.1. Facteur d''émissions'!C8*'A.1. Conso_bâtiment_EF H2'!J13)-('A.1. Conso_bâtiment_EF H2'!N119*'D.1. Facteur d''émissions'!C13*'A.1. Conso_bâtiment_EF H2'!J13))/1000</f>
        <v>-1.3041168000000007</v>
      </c>
      <c r="F62" s="1115"/>
      <c r="G62" s="1084"/>
    </row>
    <row r="63" spans="2:15" ht="12.6" customHeight="1" x14ac:dyDescent="0.25"/>
    <row r="64" spans="2:15" ht="30" x14ac:dyDescent="0.25">
      <c r="E64" s="1057" t="s">
        <v>3779</v>
      </c>
      <c r="F64" s="1111"/>
    </row>
    <row r="65" spans="2:15" ht="60" x14ac:dyDescent="0.25">
      <c r="B65" s="1085" t="s">
        <v>3780</v>
      </c>
      <c r="C65" s="1079" t="s">
        <v>3226</v>
      </c>
      <c r="D65" s="1058" t="s">
        <v>3750</v>
      </c>
      <c r="E65" s="1056">
        <v>-2.5</v>
      </c>
      <c r="F65" s="1113"/>
    </row>
    <row r="69" spans="2:15" ht="19.5" customHeight="1" x14ac:dyDescent="0.35">
      <c r="B69" s="1242" t="s">
        <v>3765</v>
      </c>
      <c r="C69" s="1242"/>
      <c r="D69" s="1242"/>
      <c r="E69" s="1242"/>
      <c r="F69" s="1242"/>
      <c r="G69" s="1242"/>
      <c r="H69" s="1242"/>
      <c r="I69" s="1242"/>
      <c r="J69" s="1242"/>
      <c r="K69" s="1242"/>
      <c r="L69" s="1242"/>
      <c r="M69" s="1242"/>
      <c r="N69" s="1242"/>
      <c r="O69" s="1242"/>
    </row>
    <row r="71" spans="2:15" ht="18.75" x14ac:dyDescent="0.3">
      <c r="E71" s="1249" t="s">
        <v>3760</v>
      </c>
      <c r="F71" s="1249"/>
      <c r="G71" s="1249"/>
      <c r="I71" s="1065"/>
      <c r="J71" s="1069" t="s">
        <v>3455</v>
      </c>
      <c r="M71" s="1243" t="s">
        <v>3760</v>
      </c>
      <c r="N71" s="1244"/>
      <c r="O71" s="1245"/>
    </row>
    <row r="72" spans="2:15" ht="18.75" x14ac:dyDescent="0.3">
      <c r="B72" s="1069" t="s">
        <v>128</v>
      </c>
      <c r="I72" s="1065"/>
    </row>
    <row r="73" spans="2:15" ht="30.6" customHeight="1" x14ac:dyDescent="0.25">
      <c r="E73" s="1056" t="s">
        <v>3751</v>
      </c>
      <c r="F73" s="1056" t="s">
        <v>3809</v>
      </c>
      <c r="G73" s="1057" t="s">
        <v>3772</v>
      </c>
      <c r="I73" s="1065"/>
      <c r="M73" s="1056" t="s">
        <v>3751</v>
      </c>
      <c r="N73" s="1056" t="s">
        <v>3809</v>
      </c>
      <c r="O73" s="1057" t="s">
        <v>3773</v>
      </c>
    </row>
    <row r="74" spans="2:15" ht="30.6" customHeight="1" x14ac:dyDescent="0.25">
      <c r="B74" s="1059" t="s">
        <v>3747</v>
      </c>
      <c r="C74" s="1253" t="s">
        <v>3226</v>
      </c>
      <c r="D74" s="1058" t="s">
        <v>3750</v>
      </c>
      <c r="E74" s="1056">
        <v>-0.6</v>
      </c>
      <c r="F74" s="1114"/>
      <c r="G74" s="1056">
        <v>-1.6</v>
      </c>
      <c r="I74" s="1065"/>
      <c r="J74" s="1067" t="s">
        <v>3747</v>
      </c>
      <c r="K74" s="1246" t="s">
        <v>3226</v>
      </c>
      <c r="L74" s="1058" t="s">
        <v>3750</v>
      </c>
      <c r="M74" s="1056">
        <v>-0.5</v>
      </c>
      <c r="N74" s="1114"/>
      <c r="O74" s="1056">
        <v>-0.7</v>
      </c>
    </row>
    <row r="75" spans="2:15" ht="30.6" customHeight="1" x14ac:dyDescent="0.25">
      <c r="B75" s="1110" t="s">
        <v>3808</v>
      </c>
      <c r="C75" s="1254"/>
      <c r="D75" s="1116" t="s">
        <v>3810</v>
      </c>
      <c r="E75" s="1114"/>
      <c r="F75" s="1063">
        <v>0.5</v>
      </c>
      <c r="G75" s="1056"/>
      <c r="I75" s="1065"/>
      <c r="J75" s="1110" t="s">
        <v>3808</v>
      </c>
      <c r="K75" s="1247"/>
      <c r="L75" s="1116" t="s">
        <v>3810</v>
      </c>
      <c r="M75" s="1114"/>
      <c r="N75" s="1063">
        <v>0.2</v>
      </c>
      <c r="O75" s="1056"/>
    </row>
    <row r="76" spans="2:15" ht="30.6" customHeight="1" x14ac:dyDescent="0.25">
      <c r="B76" s="1250" t="s">
        <v>3757</v>
      </c>
      <c r="C76" s="1254"/>
      <c r="D76" s="1058" t="s">
        <v>3752</v>
      </c>
      <c r="E76" s="1056">
        <v>-1.9</v>
      </c>
      <c r="F76" s="1114"/>
      <c r="G76" s="1056">
        <v>-3.1</v>
      </c>
      <c r="I76" s="1065"/>
      <c r="J76" s="1059" t="s">
        <v>3757</v>
      </c>
      <c r="K76" s="1248"/>
      <c r="L76" s="1058" t="s">
        <v>735</v>
      </c>
      <c r="M76" s="1063">
        <v>1</v>
      </c>
      <c r="N76" s="1115"/>
      <c r="O76" s="1063">
        <v>0.8</v>
      </c>
    </row>
    <row r="77" spans="2:15" ht="30.6" customHeight="1" x14ac:dyDescent="0.25">
      <c r="B77" s="1251"/>
      <c r="C77" s="1254"/>
      <c r="D77" s="1058" t="s">
        <v>734</v>
      </c>
      <c r="E77" s="1063">
        <v>1.6</v>
      </c>
      <c r="F77" s="1115"/>
      <c r="G77" s="1056"/>
      <c r="I77" s="1065"/>
      <c r="J77" s="1076"/>
      <c r="K77" s="1076"/>
      <c r="L77" s="1077"/>
      <c r="M77" s="1084"/>
      <c r="N77" s="1084"/>
      <c r="O77" s="1084"/>
    </row>
    <row r="78" spans="2:15" ht="24" customHeight="1" x14ac:dyDescent="0.25">
      <c r="B78" s="1251"/>
      <c r="C78" s="1254"/>
      <c r="D78" s="1058" t="s">
        <v>735</v>
      </c>
      <c r="E78" s="1063">
        <v>1.5</v>
      </c>
      <c r="F78" s="1115"/>
      <c r="G78" s="1063">
        <v>0.4</v>
      </c>
      <c r="I78" s="1065"/>
    </row>
    <row r="79" spans="2:15" ht="24" customHeight="1" x14ac:dyDescent="0.25">
      <c r="B79" s="1251"/>
      <c r="C79" s="1254"/>
      <c r="D79" s="1058" t="s">
        <v>3811</v>
      </c>
      <c r="E79" s="1063">
        <f>(('A.1. Conso_bâtiment_EF H3'!J106*'D.1. Facteur d''émissions'!C8*'A.1. Conso_bâtiment_EF H3'!J13)-('A.1. Conso_bâtiment_EF H3'!M118*'D.1. Facteur d''émissions'!C14*'A.1. Conso_bâtiment_EF H3'!J13))/1000</f>
        <v>1.4016741449999999</v>
      </c>
      <c r="F79" s="1115"/>
      <c r="G79" s="1084"/>
    </row>
    <row r="80" spans="2:15" ht="24" customHeight="1" x14ac:dyDescent="0.25">
      <c r="B80" s="1252"/>
      <c r="C80" s="1254"/>
      <c r="D80" s="1058" t="s">
        <v>3812</v>
      </c>
      <c r="E80" s="1117">
        <f>(('A.1. Conso_bâtiment_EF H3'!J106*'D.1. Facteur d''émissions'!C8*'A.1. Conso_bâtiment_EF H3'!J13)-('A.1. Conso_bâtiment_EF H3'!N119*'D.1. Facteur d''émissions'!C13*'A.1. Conso_bâtiment_EF H3'!J13))/1000</f>
        <v>-0.89850837000000094</v>
      </c>
      <c r="F80" s="1115"/>
      <c r="G80" s="1084"/>
    </row>
    <row r="83" spans="2:6" ht="30" x14ac:dyDescent="0.25">
      <c r="E83" s="1057" t="s">
        <v>3779</v>
      </c>
      <c r="F83" s="1111"/>
    </row>
    <row r="84" spans="2:6" ht="60" x14ac:dyDescent="0.25">
      <c r="B84" s="1085" t="s">
        <v>3780</v>
      </c>
      <c r="C84" s="1079" t="s">
        <v>3226</v>
      </c>
      <c r="D84" s="1058" t="s">
        <v>3750</v>
      </c>
      <c r="E84" s="1056">
        <v>-1.7</v>
      </c>
      <c r="F84" s="1113"/>
    </row>
    <row r="85" spans="2:6" x14ac:dyDescent="0.25">
      <c r="B85" s="1066"/>
    </row>
    <row r="86" spans="2:6" x14ac:dyDescent="0.25">
      <c r="B86" s="1066"/>
    </row>
    <row r="87" spans="2:6" x14ac:dyDescent="0.25">
      <c r="E87" s="1087"/>
      <c r="F87" s="1087"/>
    </row>
    <row r="88" spans="2:6" ht="33" customHeight="1" x14ac:dyDescent="0.25">
      <c r="E88" s="1087"/>
      <c r="F88" s="1087"/>
    </row>
    <row r="89" spans="2:6" ht="33" customHeight="1" x14ac:dyDescent="0.25">
      <c r="E89" s="1088"/>
      <c r="F89" s="1088"/>
    </row>
    <row r="90" spans="2:6" ht="33" customHeight="1" x14ac:dyDescent="0.25"/>
    <row r="91" spans="2:6" ht="33" customHeight="1" x14ac:dyDescent="0.25"/>
  </sheetData>
  <mergeCells count="26">
    <mergeCell ref="B76:B80"/>
    <mergeCell ref="C74:C80"/>
    <mergeCell ref="C20:C23"/>
    <mergeCell ref="E17:G17"/>
    <mergeCell ref="K20:K21"/>
    <mergeCell ref="B21:B23"/>
    <mergeCell ref="B38:B42"/>
    <mergeCell ref="C36:C42"/>
    <mergeCell ref="B58:B62"/>
    <mergeCell ref="C56:C62"/>
    <mergeCell ref="K74:K76"/>
    <mergeCell ref="M53:O53"/>
    <mergeCell ref="K56:K58"/>
    <mergeCell ref="E53:G53"/>
    <mergeCell ref="E33:G33"/>
    <mergeCell ref="M71:O71"/>
    <mergeCell ref="B69:O69"/>
    <mergeCell ref="E71:G71"/>
    <mergeCell ref="L10:O10"/>
    <mergeCell ref="D10:G10"/>
    <mergeCell ref="D15:O15"/>
    <mergeCell ref="C51:O51"/>
    <mergeCell ref="C31:O31"/>
    <mergeCell ref="M33:O33"/>
    <mergeCell ref="K36:K38"/>
    <mergeCell ref="M17:O17"/>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7E801-489F-42C0-A225-97C0B24A7919}">
  <dimension ref="C3:G7"/>
  <sheetViews>
    <sheetView showGridLines="0" workbookViewId="0">
      <selection activeCell="G3" sqref="G3"/>
    </sheetView>
  </sheetViews>
  <sheetFormatPr baseColWidth="10" defaultColWidth="11" defaultRowHeight="14.25" x14ac:dyDescent="0.2"/>
  <cols>
    <col min="7" max="7" width="25.625" customWidth="1"/>
  </cols>
  <sheetData>
    <row r="3" spans="3:7" x14ac:dyDescent="0.2">
      <c r="C3" t="s">
        <v>162</v>
      </c>
      <c r="G3" t="s">
        <v>3365</v>
      </c>
    </row>
    <row r="4" spans="3:7" x14ac:dyDescent="0.2">
      <c r="C4" t="s">
        <v>163</v>
      </c>
    </row>
    <row r="5" spans="3:7" x14ac:dyDescent="0.2">
      <c r="C5" t="s">
        <v>170</v>
      </c>
    </row>
    <row r="6" spans="3:7" x14ac:dyDescent="0.2">
      <c r="C6" t="s">
        <v>165</v>
      </c>
    </row>
    <row r="7" spans="3:7" x14ac:dyDescent="0.2">
      <c r="C7" t="s">
        <v>3365</v>
      </c>
    </row>
  </sheetData>
  <dataValidations count="1">
    <dataValidation type="list" allowBlank="1" showInputMessage="1" showErrorMessage="1" sqref="G3" xr:uid="{5D5223AD-9703-4730-A6A1-49AE36557717}">
      <formula1>$C$3:$C$7</formula1>
    </dataValidation>
  </dataValidation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CDC57-AE8E-4B46-9A73-D9A82CC07B91}">
  <sheetPr>
    <tabColor rgb="FFFF0000"/>
  </sheetPr>
  <dimension ref="B1:Y177"/>
  <sheetViews>
    <sheetView showGridLines="0" topLeftCell="A27" zoomScale="73" zoomScaleNormal="50" workbookViewId="0">
      <selection activeCell="I52" sqref="I52"/>
    </sheetView>
  </sheetViews>
  <sheetFormatPr baseColWidth="10" defaultColWidth="11" defaultRowHeight="14.25" outlineLevelRow="1" x14ac:dyDescent="0.2"/>
  <cols>
    <col min="2" max="2" width="39.375" customWidth="1"/>
    <col min="3" max="3" width="4.875" customWidth="1"/>
    <col min="4" max="4" width="13.25" customWidth="1"/>
    <col min="5" max="5" width="50.75" customWidth="1"/>
    <col min="6" max="6" width="50.625" customWidth="1"/>
    <col min="7" max="7" width="19.25" customWidth="1"/>
    <col min="8" max="8" width="49" customWidth="1"/>
    <col min="9" max="9" width="53.75" customWidth="1"/>
    <col min="10" max="11" width="16" customWidth="1"/>
    <col min="12" max="12" width="17.125" customWidth="1"/>
    <col min="13" max="13" width="22.625" customWidth="1"/>
    <col min="14" max="14" width="28.5" customWidth="1"/>
    <col min="15" max="15" width="15.375" customWidth="1"/>
    <col min="16" max="16" width="4" customWidth="1"/>
    <col min="17" max="17" width="16.125" customWidth="1"/>
  </cols>
  <sheetData>
    <row r="1" spans="6:7" ht="20.25" x14ac:dyDescent="0.3">
      <c r="F1" s="630"/>
    </row>
    <row r="2" spans="6:7" ht="15" x14ac:dyDescent="0.25">
      <c r="F2" s="86" t="s">
        <v>222</v>
      </c>
    </row>
    <row r="3" spans="6:7" x14ac:dyDescent="0.2">
      <c r="F3" s="3"/>
      <c r="G3" t="s">
        <v>223</v>
      </c>
    </row>
    <row r="5" spans="6:7" ht="18" x14ac:dyDescent="0.25">
      <c r="F5" s="573" t="s">
        <v>3279</v>
      </c>
    </row>
    <row r="6" spans="6:7" ht="15" x14ac:dyDescent="0.25">
      <c r="F6" s="1" t="s">
        <v>3280</v>
      </c>
    </row>
    <row r="8" spans="6:7" ht="15" x14ac:dyDescent="0.25">
      <c r="F8" s="199" t="s">
        <v>3281</v>
      </c>
    </row>
    <row r="9" spans="6:7" ht="15" x14ac:dyDescent="0.25">
      <c r="F9" t="s">
        <v>3366</v>
      </c>
    </row>
    <row r="10" spans="6:7" ht="5.0999999999999996" customHeight="1" x14ac:dyDescent="0.2"/>
    <row r="11" spans="6:7" x14ac:dyDescent="0.2">
      <c r="F11" t="s">
        <v>3283</v>
      </c>
    </row>
    <row r="12" spans="6:7" x14ac:dyDescent="0.2">
      <c r="F12" s="138" t="s">
        <v>3367</v>
      </c>
    </row>
    <row r="13" spans="6:7" x14ac:dyDescent="0.2">
      <c r="F13" s="138" t="s">
        <v>3368</v>
      </c>
    </row>
    <row r="14" spans="6:7" x14ac:dyDescent="0.2">
      <c r="F14" s="138" t="s">
        <v>3286</v>
      </c>
    </row>
    <row r="15" spans="6:7" x14ac:dyDescent="0.2">
      <c r="F15" s="138" t="s">
        <v>3369</v>
      </c>
    </row>
    <row r="16" spans="6:7" x14ac:dyDescent="0.2">
      <c r="F16" s="138" t="s">
        <v>3288</v>
      </c>
    </row>
    <row r="17" spans="2:17" x14ac:dyDescent="0.2">
      <c r="F17" s="138"/>
    </row>
    <row r="18" spans="2:17" ht="15" x14ac:dyDescent="0.25">
      <c r="F18" s="199" t="s">
        <v>3289</v>
      </c>
    </row>
    <row r="19" spans="2:17" ht="15" x14ac:dyDescent="0.25">
      <c r="F19" s="87" t="s">
        <v>3370</v>
      </c>
    </row>
    <row r="20" spans="2:17" ht="15" x14ac:dyDescent="0.25">
      <c r="F20" t="s">
        <v>3371</v>
      </c>
      <c r="N20" s="48"/>
    </row>
    <row r="21" spans="2:17" ht="15" x14ac:dyDescent="0.25">
      <c r="F21" t="s">
        <v>3372</v>
      </c>
      <c r="N21" s="48"/>
    </row>
    <row r="22" spans="2:17" ht="15" x14ac:dyDescent="0.25">
      <c r="F22" t="s">
        <v>3373</v>
      </c>
    </row>
    <row r="24" spans="2:17" ht="23.25" x14ac:dyDescent="0.35">
      <c r="C24" s="613">
        <v>1</v>
      </c>
      <c r="D24" s="612"/>
      <c r="E24" s="612"/>
      <c r="F24" s="610" t="s">
        <v>165</v>
      </c>
    </row>
    <row r="25" spans="2:17" ht="12" customHeight="1" x14ac:dyDescent="0.2">
      <c r="C25" s="31"/>
      <c r="N25" s="1216"/>
      <c r="O25" s="1216"/>
      <c r="P25" s="1216"/>
      <c r="Q25" s="1216"/>
    </row>
    <row r="26" spans="2:17" ht="12" customHeight="1" x14ac:dyDescent="0.2">
      <c r="C26" s="31"/>
      <c r="N26" s="544"/>
      <c r="O26" s="544"/>
      <c r="P26" s="544"/>
      <c r="Q26" s="544"/>
    </row>
    <row r="27" spans="2:17" ht="12" customHeight="1" x14ac:dyDescent="0.25">
      <c r="C27" s="31"/>
      <c r="F27" s="199" t="s">
        <v>3295</v>
      </c>
      <c r="N27" s="544"/>
      <c r="O27" s="544"/>
      <c r="P27" s="544"/>
      <c r="Q27" s="544"/>
    </row>
    <row r="28" spans="2:17" ht="28.5" x14ac:dyDescent="0.2">
      <c r="C28" s="31"/>
      <c r="F28" s="207" t="s">
        <v>3374</v>
      </c>
      <c r="G28" s="576"/>
      <c r="H28" s="580" t="s">
        <v>3329</v>
      </c>
      <c r="N28" s="544"/>
      <c r="O28" s="544"/>
      <c r="P28" s="544"/>
      <c r="Q28" s="544"/>
    </row>
    <row r="29" spans="2:17" ht="28.5" x14ac:dyDescent="0.2">
      <c r="C29" s="31"/>
      <c r="F29" s="207" t="s">
        <v>3375</v>
      </c>
      <c r="G29" s="531"/>
      <c r="H29" s="560" t="s">
        <v>3376</v>
      </c>
      <c r="N29" s="544"/>
      <c r="O29" s="544"/>
      <c r="P29" s="544"/>
      <c r="Q29" s="562"/>
    </row>
    <row r="30" spans="2:17" x14ac:dyDescent="0.2">
      <c r="C30" s="31"/>
      <c r="F30" s="207"/>
      <c r="G30" s="546"/>
      <c r="H30" s="560"/>
      <c r="N30" s="544"/>
      <c r="O30" s="544"/>
      <c r="P30" s="544"/>
      <c r="Q30" s="562"/>
    </row>
    <row r="31" spans="2:17" ht="18.600000000000001" customHeight="1" x14ac:dyDescent="0.2">
      <c r="C31" s="31"/>
      <c r="F31" t="s">
        <v>3340</v>
      </c>
      <c r="G31" s="528">
        <f>IF(G29="",IF(G28="",0,G28),G29)</f>
        <v>0</v>
      </c>
      <c r="H31" s="513"/>
      <c r="O31" s="544"/>
      <c r="P31" s="544"/>
      <c r="Q31" s="544"/>
    </row>
    <row r="32" spans="2:17" ht="18.600000000000001" customHeight="1" x14ac:dyDescent="0.2">
      <c r="B32" s="370" t="s">
        <v>230</v>
      </c>
      <c r="C32" s="31"/>
      <c r="F32" s="370" t="s">
        <v>236</v>
      </c>
      <c r="G32" s="546"/>
      <c r="H32" s="513"/>
      <c r="N32" s="544"/>
      <c r="O32" s="544"/>
      <c r="P32" s="544"/>
      <c r="Q32" s="544"/>
    </row>
    <row r="33" spans="2:25" x14ac:dyDescent="0.2">
      <c r="B33" t="s">
        <v>237</v>
      </c>
      <c r="C33" s="31"/>
      <c r="F33" t="s">
        <v>238</v>
      </c>
      <c r="G33" s="528" t="e">
        <f>VLOOKUP(F41,'A.1. Conso_bâtiment_EF H2'!E102:AC123,20,0)*'A.1. Conso_bâtiment_EF H2'!M13</f>
        <v>#N/A</v>
      </c>
      <c r="H33" s="1149" t="s">
        <v>239</v>
      </c>
    </row>
    <row r="34" spans="2:25" x14ac:dyDescent="0.2">
      <c r="B34" t="s">
        <v>240</v>
      </c>
      <c r="C34" s="31"/>
      <c r="F34" t="s">
        <v>241</v>
      </c>
      <c r="G34" s="528">
        <f>'A.1. Conso_bâtiment_EF H2'!M13</f>
        <v>995</v>
      </c>
      <c r="H34" s="1149"/>
    </row>
    <row r="35" spans="2:25" x14ac:dyDescent="0.2">
      <c r="B35" t="s">
        <v>191</v>
      </c>
      <c r="C35" s="31"/>
      <c r="F35" s="312"/>
      <c r="G35" s="527"/>
      <c r="H35" s="374"/>
      <c r="J35" s="198"/>
      <c r="K35" s="198"/>
    </row>
    <row r="36" spans="2:25" x14ac:dyDescent="0.2">
      <c r="B36" t="s">
        <v>189</v>
      </c>
      <c r="C36" s="31"/>
      <c r="J36" s="534"/>
      <c r="K36" s="534"/>
      <c r="Q36" s="558"/>
      <c r="R36" s="559"/>
    </row>
    <row r="37" spans="2:25" x14ac:dyDescent="0.2">
      <c r="B37" s="207"/>
      <c r="C37" s="31"/>
      <c r="J37" s="534"/>
      <c r="K37" s="534"/>
      <c r="Q37" s="198"/>
      <c r="R37" s="559"/>
    </row>
    <row r="38" spans="2:25" ht="23.25" x14ac:dyDescent="0.35">
      <c r="C38" s="613">
        <v>2</v>
      </c>
      <c r="D38" s="612"/>
      <c r="E38" s="612"/>
      <c r="F38" s="611" t="s">
        <v>3304</v>
      </c>
      <c r="G38" s="612">
        <v>3</v>
      </c>
      <c r="H38" s="25"/>
      <c r="I38" s="612">
        <v>4</v>
      </c>
      <c r="J38" s="596" t="s">
        <v>3305</v>
      </c>
      <c r="K38" s="596"/>
      <c r="L38" s="25"/>
      <c r="M38" s="25"/>
      <c r="N38" s="25"/>
      <c r="O38" s="25"/>
      <c r="P38" s="25"/>
      <c r="Q38" s="201"/>
      <c r="R38" s="25"/>
      <c r="S38" s="25"/>
      <c r="T38" s="25"/>
      <c r="U38" s="25"/>
      <c r="V38" s="25"/>
      <c r="W38" s="25"/>
      <c r="X38" s="25"/>
      <c r="Y38" s="25"/>
    </row>
    <row r="39" spans="2:25" x14ac:dyDescent="0.2">
      <c r="B39" s="370" t="s">
        <v>246</v>
      </c>
      <c r="C39" s="31"/>
      <c r="F39" s="25"/>
      <c r="H39" s="25"/>
      <c r="J39" s="597"/>
      <c r="K39" s="597"/>
      <c r="L39" s="25"/>
      <c r="M39" s="25"/>
      <c r="N39" s="25"/>
      <c r="O39" s="25"/>
      <c r="P39" s="25"/>
      <c r="Q39" s="597"/>
      <c r="R39" s="25"/>
      <c r="S39" s="25"/>
      <c r="T39" s="25"/>
      <c r="U39" s="25"/>
      <c r="V39" s="25"/>
      <c r="W39" s="25"/>
      <c r="X39" s="25"/>
      <c r="Y39" s="25"/>
    </row>
    <row r="40" spans="2:25" ht="16.5" thickBot="1" x14ac:dyDescent="0.3">
      <c r="B40" t="s">
        <v>3377</v>
      </c>
      <c r="C40" s="31"/>
      <c r="F40" s="661" t="s">
        <v>3306</v>
      </c>
      <c r="H40" s="661" t="s">
        <v>3307</v>
      </c>
      <c r="J40" s="661" t="s">
        <v>3299</v>
      </c>
      <c r="K40" s="661"/>
      <c r="L40" s="607"/>
      <c r="M40" s="607" t="s">
        <v>3378</v>
      </c>
      <c r="N40" s="661" t="s">
        <v>3308</v>
      </c>
      <c r="O40" s="607" t="s">
        <v>3363</v>
      </c>
      <c r="P40" s="607"/>
      <c r="Q40" s="661" t="s">
        <v>3379</v>
      </c>
      <c r="R40" s="608"/>
      <c r="S40" s="25"/>
      <c r="T40" s="25"/>
      <c r="U40" s="661" t="s">
        <v>3380</v>
      </c>
      <c r="V40" s="25"/>
      <c r="W40" s="25"/>
      <c r="X40" s="661" t="s">
        <v>3381</v>
      </c>
      <c r="Y40" s="25"/>
    </row>
    <row r="41" spans="2:25" ht="15.75" thickBot="1" x14ac:dyDescent="0.25">
      <c r="B41" t="s">
        <v>240</v>
      </c>
      <c r="C41" s="31"/>
      <c r="F41" s="581" t="s">
        <v>237</v>
      </c>
      <c r="H41" s="581" t="s">
        <v>240</v>
      </c>
      <c r="I41" s="138"/>
      <c r="J41" s="515" t="e">
        <f>IF(G31=0,IF(J44="",G33*'D.1. Facteur d''émissions'!C37*-J42,G33*'D.1. Facteur d''émissions'!C37*-J44),IF(J44="",G31*'D.1. Facteur d''émissions'!C37*-J42,G31*'D.1. Facteur d''émissions'!C37*-J44))</f>
        <v>#N/A</v>
      </c>
      <c r="K41" s="515"/>
      <c r="L41" s="609" t="e">
        <f>IF(N42="","kWh PCI/an","kWh EP/an")</f>
        <v>#N/A</v>
      </c>
      <c r="M41" s="609"/>
      <c r="N41" s="515" t="e">
        <f>IF(G31=0,(G33*'D.1. Facteur d''émissions'!C37)-J41,(G31*'D.1. Facteur d''émissions'!C37)-J41)</f>
        <v>#N/A</v>
      </c>
      <c r="O41" s="516" t="e">
        <f>IF(N42="","kWh PCS/an","kWh EP/an")</f>
        <v>#N/A</v>
      </c>
      <c r="P41" s="609"/>
      <c r="Q41" s="570" t="e">
        <f>IF(N42="",IF(G31=0,G33*0.239-(N41/1.11)*0.239,G31*0.239-(N41/1.11)*0.239),IF(G31=0,(G33*0.239)-(((N42*N41)/1.11)*0.239+((N43*N41)/2.3)*0.05),G31*0.239-((N42*N41)/1.11)*0.239+((N43*N41)/2.3)*0.05))/1000</f>
        <v>#N/A</v>
      </c>
      <c r="R41" s="517" t="s">
        <v>254</v>
      </c>
      <c r="S41" s="25"/>
      <c r="T41" s="25"/>
      <c r="U41" s="626" t="e">
        <f>Q41*1000/'D.2. Equivalents ADEME'!D4</f>
        <v>#N/A</v>
      </c>
      <c r="V41" s="25"/>
      <c r="W41" s="25"/>
      <c r="X41" s="757" t="e">
        <f>H45/Q41</f>
        <v>#N/A</v>
      </c>
      <c r="Y41" s="25" t="s">
        <v>3382</v>
      </c>
    </row>
    <row r="42" spans="2:25" ht="15" x14ac:dyDescent="0.25">
      <c r="B42" t="s">
        <v>191</v>
      </c>
      <c r="F42" s="25"/>
      <c r="H42" s="25"/>
      <c r="I42" s="455" t="str">
        <f>IF(J44="","soit (cas moyen)","")</f>
        <v>soit (cas moyen)</v>
      </c>
      <c r="J42" s="577" t="e" cm="1">
        <f t="array" ref="J42">IF(J44="",INDEX('A.2. Performances_Bâtiment H2'!D83:M92,'OLD Outil - Argumentaire € CO2'!J60,'OLD Outil - Argumentaire € CO2'!J61),"")</f>
        <v>#N/A</v>
      </c>
      <c r="K42" s="577"/>
      <c r="L42" s="598" t="str">
        <f>IF(J44="","d'économies d'énergie","")</f>
        <v>d'économies d'énergie</v>
      </c>
      <c r="M42" s="599" t="s">
        <v>3314</v>
      </c>
      <c r="N42" s="698" t="e">
        <f>IF(VLOOKUP(H41,'A.1. Conso_bâtiment_EF H2'!E102:AC123,4,0)="Oui",VLOOKUP(H41,'A.1. Conso_bâtiment_EF H2'!E102:AC123,20,0)/VLOOKUP(H41,'A.1. Conso_bâtiment_EF H2'!E102:AC123,19,0),"")</f>
        <v>#N/A</v>
      </c>
      <c r="O42" s="25"/>
      <c r="P42" s="25"/>
      <c r="Q42" s="577" t="e" cm="1">
        <f t="array" ref="Q42">IF(J44="",INDEX('A.2. Performances_Bâtiment H2'!S83:AB92,'OLD Outil - Argumentaire € CO2'!Q60,'OLD Outil - Argumentaire € CO2'!Q61),IF(G31=0,((G33*'D.1. Facteur d''émissions'!$C$8)/1000-Q41)/((G33*'D.1. Facteur d''émissions'!$C$8)/1000)-1,((G31*'D.1. Facteur d''émissions'!$C$8)/1000-Q41)/((G33*'D.1. Facteur d''émissions'!$C$8)/1000)-1))</f>
        <v>#N/A</v>
      </c>
      <c r="R42" s="598"/>
      <c r="S42" s="25"/>
      <c r="T42" s="25"/>
      <c r="U42" s="606" t="s">
        <v>3383</v>
      </c>
      <c r="V42" s="25"/>
      <c r="W42" s="25"/>
      <c r="X42" s="25"/>
      <c r="Y42" s="25"/>
    </row>
    <row r="43" spans="2:25" ht="15" x14ac:dyDescent="0.25">
      <c r="B43" t="s">
        <v>189</v>
      </c>
      <c r="J43" s="25"/>
      <c r="K43" s="25"/>
      <c r="L43" s="598"/>
      <c r="M43" s="599" t="e">
        <f>IF(N43="","","Part d'électricité (EF)*")</f>
        <v>#N/A</v>
      </c>
      <c r="N43" s="698" t="e">
        <f>IF(VLOOKUP(H41,'A.1. Conso_bâtiment_EF H2'!E102:AC123,4,0)="Oui",VLOOKUP(H41,'A.1. Conso_bâtiment_EF H2'!E102:AC123,21,0)/VLOOKUP(H41,'A.1. Conso_bâtiment_EF H2'!E102:AC123,19,0),"")</f>
        <v>#N/A</v>
      </c>
      <c r="O43" s="25"/>
      <c r="P43" s="25"/>
      <c r="Q43" s="582" t="e">
        <f>IF(N42="",IF(G31=0,G33*0.239-(N41/1.11)*0.239,G31*0.239-(N41/1.11)*0.239),IF(G31=0,(G33*0.239)-(((N42*N41)/1.11)*0.239+((N43*N41)/2.3)*0.05),G31*0.239-((N42*N41)/1.11)*0.239+((N43*N41)/2.3)*0.05))/1000</f>
        <v>#N/A</v>
      </c>
      <c r="R43" s="598"/>
      <c r="S43" s="25"/>
      <c r="T43" s="25"/>
      <c r="U43" s="627" t="e">
        <f>Q41*1000/'D.2. Equivalents ADEME'!D8</f>
        <v>#N/A</v>
      </c>
      <c r="V43" s="25"/>
      <c r="W43" s="25"/>
      <c r="X43" s="606" t="s">
        <v>3384</v>
      </c>
      <c r="Y43" s="25"/>
    </row>
    <row r="44" spans="2:25" ht="15" x14ac:dyDescent="0.25">
      <c r="B44" t="s">
        <v>187</v>
      </c>
      <c r="H44" s="606" t="s">
        <v>3385</v>
      </c>
      <c r="I44" s="32" t="s">
        <v>257</v>
      </c>
      <c r="J44" s="556"/>
      <c r="K44" s="746"/>
      <c r="L44" s="598"/>
      <c r="M44" s="600"/>
      <c r="N44" s="599" t="e">
        <f>IF(N42="","","*si solution hybride")</f>
        <v>#N/A</v>
      </c>
      <c r="O44" s="601"/>
      <c r="P44" s="201"/>
      <c r="Q44" s="602" t="e">
        <f>(G33*'D.1. Facteur d''émissions'!$C$8/1000-Q43)/(G33*'D.1. Facteur d''émissions'!$C$8/1000)-1</f>
        <v>#N/A</v>
      </c>
      <c r="R44" s="598"/>
      <c r="S44" s="25"/>
      <c r="T44" s="25"/>
      <c r="U44" s="606" t="s">
        <v>3359</v>
      </c>
      <c r="V44" s="25"/>
      <c r="W44" s="25"/>
      <c r="X44" s="628"/>
      <c r="Y44" s="25" t="s">
        <v>3382</v>
      </c>
    </row>
    <row r="45" spans="2:25" ht="15" x14ac:dyDescent="0.2">
      <c r="H45" s="666" t="e">
        <f>IF(H46="",VLOOKUP(H41,'C.1 Facteurs éco - coûts'!C21:G26,5,0),H46)</f>
        <v>#N/A</v>
      </c>
      <c r="J45" s="537" t="s">
        <v>258</v>
      </c>
      <c r="K45" s="665"/>
      <c r="L45" s="598"/>
      <c r="M45" s="600"/>
      <c r="N45" s="603"/>
      <c r="O45" s="601"/>
      <c r="P45" s="201"/>
      <c r="Q45" s="25"/>
      <c r="R45" s="598"/>
      <c r="S45" s="25"/>
      <c r="T45" s="25"/>
      <c r="U45" s="626" t="e">
        <f>Q41*1000/'D.2. Equivalents ADEME'!D9</f>
        <v>#N/A</v>
      </c>
      <c r="V45" s="25"/>
      <c r="W45" s="25"/>
      <c r="X45" s="25"/>
      <c r="Y45" s="25"/>
    </row>
    <row r="46" spans="2:25" ht="15" x14ac:dyDescent="0.2">
      <c r="G46" s="81" t="s">
        <v>257</v>
      </c>
      <c r="H46" s="662"/>
      <c r="J46" s="25"/>
      <c r="K46" s="25"/>
      <c r="L46" s="598"/>
      <c r="M46" s="600"/>
      <c r="N46" s="603"/>
      <c r="O46" s="601"/>
      <c r="P46" s="201"/>
      <c r="Q46" s="25"/>
      <c r="R46" s="598"/>
      <c r="S46" s="25"/>
      <c r="T46" s="25"/>
      <c r="U46" s="626"/>
      <c r="V46" s="25"/>
      <c r="W46" s="25"/>
      <c r="X46" s="25"/>
      <c r="Y46" s="25"/>
    </row>
    <row r="47" spans="2:25" ht="15" x14ac:dyDescent="0.25">
      <c r="J47" s="25"/>
      <c r="K47" s="25"/>
      <c r="L47" s="604"/>
      <c r="M47" s="25"/>
      <c r="N47" s="605"/>
      <c r="O47" s="25"/>
      <c r="P47" s="25"/>
      <c r="Q47" s="597"/>
      <c r="R47" s="201"/>
      <c r="S47" s="25"/>
      <c r="T47" s="25"/>
      <c r="U47" s="606" t="s">
        <v>3386</v>
      </c>
      <c r="V47" s="25"/>
      <c r="W47" s="25"/>
      <c r="X47" s="25"/>
      <c r="Y47" s="25"/>
    </row>
    <row r="48" spans="2:25" ht="15" x14ac:dyDescent="0.25">
      <c r="H48" s="606" t="s">
        <v>3387</v>
      </c>
      <c r="Q48" s="197"/>
      <c r="R48" s="198"/>
    </row>
    <row r="49" spans="6:21" x14ac:dyDescent="0.2">
      <c r="H49" s="666">
        <f>HLOOKUP(F24,'C.1 Facteurs éco - coûts'!C21:G26,6,0)</f>
        <v>90000</v>
      </c>
      <c r="Q49" s="198"/>
    </row>
    <row r="50" spans="6:21" x14ac:dyDescent="0.2">
      <c r="G50" s="81" t="s">
        <v>257</v>
      </c>
      <c r="H50" s="662"/>
      <c r="Q50" s="198"/>
    </row>
    <row r="51" spans="6:21" x14ac:dyDescent="0.2">
      <c r="H51" s="663"/>
      <c r="Q51" s="198"/>
    </row>
    <row r="52" spans="6:21" ht="15" x14ac:dyDescent="0.25">
      <c r="H52" s="606" t="s">
        <v>3388</v>
      </c>
      <c r="Q52" s="198"/>
    </row>
    <row r="53" spans="6:21" x14ac:dyDescent="0.2">
      <c r="H53" s="667"/>
      <c r="Q53" s="198"/>
    </row>
    <row r="54" spans="6:21" x14ac:dyDescent="0.2">
      <c r="G54" s="81" t="s">
        <v>257</v>
      </c>
      <c r="H54" s="662"/>
      <c r="Q54" s="198"/>
    </row>
    <row r="55" spans="6:21" x14ac:dyDescent="0.2">
      <c r="H55" s="663"/>
      <c r="Q55" s="198"/>
    </row>
    <row r="56" spans="6:21" ht="15" x14ac:dyDescent="0.25">
      <c r="H56" s="606" t="s">
        <v>3389</v>
      </c>
      <c r="Q56" s="198"/>
    </row>
    <row r="57" spans="6:21" x14ac:dyDescent="0.2">
      <c r="H57" s="667"/>
      <c r="Q57" s="198"/>
    </row>
    <row r="58" spans="6:21" x14ac:dyDescent="0.2">
      <c r="G58" s="81" t="s">
        <v>257</v>
      </c>
      <c r="H58" s="662"/>
      <c r="Q58" s="198"/>
    </row>
    <row r="60" spans="6:21" s="207" customFormat="1" hidden="1" outlineLevel="1" x14ac:dyDescent="0.2">
      <c r="F60" s="540" t="s">
        <v>260</v>
      </c>
      <c r="G60" s="540"/>
      <c r="H60" s="540"/>
      <c r="I60" s="540"/>
      <c r="J60" s="540" t="e">
        <f>MATCH(F41,'A.2. Performances_Bâtiment H2'!D83:D92,0)</f>
        <v>#N/A</v>
      </c>
      <c r="K60" s="540"/>
      <c r="L60" s="540"/>
      <c r="M60" s="540"/>
      <c r="N60" s="540"/>
      <c r="O60" s="540"/>
      <c r="P60" s="540"/>
      <c r="Q60" s="540" t="e">
        <f>MATCH(F41,'A.2. Performances_Bâtiment H2'!S83:S92,0)</f>
        <v>#N/A</v>
      </c>
    </row>
    <row r="61" spans="6:21" s="207" customFormat="1" hidden="1" outlineLevel="1" x14ac:dyDescent="0.2">
      <c r="F61" s="540"/>
      <c r="G61" s="540"/>
      <c r="H61" s="540"/>
      <c r="I61" s="540"/>
      <c r="J61" s="540" t="e">
        <f>MATCH(H41,'A.2. Performances_Bâtiment H2'!D83:M83,0)</f>
        <v>#N/A</v>
      </c>
      <c r="K61" s="540"/>
      <c r="L61" s="540"/>
      <c r="M61" s="540"/>
      <c r="N61" s="540"/>
      <c r="O61" s="540"/>
      <c r="P61" s="540"/>
      <c r="Q61" s="540" t="e">
        <f>MATCH(H41,'A.2. Performances_Bâtiment H2'!S83:AB83,0)</f>
        <v>#N/A</v>
      </c>
    </row>
    <row r="62" spans="6:21" collapsed="1" x14ac:dyDescent="0.2"/>
    <row r="63" spans="6:21" ht="18" x14ac:dyDescent="0.25">
      <c r="F63" s="43"/>
      <c r="J63" s="571"/>
      <c r="K63" s="571"/>
      <c r="T63" s="704"/>
      <c r="U63" s="705"/>
    </row>
    <row r="64" spans="6:21" x14ac:dyDescent="0.2">
      <c r="H64" s="575"/>
    </row>
    <row r="65" spans="2:21" ht="18" x14ac:dyDescent="0.25">
      <c r="F65" s="43" t="s">
        <v>162</v>
      </c>
    </row>
    <row r="66" spans="2:21" ht="15" x14ac:dyDescent="0.2">
      <c r="F66" s="742" t="s">
        <v>3390</v>
      </c>
      <c r="H66" s="1149"/>
      <c r="K66" s="753" t="s">
        <v>3391</v>
      </c>
    </row>
    <row r="67" spans="2:21" ht="15" thickBot="1" x14ac:dyDescent="0.25">
      <c r="H67" s="1149"/>
    </row>
    <row r="68" spans="2:21" ht="31.5" x14ac:dyDescent="0.55000000000000004">
      <c r="F68" s="1267" t="s">
        <v>3392</v>
      </c>
      <c r="G68" s="1267"/>
      <c r="H68" s="1267"/>
      <c r="I68" s="1267"/>
      <c r="J68" s="761" t="s">
        <v>3393</v>
      </c>
      <c r="K68" s="1264" t="s">
        <v>3394</v>
      </c>
      <c r="L68" s="1265"/>
      <c r="M68" s="1265"/>
      <c r="N68" s="1265"/>
      <c r="O68" s="1266"/>
    </row>
    <row r="69" spans="2:21" x14ac:dyDescent="0.2">
      <c r="K69" s="359"/>
      <c r="M69" s="707"/>
      <c r="O69" s="360"/>
      <c r="P69" s="707"/>
    </row>
    <row r="70" spans="2:21" ht="16.5" thickBot="1" x14ac:dyDescent="0.3">
      <c r="F70" s="18" t="s">
        <v>3395</v>
      </c>
      <c r="I70" s="18" t="s">
        <v>3396</v>
      </c>
      <c r="K70" s="359"/>
      <c r="M70" s="1"/>
      <c r="N70" s="434"/>
      <c r="O70" s="727"/>
      <c r="P70" s="1"/>
      <c r="Q70" s="434"/>
      <c r="R70" s="434"/>
      <c r="S70" s="1"/>
      <c r="T70" s="312"/>
    </row>
    <row r="71" spans="2:21" ht="18.75" thickBot="1" x14ac:dyDescent="0.3">
      <c r="B71" s="583" t="s">
        <v>261</v>
      </c>
      <c r="F71" s="708" t="s">
        <v>3397</v>
      </c>
      <c r="I71" s="708" t="s">
        <v>240</v>
      </c>
      <c r="K71" s="359"/>
      <c r="L71" s="43" t="s">
        <v>3398</v>
      </c>
      <c r="M71" s="710"/>
      <c r="N71" s="138"/>
      <c r="O71" s="728"/>
      <c r="P71" s="710"/>
      <c r="Q71" s="138"/>
      <c r="R71" s="138"/>
      <c r="S71" s="711"/>
    </row>
    <row r="72" spans="2:21" ht="15" x14ac:dyDescent="0.2">
      <c r="B72" s="33" t="s">
        <v>237</v>
      </c>
      <c r="K72" s="359"/>
      <c r="L72" s="747" t="e">
        <f>F78*-L73</f>
        <v>#N/A</v>
      </c>
      <c r="M72" s="713" t="e">
        <f>IF(I74=0,"kWh PCI","kWh d'énergie primaire")</f>
        <v>#N/A</v>
      </c>
      <c r="N72" s="513"/>
      <c r="O72" s="360"/>
      <c r="S72" s="712"/>
      <c r="T72" s="513"/>
      <c r="U72" s="48"/>
    </row>
    <row r="73" spans="2:21" ht="15.75" x14ac:dyDescent="0.25">
      <c r="B73" s="33" t="s">
        <v>240</v>
      </c>
      <c r="E73" s="207" t="s">
        <v>3399</v>
      </c>
      <c r="F73" s="715" t="e">
        <f>IF(OR(F71="Chaudière standard fioul de plus de 15 ans",F71="Chaudière à condensation fioul"),VLOOKUP(F71,'A.1. Conso_bâtiment_EF H2'!E102:AC123,8,0)*'A.1. Conso_bâtiment_EF H2'!J12,VLOOKUP(F71,'A.1. Conso_bâtiment_EF H2'!E102:AC123,6,0)*'A.1. Conso_bâtiment_EF H2'!J13)</f>
        <v>#N/A</v>
      </c>
      <c r="G73" t="str">
        <f>IF(OR(F71="Chaudière standard fioul de plus de 15 ans",F71="Chaudière à condensation fioul"),"kWh PCI fioul / an","kWh PCI gaz / an")</f>
        <v>kWh PCI fioul / an</v>
      </c>
      <c r="H73" s="716" t="s">
        <v>3400</v>
      </c>
      <c r="I73" s="717" t="e">
        <f>VLOOKUP(I71,'A.1. Conso_bâtiment_EF H2'!E102:AC123,6,0)*'A.1. Conso_bâtiment_EF H2'!J13</f>
        <v>#N/A</v>
      </c>
      <c r="J73" s="250" t="str">
        <f>IF(OR(I71="Chaudière standard fioul de plus de 15 ans",I71="Chaudière à condensation fioul"),"kWh PCI fioul / an","kWh PCI gaz / an")</f>
        <v>kWh PCI gaz / an</v>
      </c>
      <c r="K73" s="773" t="s">
        <v>3401</v>
      </c>
      <c r="L73" s="748" t="e" cm="1">
        <f t="array" ref="L73">INDEX('A.2. Performances_Bâtiment H2'!D18:M29,J112,J113)</f>
        <v>#N/A</v>
      </c>
      <c r="M73" s="1268" t="s">
        <v>3303</v>
      </c>
      <c r="N73" s="513"/>
      <c r="O73" s="360"/>
      <c r="S73" s="712"/>
      <c r="T73" s="714" t="e" cm="1">
        <f t="array" ref="T73">INDEX('A.2. Performances_Bâtiment H2'!D18:M29,J112,J113)</f>
        <v>#N/A</v>
      </c>
    </row>
    <row r="74" spans="2:21" ht="15" x14ac:dyDescent="0.2">
      <c r="B74" s="33" t="s">
        <v>3397</v>
      </c>
      <c r="H74" s="718" t="s">
        <v>3402</v>
      </c>
      <c r="I74" s="719" t="e">
        <f>VLOOKUP(I71,'A.1. Conso_bâtiment_EF H2'!E102:AC123,7,0)*'A.1. Conso_bâtiment_EF H2'!J13</f>
        <v>#N/A</v>
      </c>
      <c r="J74" s="250" t="s">
        <v>3403</v>
      </c>
      <c r="K74" s="774" t="s">
        <v>3404</v>
      </c>
      <c r="L74" s="775" t="e" cm="1">
        <f t="array" ref="L74">IF(AND(F75="",I80=""),INDEX('A.2. Performances_Bâtiment H2'!D18:M29,J112,J113),-(F78-(I88+I89*'D.1. Facteur d''émissions'!C47))/F78)</f>
        <v>#N/A</v>
      </c>
      <c r="M74" s="1268"/>
      <c r="O74" s="360"/>
      <c r="R74" s="712"/>
      <c r="S74" s="513"/>
      <c r="T74" s="714" t="e">
        <f>-IF(F75="",IF(I80="",(F73-(I73+I74*'D.1. Facteur d''émissions'!C47))/F73,(F73-(I80+I81*'D.1. Facteur d''émissions'!C47))/F73),IF(I80="",(F75-(I73+I74*'D.1. Facteur d''émissions'!C47))/F75,(F75-(I80+I81*'D.1. Facteur d''émissions'!C47))/F75))</f>
        <v>#N/A</v>
      </c>
    </row>
    <row r="75" spans="2:21" ht="23.1" customHeight="1" x14ac:dyDescent="0.25">
      <c r="B75" s="33" t="s">
        <v>3405</v>
      </c>
      <c r="E75" s="207" t="s">
        <v>3406</v>
      </c>
      <c r="F75" s="545"/>
      <c r="H75" s="720"/>
      <c r="I75" s="721"/>
      <c r="J75" s="579"/>
      <c r="K75" s="359"/>
      <c r="L75" s="198"/>
      <c r="M75" s="513"/>
      <c r="O75" s="360"/>
      <c r="R75" s="712"/>
      <c r="S75" s="513"/>
    </row>
    <row r="76" spans="2:21" x14ac:dyDescent="0.2">
      <c r="B76" s="33"/>
      <c r="H76" s="720" t="s">
        <v>3407</v>
      </c>
      <c r="I76" s="33"/>
      <c r="J76" s="579"/>
      <c r="K76" s="729"/>
      <c r="M76" s="513"/>
      <c r="O76" s="360"/>
      <c r="R76" s="712"/>
      <c r="S76" s="513"/>
    </row>
    <row r="77" spans="2:21" ht="18.75" thickBot="1" x14ac:dyDescent="0.3">
      <c r="F77" s="198"/>
      <c r="G77" s="559"/>
      <c r="H77" s="722" t="e">
        <f>IF(I77="","","Part de gaz (EF)*")</f>
        <v>#N/A</v>
      </c>
      <c r="I77" s="723" t="e">
        <f>IF(VLOOKUP(I71,'A.1. Conso_bâtiment_EF H2'!E102:AC123,4,0)="Oui",VLOOKUP(I71,'A.1. Conso_bâtiment_EF H2'!E102:AC123,6,0)/VLOOKUP(I71,'A.1. Conso_bâtiment_EF H2'!E102:AC123,5,0),"")</f>
        <v>#N/A</v>
      </c>
      <c r="J77" s="579"/>
      <c r="K77" s="359"/>
      <c r="L77" s="43" t="s">
        <v>3408</v>
      </c>
      <c r="M77" s="513"/>
      <c r="N77" s="43" t="s">
        <v>3409</v>
      </c>
      <c r="O77" s="360"/>
      <c r="R77" s="712"/>
      <c r="S77" s="513"/>
    </row>
    <row r="78" spans="2:21" ht="16.5" thickBot="1" x14ac:dyDescent="0.3">
      <c r="E78" s="771" t="s">
        <v>3410</v>
      </c>
      <c r="F78" s="772" t="e">
        <f>IF(F75="",F73,F75)</f>
        <v>#N/A</v>
      </c>
      <c r="G78" t="str">
        <f>IF(OR(F71="Chaudière standard fioul de plus de 15 ans",F71="Chaudière à condensation fioul"),"kWh PCI fioul / an","kWh PCI gaz / an")</f>
        <v>kWh PCI fioul / an</v>
      </c>
      <c r="H78" s="724" t="e">
        <f>IF(I78="","","Part d'électricité (EF)*")</f>
        <v>#N/A</v>
      </c>
      <c r="I78" s="725" t="e">
        <f>IF(VLOOKUP(I71,'A.1. Conso_bâtiment_EF H2'!E102:AC123,4,0)="Oui",VLOOKUP(I71,'A.1. Conso_bâtiment_EF H2'!E102:AC123,7,0)/VLOOKUP(I71,'A.1. Conso_bâtiment_EF H2'!E102:AC123,5,0),"")</f>
        <v>#N/A</v>
      </c>
      <c r="K78" s="359" t="s">
        <v>3411</v>
      </c>
      <c r="L78" s="749" t="e">
        <f>IF(OR(F71="Chaudière standard fioul de plus de 15 ans",F71="Chaudière à condensation fioul"),F78*'D.1. Facteur d''émissions'!C7-('OLD Outil - Argumentaire € CO2'!I88*'D.1. Facteur d''émissions'!C8+'OLD Outil - Argumentaire € CO2'!I89*'D.1. Facteur d''émissions'!C15),F78*'D.1. Facteur d''émissions'!C8-('OLD Outil - Argumentaire € CO2'!I88*'D.1. Facteur d''émissions'!C8+'OLD Outil - Argumentaire € CO2'!I89*'D.1. Facteur d''émissions'!C15))/1000</f>
        <v>#N/A</v>
      </c>
      <c r="M78" s="513" t="s">
        <v>3412</v>
      </c>
      <c r="N78" s="734" t="e">
        <f>IF(OR(F71="Chaudière standard fioul de plus de 15 ans",F71="Chaudière à condensation fioul"),F78*'D.1. Facteur d''émissions'!C7-('OLD Outil - Argumentaire € CO2'!I88*'D.1. Facteur d''émissions'!C37*'D.1. Facteur d''émissions'!C12+'OLD Outil - Argumentaire € CO2'!I89*'D.1. Facteur d''émissions'!C15),F78*'D.1. Facteur d''émissions'!C8-('OLD Outil - Argumentaire € CO2'!I88*'D.1. Facteur d''émissions'!C37*'D.1. Facteur d''émissions'!C12+'OLD Outil - Argumentaire € CO2'!I89*'D.1. Facteur d''émissions'!C15))/1000</f>
        <v>#N/A</v>
      </c>
      <c r="O78" s="731" t="s">
        <v>3412</v>
      </c>
      <c r="Q78" t="e">
        <f>IF(F75="",IF(OR(F71="Chaudière standard fioul de plus de 15 ans",F71="Chaudière à condensation fioul"),F73*'D.1. Facteur d''émissions'!C7-('OLD Outil - Argumentaire € CO2'!I73*'D.1. Facteur d''émissions'!C8+'OLD Outil - Argumentaire € CO2'!I74*'D.1. Facteur d''émissions'!C15),F73*'D.1. Facteur d''émissions'!C8-('OLD Outil - Argumentaire € CO2'!I73*'D.1. Facteur d''émissions'!C8+'OLD Outil - Argumentaire € CO2'!I74*'D.1. Facteur d''émissions'!C15)),IF(OR(F71="Chaudière standard fioul de plus de 15 ans",F71="Chaudière à condensation fioul"),F75*'D.1. Facteur d''émissions'!C7-('OLD Outil - Argumentaire € CO2'!I73*'D.1. Facteur d''émissions'!C8+'OLD Outil - Argumentaire € CO2'!I74*'D.1. Facteur d''émissions'!C15),F75*'D.1. Facteur d''émissions'!C8-('OLD Outil - Argumentaire € CO2'!I73*'D.1. Facteur d''émissions'!C8+'OLD Outil - Argumentaire € CO2'!I74*'D.1. Facteur d''émissions'!C15)))/1000</f>
        <v>#N/A</v>
      </c>
      <c r="R78" s="712"/>
      <c r="S78" s="513"/>
    </row>
    <row r="79" spans="2:21" ht="15" x14ac:dyDescent="0.2">
      <c r="B79" s="583" t="s">
        <v>264</v>
      </c>
      <c r="F79" s="558"/>
      <c r="K79" s="359"/>
      <c r="L79" s="755" t="e" cm="1">
        <f t="array" ref="L79">INDEX('A.2. Performances_Bâtiment H2'!S18:AB29,Q112,Q113)</f>
        <v>#N/A</v>
      </c>
      <c r="M79" s="754" t="s">
        <v>3413</v>
      </c>
      <c r="N79" s="732" t="e">
        <f>N78-L78</f>
        <v>#N/A</v>
      </c>
      <c r="O79" s="360"/>
      <c r="Q79" s="138"/>
    </row>
    <row r="80" spans="2:21" ht="15" x14ac:dyDescent="0.2">
      <c r="B80" s="33" t="s">
        <v>191</v>
      </c>
      <c r="H80" s="716" t="s">
        <v>3414</v>
      </c>
      <c r="I80" s="545"/>
      <c r="K80" s="359"/>
      <c r="L80" s="714"/>
      <c r="M80" s="754"/>
      <c r="N80" s="455" t="s">
        <v>3415</v>
      </c>
      <c r="O80" s="360"/>
      <c r="Q80" s="138"/>
      <c r="R80" s="703"/>
    </row>
    <row r="81" spans="2:15" ht="15" x14ac:dyDescent="0.25">
      <c r="B81" s="33" t="s">
        <v>187</v>
      </c>
      <c r="G81" s="198"/>
      <c r="H81" s="718" t="s">
        <v>3416</v>
      </c>
      <c r="I81" s="545"/>
      <c r="J81" s="198"/>
      <c r="K81" s="359"/>
      <c r="L81" s="750"/>
      <c r="M81" s="733"/>
      <c r="O81" s="730"/>
    </row>
    <row r="82" spans="2:15" ht="15.75" x14ac:dyDescent="0.25">
      <c r="B82" s="33" t="s">
        <v>240</v>
      </c>
      <c r="G82" s="572"/>
      <c r="H82" s="720"/>
      <c r="I82" s="721"/>
      <c r="J82" s="663"/>
      <c r="K82" s="359"/>
      <c r="L82" s="760" t="s">
        <v>3417</v>
      </c>
      <c r="M82" s="665"/>
      <c r="N82" s="49"/>
      <c r="O82" s="730"/>
    </row>
    <row r="83" spans="2:15" ht="15" x14ac:dyDescent="0.25">
      <c r="G83" s="572"/>
      <c r="H83" s="720"/>
      <c r="I83" s="33"/>
      <c r="J83" s="663"/>
      <c r="K83" s="359"/>
      <c r="L83" s="32"/>
      <c r="M83" s="665"/>
      <c r="O83" s="730"/>
    </row>
    <row r="84" spans="2:15" ht="15.75" x14ac:dyDescent="0.25">
      <c r="G84" s="572"/>
      <c r="H84" s="720" t="s">
        <v>3407</v>
      </c>
      <c r="I84" s="33"/>
      <c r="J84" s="663"/>
      <c r="K84" s="359"/>
      <c r="L84" s="752" t="s">
        <v>3418</v>
      </c>
      <c r="M84" s="665"/>
      <c r="O84" s="730"/>
    </row>
    <row r="85" spans="2:15" ht="15" x14ac:dyDescent="0.2">
      <c r="G85" s="572"/>
      <c r="H85" s="722" t="s">
        <v>3314</v>
      </c>
      <c r="I85" s="723" t="str">
        <f>IF(I80="","",I80/(I80+I81))</f>
        <v/>
      </c>
      <c r="J85" s="663"/>
      <c r="K85" s="359"/>
      <c r="L85" s="745" t="e">
        <f>(L78*1000)/'D.2. Equivalents ADEME'!D5</f>
        <v>#N/A</v>
      </c>
      <c r="N85" s="745" t="e">
        <f>(N78*1000)/'D.2. Equivalents ADEME'!D5</f>
        <v>#N/A</v>
      </c>
      <c r="O85" s="730"/>
    </row>
    <row r="86" spans="2:15" ht="15" x14ac:dyDescent="0.25">
      <c r="G86" s="572"/>
      <c r="H86" s="724" t="s">
        <v>3317</v>
      </c>
      <c r="I86" s="725" t="str">
        <f>IF(I80="","",I81/(I80+I81))</f>
        <v/>
      </c>
      <c r="J86" s="663"/>
      <c r="K86" s="359"/>
      <c r="L86" s="751" t="s">
        <v>3383</v>
      </c>
      <c r="M86" s="665"/>
      <c r="N86" s="735" t="s">
        <v>3419</v>
      </c>
      <c r="O86" s="730"/>
    </row>
    <row r="87" spans="2:15" ht="15" thickBot="1" x14ac:dyDescent="0.25">
      <c r="J87" s="663"/>
      <c r="K87" s="359"/>
      <c r="O87" s="730"/>
    </row>
    <row r="88" spans="2:15" ht="15.75" x14ac:dyDescent="0.25">
      <c r="B88" t="s">
        <v>183</v>
      </c>
      <c r="F88" s="709" t="s">
        <v>3420</v>
      </c>
      <c r="G88" s="726"/>
      <c r="H88" s="768" t="s">
        <v>3421</v>
      </c>
      <c r="I88" s="769" t="e">
        <f>IF(I80="",I73,I80)</f>
        <v>#N/A</v>
      </c>
      <c r="J88" t="str">
        <f>IF(OR(I86="Chaudière standard fioul de plus de 15 ans",I86="Chaudière à condensation fioul"),"kWh PCI fioul / an","kWh PCI gaz / an")</f>
        <v>kWh PCI gaz / an</v>
      </c>
      <c r="K88" s="359"/>
      <c r="O88" s="730"/>
    </row>
    <row r="89" spans="2:15" ht="18.75" thickBot="1" x14ac:dyDescent="0.3">
      <c r="B89" t="s">
        <v>3422</v>
      </c>
      <c r="H89" s="361" t="s">
        <v>3421</v>
      </c>
      <c r="I89" s="770" t="e">
        <f>IF(I81="",I74,I81)</f>
        <v>#N/A</v>
      </c>
      <c r="J89" s="250" t="s">
        <v>3403</v>
      </c>
      <c r="K89" s="359"/>
      <c r="L89" s="43" t="s">
        <v>3423</v>
      </c>
      <c r="O89" s="730"/>
    </row>
    <row r="90" spans="2:15" ht="15" x14ac:dyDescent="0.2">
      <c r="K90" s="359"/>
      <c r="L90" s="758" t="e">
        <f>F92/L78</f>
        <v>#N/A</v>
      </c>
      <c r="M90" s="374" t="s">
        <v>3382</v>
      </c>
      <c r="N90" t="s">
        <v>3424</v>
      </c>
      <c r="O90" s="730"/>
    </row>
    <row r="91" spans="2:15" ht="15" x14ac:dyDescent="0.25">
      <c r="F91" s="606" t="s">
        <v>3385</v>
      </c>
      <c r="J91" s="663"/>
      <c r="K91" s="359"/>
      <c r="N91" t="s">
        <v>3425</v>
      </c>
      <c r="O91" s="730"/>
    </row>
    <row r="92" spans="2:15" ht="15" x14ac:dyDescent="0.2">
      <c r="F92" s="666" t="e">
        <f>IF(F93="",VLOOKUP(I71,'C.1 Facteurs éco - coûts'!$C$21:$G$26,2,0),F93)</f>
        <v>#N/A</v>
      </c>
      <c r="J92" s="663"/>
      <c r="K92" s="359"/>
      <c r="L92" s="758" t="e">
        <f>IF(F75="",IF(OR(F71="Chaudière standard fioul de plus de 15 ans",F71="Chaudière à condensation fioul"),F73*F100-('OLD Outil - Argumentaire € CO2'!I73*F104+'OLD Outil - Argumentaire € CO2'!I74*F108),F73*F104-('OLD Outil - Argumentaire € CO2'!I73*F104+'OLD Outil - Argumentaire € CO2'!I74*F108)),IF(OR(F71="Chaudière standard fioul de plus de 15 ans",F71="Chaudière à condensation fioul"),F75*F100-('OLD Outil - Argumentaire € CO2'!I73*F104+'OLD Outil - Argumentaire € CO2'!I74*F108),F75*F104-('OLD Outil - Argumentaire € CO2'!I73*F104+'OLD Outil - Argumentaire € CO2'!I74*F108)))</f>
        <v>#N/A</v>
      </c>
      <c r="M92" t="s">
        <v>3426</v>
      </c>
      <c r="N92" t="s">
        <v>3427</v>
      </c>
      <c r="O92" s="730"/>
    </row>
    <row r="93" spans="2:15" x14ac:dyDescent="0.2">
      <c r="E93" s="81" t="s">
        <v>257</v>
      </c>
      <c r="F93" s="662"/>
      <c r="J93" s="663"/>
      <c r="K93" s="359"/>
      <c r="O93" s="730"/>
    </row>
    <row r="94" spans="2:15" ht="15.75" x14ac:dyDescent="0.2">
      <c r="H94" s="1263" t="s">
        <v>3428</v>
      </c>
      <c r="I94" s="1263"/>
      <c r="J94" s="663"/>
      <c r="K94" s="359"/>
      <c r="O94" s="730"/>
    </row>
    <row r="95" spans="2:15" ht="15" x14ac:dyDescent="0.25">
      <c r="F95" s="606" t="s">
        <v>3387</v>
      </c>
      <c r="J95" s="663"/>
      <c r="K95" s="359"/>
      <c r="L95" t="e">
        <f>IF(OR(F71="Chaudière standard fioul de plus de 15 ans",F71="Chaudière à condensation fioul"),F78*'D.1. Facteur d''émissions'!C7-('OLD Outil - Argumentaire € CO2'!I88*'D.1. Facteur d''émissions'!C8+'OLD Outil - Argumentaire € CO2'!I89*'D.1. Facteur d''émissions'!C15),F78*'D.1. Facteur d''émissions'!C8-('OLD Outil - Argumentaire € CO2'!I88*'D.1. Facteur d''émissions'!C8+'OLD Outil - Argumentaire € CO2'!I89*'D.1. Facteur d''émissions'!C15))/1000</f>
        <v>#N/A</v>
      </c>
      <c r="O95" s="730"/>
    </row>
    <row r="96" spans="2:15" x14ac:dyDescent="0.2">
      <c r="F96" s="666">
        <f>HLOOKUP(F65,'C.1 Facteurs éco - coûts'!C21:G26,6,0)</f>
        <v>14500</v>
      </c>
      <c r="J96" s="663"/>
      <c r="K96" s="359"/>
      <c r="O96" s="730"/>
    </row>
    <row r="97" spans="5:17" ht="15" x14ac:dyDescent="0.25">
      <c r="E97" s="81" t="s">
        <v>257</v>
      </c>
      <c r="F97" s="662"/>
      <c r="H97" s="32" t="s">
        <v>3429</v>
      </c>
      <c r="I97" s="81" t="s">
        <v>3422</v>
      </c>
      <c r="K97" s="359"/>
      <c r="O97" s="360"/>
      <c r="Q97" t="s">
        <v>266</v>
      </c>
    </row>
    <row r="98" spans="5:17" x14ac:dyDescent="0.2">
      <c r="E98" s="81"/>
      <c r="F98" s="663"/>
      <c r="H98" s="81"/>
      <c r="I98" s="81"/>
      <c r="K98" s="359"/>
      <c r="O98" s="360"/>
    </row>
    <row r="99" spans="5:17" ht="15" x14ac:dyDescent="0.25">
      <c r="F99" s="759" t="s">
        <v>3430</v>
      </c>
      <c r="H99" s="32" t="s">
        <v>3431</v>
      </c>
      <c r="I99" s="756">
        <v>1</v>
      </c>
      <c r="K99" s="359"/>
      <c r="O99" s="360"/>
    </row>
    <row r="100" spans="5:17" x14ac:dyDescent="0.2">
      <c r="F100" s="767">
        <f>IF(F101="",'C.1 Facteurs éco - coûts'!E104,F101)</f>
        <v>0.11559999999999999</v>
      </c>
      <c r="K100" s="359"/>
      <c r="O100" s="360"/>
    </row>
    <row r="101" spans="5:17" x14ac:dyDescent="0.2">
      <c r="E101" s="81" t="s">
        <v>257</v>
      </c>
      <c r="F101" s="662"/>
      <c r="K101" s="359"/>
      <c r="O101" s="360"/>
    </row>
    <row r="102" spans="5:17" x14ac:dyDescent="0.2">
      <c r="E102" s="81"/>
      <c r="F102" s="663"/>
      <c r="K102" s="359"/>
      <c r="O102" s="360"/>
    </row>
    <row r="103" spans="5:17" ht="15" x14ac:dyDescent="0.25">
      <c r="F103" s="759" t="s">
        <v>3432</v>
      </c>
      <c r="K103" s="359"/>
      <c r="O103" s="360"/>
    </row>
    <row r="104" spans="5:17" x14ac:dyDescent="0.2">
      <c r="F104" s="767">
        <f>IF(F105="",'C.1 Facteurs éco - coûts'!E98,F105)</f>
        <v>0.1162</v>
      </c>
      <c r="K104" s="359"/>
      <c r="O104" s="360"/>
    </row>
    <row r="105" spans="5:17" x14ac:dyDescent="0.2">
      <c r="E105" s="81" t="s">
        <v>257</v>
      </c>
      <c r="F105" s="662"/>
      <c r="K105" s="359"/>
      <c r="O105" s="360"/>
    </row>
    <row r="106" spans="5:17" ht="15" thickBot="1" x14ac:dyDescent="0.25">
      <c r="E106" s="81"/>
      <c r="F106" s="663"/>
      <c r="K106" s="361"/>
      <c r="L106" s="363"/>
      <c r="M106" s="363"/>
      <c r="N106" s="363"/>
      <c r="O106" s="364"/>
    </row>
    <row r="107" spans="5:17" ht="15" x14ac:dyDescent="0.25">
      <c r="F107" s="759" t="s">
        <v>3433</v>
      </c>
    </row>
    <row r="108" spans="5:17" x14ac:dyDescent="0.2">
      <c r="F108" s="767">
        <f>IF(F109="",'C.1 Facteurs éco - coûts'!E101,F109)</f>
        <v>0.19209999999999999</v>
      </c>
    </row>
    <row r="109" spans="5:17" x14ac:dyDescent="0.2">
      <c r="E109" s="81" t="s">
        <v>257</v>
      </c>
      <c r="F109" s="662"/>
    </row>
    <row r="110" spans="5:17" x14ac:dyDescent="0.2">
      <c r="E110" s="81"/>
      <c r="F110" s="663"/>
    </row>
    <row r="111" spans="5:17" x14ac:dyDescent="0.2">
      <c r="E111" s="81"/>
      <c r="F111" s="736" t="s">
        <v>3434</v>
      </c>
      <c r="J111" t="s">
        <v>3435</v>
      </c>
      <c r="Q111" t="s">
        <v>3436</v>
      </c>
    </row>
    <row r="112" spans="5:17" hidden="1" outlineLevel="1" x14ac:dyDescent="0.2">
      <c r="F112" s="540" t="s">
        <v>260</v>
      </c>
      <c r="G112" s="540"/>
      <c r="H112" s="540"/>
      <c r="I112" s="540"/>
      <c r="J112" s="540" t="e">
        <f>MATCH(F71,'A.2. Performances_Bâtiment H2'!D18:D29,0)</f>
        <v>#N/A</v>
      </c>
      <c r="K112" s="540"/>
      <c r="L112" s="540"/>
      <c r="M112" s="540"/>
      <c r="N112" s="540"/>
      <c r="O112" s="540"/>
      <c r="P112" s="540"/>
      <c r="Q112" s="540" t="e">
        <f>MATCH(F71,'A.2. Performances_Bâtiment H2'!S18:S29,0)</f>
        <v>#N/A</v>
      </c>
    </row>
    <row r="113" spans="2:18" hidden="1" outlineLevel="1" x14ac:dyDescent="0.2">
      <c r="F113" s="540"/>
      <c r="G113" s="540"/>
      <c r="H113" s="540"/>
      <c r="I113" s="540"/>
      <c r="J113" s="540" t="e">
        <f>MATCH(I71,'A.2. Performances_Bâtiment H2'!D18:M18,0)</f>
        <v>#N/A</v>
      </c>
      <c r="K113" s="540"/>
      <c r="L113" s="540"/>
      <c r="M113" s="540"/>
      <c r="N113" s="540"/>
      <c r="O113" s="540"/>
      <c r="P113" s="540"/>
      <c r="Q113" s="540" t="e">
        <f>MATCH(I71,'A.2. Performances_Bâtiment H2'!S18:AB18,0)</f>
        <v>#N/A</v>
      </c>
    </row>
    <row r="114" spans="2:18" collapsed="1" x14ac:dyDescent="0.2"/>
    <row r="115" spans="2:18" ht="15" x14ac:dyDescent="0.25">
      <c r="F115" s="49"/>
    </row>
    <row r="116" spans="2:18" ht="18" x14ac:dyDescent="0.25">
      <c r="B116" s="370" t="s">
        <v>267</v>
      </c>
      <c r="C116" s="31"/>
      <c r="F116" s="43" t="s">
        <v>3437</v>
      </c>
    </row>
    <row r="117" spans="2:18" ht="18" x14ac:dyDescent="0.25">
      <c r="B117" t="s">
        <v>237</v>
      </c>
      <c r="C117" s="31"/>
      <c r="F117" s="43"/>
    </row>
    <row r="118" spans="2:18" ht="13.5" customHeight="1" x14ac:dyDescent="0.2">
      <c r="B118" t="s">
        <v>240</v>
      </c>
      <c r="C118" s="31"/>
      <c r="F118" t="s">
        <v>3438</v>
      </c>
      <c r="G118" s="545"/>
      <c r="H118" s="575" t="s">
        <v>3329</v>
      </c>
    </row>
    <row r="119" spans="2:18" x14ac:dyDescent="0.2">
      <c r="C119" s="31"/>
    </row>
    <row r="120" spans="2:18" x14ac:dyDescent="0.2">
      <c r="C120" s="31"/>
      <c r="F120" t="s">
        <v>238</v>
      </c>
      <c r="G120" s="528" t="e">
        <f>VLOOKUP(F126,'A.1. Conso_bâtiment_EF H2'!E102:AC123,10,0)*'A.1. Conso_bâtiment_EF H2'!K13</f>
        <v>#N/A</v>
      </c>
      <c r="H120" s="538" t="s">
        <v>263</v>
      </c>
    </row>
    <row r="121" spans="2:18" x14ac:dyDescent="0.2">
      <c r="B121" s="370" t="s">
        <v>269</v>
      </c>
      <c r="C121" s="31"/>
    </row>
    <row r="122" spans="2:18" x14ac:dyDescent="0.2">
      <c r="B122" t="s">
        <v>237</v>
      </c>
      <c r="C122" s="31"/>
    </row>
    <row r="123" spans="2:18" x14ac:dyDescent="0.2">
      <c r="B123" t="s">
        <v>240</v>
      </c>
      <c r="C123" s="31"/>
    </row>
    <row r="124" spans="2:18" ht="18.75" x14ac:dyDescent="0.2">
      <c r="B124" s="512"/>
      <c r="C124" s="31"/>
    </row>
    <row r="125" spans="2:18" ht="19.5" thickBot="1" x14ac:dyDescent="0.3">
      <c r="B125" s="512"/>
      <c r="C125" s="31"/>
      <c r="F125" s="1" t="s">
        <v>270</v>
      </c>
      <c r="H125" s="1" t="s">
        <v>271</v>
      </c>
      <c r="J125" s="1" t="s">
        <v>3299</v>
      </c>
      <c r="K125" s="1"/>
      <c r="L125" s="434" t="s">
        <v>142</v>
      </c>
      <c r="M125" s="434" t="s">
        <v>3363</v>
      </c>
      <c r="N125" s="1" t="s">
        <v>3308</v>
      </c>
      <c r="O125" s="434" t="s">
        <v>3363</v>
      </c>
      <c r="P125" s="434"/>
      <c r="Q125" s="1" t="s">
        <v>3379</v>
      </c>
      <c r="R125" s="312"/>
    </row>
    <row r="126" spans="2:18" ht="19.5" thickBot="1" x14ac:dyDescent="0.25">
      <c r="B126" s="512"/>
      <c r="C126" s="31"/>
      <c r="F126" s="581" t="s">
        <v>237</v>
      </c>
      <c r="H126" s="581" t="s">
        <v>240</v>
      </c>
      <c r="J126" s="515" t="e">
        <f>IF(G118=0,IF(J129="",G120*'D.1. Facteur d''émissions'!C37*-J127,G120*'D.1. Facteur d''émissions'!C37*-J129),IF(J129="",G118*'D.1. Facteur d''émissions'!C37*-J127,G118*'D.1. Facteur d''émissions'!C37*-J129))</f>
        <v>#N/A</v>
      </c>
      <c r="K126" s="515"/>
      <c r="L126" s="516" t="s">
        <v>252</v>
      </c>
      <c r="M126" s="138"/>
      <c r="N126" s="515" t="e">
        <f>IF(G118=0,(G120*'D.1. Facteur d''émissions'!C37)-J126,(G118*'D.1. Facteur d''émissions'!C37)-J126)</f>
        <v>#N/A</v>
      </c>
      <c r="O126" s="516" t="str">
        <f>IF(N127="","kWh PCS/an","kWh EP/an")</f>
        <v>kWh PCS/an</v>
      </c>
      <c r="P126" s="138"/>
      <c r="Q126" s="570" t="e">
        <f>IF(G118=0,G120*0.239-(N126/1.11)*0.239,G118*0.239-(N126/1.11)*0.239)/1000</f>
        <v>#N/A</v>
      </c>
      <c r="R126" s="517" t="s">
        <v>254</v>
      </c>
    </row>
    <row r="127" spans="2:18" ht="18.75" x14ac:dyDescent="0.2">
      <c r="B127" s="512"/>
      <c r="I127" s="455" t="str">
        <f>IF(J129="","soit (cas moyen)","")</f>
        <v>soit (cas moyen)</v>
      </c>
      <c r="J127" s="577" t="e" cm="1">
        <f t="array" ref="J127">IF(J129="",INDEX('A.2. Performances_Bâtiment H2'!D46:M55,'OLD Outil - Argumentaire € CO2'!J131,'OLD Outil - Argumentaire € CO2'!J132),"")</f>
        <v>#N/A</v>
      </c>
      <c r="K127" s="577"/>
      <c r="L127" s="513" t="str">
        <f>IF(J129="","d'économies d'énergie","")</f>
        <v>d'économies d'énergie</v>
      </c>
      <c r="M127" s="48"/>
      <c r="N127" s="578"/>
      <c r="Q127" s="557" t="e" cm="1">
        <f t="array" ref="Q127">IF(J129="",INDEX('A.2. Performances_Bâtiment H2'!S46:AB55,'OLD Outil - Argumentaire € CO2'!Q131,'OLD Outil - Argumentaire € CO2'!Q132),IF(G118=0,(G120*'D.1. Facteur d''émissions'!$C$8/1000-Q126)/(G120*'D.1. Facteur d''émissions'!$C$8/1000)-1,(G118*'D.1. Facteur d''émissions'!$C$8/1000-Q126)/(G120*'D.1. Facteur d''émissions'!$C$8/1000)-1))</f>
        <v>#N/A</v>
      </c>
      <c r="R127" s="513" t="s">
        <v>256</v>
      </c>
    </row>
    <row r="128" spans="2:18" ht="18.75" x14ac:dyDescent="0.25">
      <c r="B128" s="512"/>
      <c r="H128" s="606" t="s">
        <v>3385</v>
      </c>
      <c r="L128" s="541"/>
      <c r="M128" s="48"/>
      <c r="N128" s="578"/>
    </row>
    <row r="129" spans="2:21" ht="18.75" x14ac:dyDescent="0.25">
      <c r="B129" s="512"/>
      <c r="H129" s="664" t="e">
        <f>VLOOKUP(H126,'C.1 Facteurs éco - coûts'!$C$21:$G$26,3,0)</f>
        <v>#N/A</v>
      </c>
      <c r="I129" s="32" t="s">
        <v>257</v>
      </c>
      <c r="J129" s="556"/>
      <c r="K129" s="746"/>
    </row>
    <row r="130" spans="2:21" ht="18.75" x14ac:dyDescent="0.2">
      <c r="B130" s="512"/>
      <c r="J130" s="537" t="s">
        <v>258</v>
      </c>
      <c r="K130" s="665"/>
      <c r="Q130" t="s">
        <v>266</v>
      </c>
    </row>
    <row r="131" spans="2:21" ht="18.75" hidden="1" outlineLevel="1" x14ac:dyDescent="0.2">
      <c r="B131" s="512"/>
      <c r="F131" s="540" t="s">
        <v>260</v>
      </c>
      <c r="G131" s="540"/>
      <c r="H131" s="540"/>
      <c r="I131" s="540"/>
      <c r="J131" s="540" t="e">
        <f>MATCH(F126,'A.2. Performances_Bâtiment H2'!D46:D55,0)</f>
        <v>#N/A</v>
      </c>
      <c r="K131" s="540"/>
      <c r="L131" s="540"/>
      <c r="M131" s="540"/>
      <c r="N131" s="540"/>
      <c r="O131" s="540"/>
      <c r="P131" s="540"/>
      <c r="Q131" s="540" t="e">
        <f>MATCH(F126,'A.2. Performances_Bâtiment H2'!S46:S55,0)</f>
        <v>#N/A</v>
      </c>
    </row>
    <row r="132" spans="2:21" ht="18.75" hidden="1" outlineLevel="1" x14ac:dyDescent="0.2">
      <c r="B132" s="512"/>
      <c r="F132" s="540"/>
      <c r="G132" s="540"/>
      <c r="H132" s="540"/>
      <c r="I132" s="540"/>
      <c r="J132" s="540" t="e">
        <f>MATCH(H126,'A.2. Performances_Bâtiment H2'!D46:M46,0)</f>
        <v>#N/A</v>
      </c>
      <c r="K132" s="540"/>
      <c r="L132" s="540"/>
      <c r="M132" s="540"/>
      <c r="N132" s="540"/>
      <c r="O132" s="540"/>
      <c r="P132" s="540"/>
      <c r="Q132" s="540" t="e">
        <f>MATCH(H126,'A.2. Performances_Bâtiment H2'!S46:AB46,0)</f>
        <v>#N/A</v>
      </c>
    </row>
    <row r="133" spans="2:21" ht="18.75" collapsed="1" x14ac:dyDescent="0.25">
      <c r="B133" s="512"/>
      <c r="F133" s="49"/>
    </row>
    <row r="134" spans="2:21" ht="18" x14ac:dyDescent="0.25">
      <c r="B134" s="370" t="s">
        <v>272</v>
      </c>
      <c r="C134" s="31"/>
      <c r="F134" s="43" t="s">
        <v>3439</v>
      </c>
    </row>
    <row r="135" spans="2:21" x14ac:dyDescent="0.2">
      <c r="B135" t="s">
        <v>237</v>
      </c>
      <c r="C135" s="31"/>
    </row>
    <row r="136" spans="2:21" x14ac:dyDescent="0.2">
      <c r="B136" t="s">
        <v>240</v>
      </c>
      <c r="C136" s="31"/>
      <c r="F136" t="s">
        <v>3438</v>
      </c>
      <c r="G136" s="545"/>
      <c r="H136" s="575" t="s">
        <v>3329</v>
      </c>
    </row>
    <row r="137" spans="2:21" x14ac:dyDescent="0.2">
      <c r="B137" t="s">
        <v>191</v>
      </c>
      <c r="C137" s="31"/>
    </row>
    <row r="138" spans="2:21" x14ac:dyDescent="0.2">
      <c r="B138" t="s">
        <v>189</v>
      </c>
      <c r="C138" s="31"/>
      <c r="F138" t="s">
        <v>238</v>
      </c>
      <c r="G138" s="528" t="e">
        <f>VLOOKUP(F144,'A.1. Conso_bâtiment_EF H2'!E102:AC123,14,0)*'A.1. Conso_bâtiment_EF H2'!L13</f>
        <v>#N/A</v>
      </c>
      <c r="H138" s="538" t="s">
        <v>263</v>
      </c>
    </row>
    <row r="139" spans="2:21" x14ac:dyDescent="0.2">
      <c r="C139" s="31"/>
    </row>
    <row r="140" spans="2:21" x14ac:dyDescent="0.2">
      <c r="C140" s="31"/>
    </row>
    <row r="141" spans="2:21" x14ac:dyDescent="0.2">
      <c r="B141" s="370" t="s">
        <v>274</v>
      </c>
      <c r="C141" s="31"/>
      <c r="G141" s="546"/>
      <c r="H141" s="536"/>
    </row>
    <row r="142" spans="2:21" x14ac:dyDescent="0.2">
      <c r="B142" t="s">
        <v>240</v>
      </c>
      <c r="C142" s="31"/>
    </row>
    <row r="143" spans="2:21" ht="15.75" thickBot="1" x14ac:dyDescent="0.3">
      <c r="B143" t="s">
        <v>191</v>
      </c>
      <c r="C143" s="31"/>
      <c r="F143" s="1" t="s">
        <v>270</v>
      </c>
      <c r="H143" s="1" t="s">
        <v>271</v>
      </c>
      <c r="J143" s="1" t="s">
        <v>3299</v>
      </c>
      <c r="K143" s="1"/>
      <c r="L143" s="434" t="s">
        <v>142</v>
      </c>
      <c r="M143" s="434" t="s">
        <v>3363</v>
      </c>
      <c r="N143" s="1" t="s">
        <v>3308</v>
      </c>
      <c r="O143" s="434" t="s">
        <v>3363</v>
      </c>
      <c r="P143" s="434"/>
      <c r="Q143" s="1" t="s">
        <v>3379</v>
      </c>
      <c r="R143" s="312"/>
    </row>
    <row r="144" spans="2:21" ht="15.75" thickBot="1" x14ac:dyDescent="0.25">
      <c r="B144" t="s">
        <v>189</v>
      </c>
      <c r="C144" s="31"/>
      <c r="F144" s="574" t="s">
        <v>240</v>
      </c>
      <c r="H144" s="574" t="s">
        <v>187</v>
      </c>
      <c r="J144" s="515" t="e">
        <f>IF(G136=0,IF(J147="",G138*'D.1. Facteur d''émissions'!C37*-J145,G138*'D.1. Facteur d''émissions'!C37*-J147),IF(J147="",G136*'D.1. Facteur d''émissions'!C37*-J145,G136*'D.1. Facteur d''émissions'!C37*-J147))</f>
        <v>#N/A</v>
      </c>
      <c r="K144" s="515"/>
      <c r="L144" s="516" t="s">
        <v>252</v>
      </c>
      <c r="M144" s="138"/>
      <c r="N144" s="515" t="e">
        <f>IF(G136=0,(G138*'D.1. Facteur d''émissions'!C37)-J144,(G136*'D.1. Facteur d''émissions'!C37)-J144)</f>
        <v>#N/A</v>
      </c>
      <c r="O144" s="516" t="e">
        <f>IF(N145="","kWh PCS/an","kWh EP/an")</f>
        <v>#DIV/0!</v>
      </c>
      <c r="P144" s="138"/>
      <c r="Q144" s="570" t="e">
        <f>IF(N145="",IF(G136="",G138*0.239-(N144/1.11)*0.239,G136*0.239-(N144/1.11)*0.239),IF(G136="",(G138*0.239)-(((N145*N144)/1.11)*0.239+((N146*N144)/2.3)*0.05),G136*0.239-((N145*N144)/1.11)*0.239+((N146*N144)/2.3)*0.05))/1000</f>
        <v>#DIV/0!</v>
      </c>
      <c r="R144" s="517" t="s">
        <v>254</v>
      </c>
      <c r="U144" s="558" t="e">
        <f>G138*0.239/1000</f>
        <v>#N/A</v>
      </c>
    </row>
    <row r="145" spans="2:18" x14ac:dyDescent="0.2">
      <c r="B145" t="s">
        <v>187</v>
      </c>
      <c r="I145" s="455" t="str">
        <f>IF(J147="","soit (cas moyen)","")</f>
        <v>soit (cas moyen)</v>
      </c>
      <c r="J145" s="557" t="e" cm="1">
        <f t="array" ref="J145">IF(J147="",INDEX('A.2. Performances_Bâtiment H2'!D65:M74,'OLD Outil - Argumentaire € CO2'!J150,'OLD Outil - Argumentaire € CO2'!J151),"")</f>
        <v>#N/A</v>
      </c>
      <c r="K145" s="557"/>
      <c r="L145" s="513" t="str">
        <f>IF(J147="","d'économies d'énergie","")</f>
        <v>d'économies d'énergie</v>
      </c>
      <c r="M145" s="572" t="e">
        <f>IF(N145="","","Part de gaz (EF)")</f>
        <v>#DIV/0!</v>
      </c>
      <c r="N145" s="577" t="e">
        <f>IF(VLOOKUP(H144,'A.1. Conso_bâtiment_EF H2'!E102:AC123,4,0)="Oui",VLOOKUP(H144,'A.1. Conso_bâtiment_EF H2'!E102:AC123,14,0)/VLOOKUP(H144,'A.1. Conso_bâtiment_EF H2'!E102:AC123,13,0),"")</f>
        <v>#DIV/0!</v>
      </c>
      <c r="Q145" s="557" t="e" cm="1">
        <f t="array" ref="Q145">IF(J147="",INDEX('A.2. Performances_Bâtiment H2'!S65:AB74,'OLD Outil - Argumentaire € CO2'!Q150,'OLD Outil - Argumentaire € CO2'!Q151),IF(G136=0,(G138*'D.1. Facteur d''émissions'!$C$8/1000-Q144)/(G138*'D.1. Facteur d''émissions'!$C$8/1000)-1,(G136*'D.1. Facteur d''émissions'!$C$8/1000-Q144)/(G138*'D.1. Facteur d''émissions'!$C$8/1000)-1))</f>
        <v>#N/A</v>
      </c>
      <c r="R145" s="513" t="s">
        <v>256</v>
      </c>
    </row>
    <row r="146" spans="2:18" x14ac:dyDescent="0.2">
      <c r="L146" s="541"/>
      <c r="M146" s="572" t="e">
        <f>IF(N146="","","Part d'électricité (EF)")</f>
        <v>#DIV/0!</v>
      </c>
      <c r="N146" s="577" t="e">
        <f>IF(VLOOKUP(H144,'A.1. Conso_bâtiment_EF H2'!E102:AC123,4,0)="Oui",VLOOKUP(H144,'A.1. Conso_bâtiment_EF H2'!E102:AC123,15,0)/VLOOKUP(H144,'A.1. Conso_bâtiment_EF H2'!E102:AC123,13,0),"")</f>
        <v>#DIV/0!</v>
      </c>
    </row>
    <row r="147" spans="2:18" ht="15" x14ac:dyDescent="0.25">
      <c r="H147" s="606" t="s">
        <v>3385</v>
      </c>
      <c r="I147" s="32" t="s">
        <v>257</v>
      </c>
      <c r="J147" s="556"/>
      <c r="K147" s="746"/>
      <c r="N147" s="579" t="e">
        <f>IF(N145="","","*si solution hybride")</f>
        <v>#DIV/0!</v>
      </c>
    </row>
    <row r="148" spans="2:18" x14ac:dyDescent="0.2">
      <c r="H148" s="664">
        <f>VLOOKUP(H144,'C.1 Facteurs éco - coûts'!$C$21:$G$26,4,0)</f>
        <v>4500</v>
      </c>
      <c r="J148" s="537" t="s">
        <v>258</v>
      </c>
      <c r="K148" s="665"/>
    </row>
    <row r="150" spans="2:18" hidden="1" outlineLevel="1" x14ac:dyDescent="0.2">
      <c r="F150" s="540" t="s">
        <v>260</v>
      </c>
      <c r="G150" s="540"/>
      <c r="H150" s="540"/>
      <c r="I150" s="540"/>
      <c r="J150" s="540" t="e">
        <f>MATCH(F144,'A.2. Performances_Bâtiment H2'!D65:D76,0)</f>
        <v>#N/A</v>
      </c>
      <c r="K150" s="540"/>
      <c r="L150" s="540"/>
      <c r="M150" s="540"/>
      <c r="N150" s="540"/>
      <c r="O150" s="540"/>
      <c r="P150" s="540"/>
      <c r="Q150" s="540" t="e">
        <f>MATCH(F144,'A.2. Performances_Bâtiment H2'!S65:S74,0)</f>
        <v>#N/A</v>
      </c>
    </row>
    <row r="151" spans="2:18" hidden="1" outlineLevel="1" x14ac:dyDescent="0.2">
      <c r="F151" s="540"/>
      <c r="G151" s="540"/>
      <c r="H151" s="540"/>
      <c r="I151" s="540"/>
      <c r="J151" s="540">
        <f>MATCH(H144,'A.2. Performances_Bâtiment H2'!D65:M65,0)</f>
        <v>5</v>
      </c>
      <c r="K151" s="540"/>
      <c r="L151" s="540"/>
      <c r="M151" s="540"/>
      <c r="N151" s="540"/>
      <c r="O151" s="540"/>
      <c r="P151" s="540"/>
      <c r="Q151" s="540">
        <f>MATCH(H144,'A.2. Performances_Bâtiment H2'!S65:AB65,0)</f>
        <v>5</v>
      </c>
    </row>
    <row r="152" spans="2:18" collapsed="1" x14ac:dyDescent="0.2"/>
    <row r="153" spans="2:18" ht="15" x14ac:dyDescent="0.25">
      <c r="F153" s="49"/>
    </row>
    <row r="154" spans="2:18" x14ac:dyDescent="0.2">
      <c r="F154" s="48" t="s">
        <v>3440</v>
      </c>
    </row>
    <row r="156" spans="2:18" ht="18" x14ac:dyDescent="0.25">
      <c r="B156" s="583" t="s">
        <v>284</v>
      </c>
      <c r="F156" s="43" t="s">
        <v>888</v>
      </c>
    </row>
    <row r="157" spans="2:18" x14ac:dyDescent="0.2">
      <c r="B157" s="33" t="s">
        <v>303</v>
      </c>
    </row>
    <row r="158" spans="2:18" x14ac:dyDescent="0.2">
      <c r="B158" s="33" t="s">
        <v>3441</v>
      </c>
      <c r="F158" t="s">
        <v>3337</v>
      </c>
      <c r="G158" s="545"/>
      <c r="H158" s="575" t="s">
        <v>3329</v>
      </c>
    </row>
    <row r="159" spans="2:18" ht="28.5" x14ac:dyDescent="0.2">
      <c r="B159" s="33"/>
      <c r="F159" s="207" t="s">
        <v>3375</v>
      </c>
      <c r="G159" s="545"/>
      <c r="H159" s="560" t="s">
        <v>3376</v>
      </c>
    </row>
    <row r="160" spans="2:18" x14ac:dyDescent="0.2">
      <c r="B160" s="33"/>
      <c r="G160" s="546"/>
      <c r="H160" s="513"/>
    </row>
    <row r="161" spans="2:18" x14ac:dyDescent="0.2">
      <c r="B161" s="33"/>
      <c r="F161" t="s">
        <v>3340</v>
      </c>
      <c r="G161" s="528">
        <f>IF(G159="",G158,G159)</f>
        <v>0</v>
      </c>
      <c r="H161" s="513"/>
    </row>
    <row r="162" spans="2:18" x14ac:dyDescent="0.2">
      <c r="B162" s="33"/>
    </row>
    <row r="163" spans="2:18" x14ac:dyDescent="0.2">
      <c r="B163" s="33"/>
      <c r="F163" t="s">
        <v>3442</v>
      </c>
      <c r="G163" s="528">
        <f>VLOOKUP(F169,'A.3. Conso_chaudière_indus'!B9:J14,9,0)</f>
        <v>15079.212096774199</v>
      </c>
      <c r="H163" s="538" t="s">
        <v>263</v>
      </c>
    </row>
    <row r="164" spans="2:18" x14ac:dyDescent="0.2">
      <c r="B164" s="583" t="s">
        <v>3443</v>
      </c>
      <c r="F164" t="s">
        <v>3444</v>
      </c>
      <c r="G164" s="545">
        <v>5</v>
      </c>
    </row>
    <row r="165" spans="2:18" x14ac:dyDescent="0.2">
      <c r="B165" s="33" t="s">
        <v>402</v>
      </c>
      <c r="F165" t="s">
        <v>3445</v>
      </c>
      <c r="G165" s="198">
        <f>G163*G164</f>
        <v>75396.060483870999</v>
      </c>
    </row>
    <row r="166" spans="2:18" x14ac:dyDescent="0.2">
      <c r="B166" s="33" t="s">
        <v>3446</v>
      </c>
      <c r="G166" s="546"/>
      <c r="H166" s="536"/>
    </row>
    <row r="167" spans="2:18" x14ac:dyDescent="0.2">
      <c r="B167" s="33" t="s">
        <v>405</v>
      </c>
    </row>
    <row r="168" spans="2:18" ht="15.75" thickBot="1" x14ac:dyDescent="0.3">
      <c r="B168" s="33"/>
      <c r="F168" s="1" t="s">
        <v>270</v>
      </c>
      <c r="H168" s="1" t="s">
        <v>271</v>
      </c>
      <c r="J168" s="1" t="s">
        <v>3299</v>
      </c>
      <c r="K168" s="1"/>
      <c r="L168" s="434" t="s">
        <v>142</v>
      </c>
      <c r="M168" s="434"/>
      <c r="N168" s="1" t="s">
        <v>3308</v>
      </c>
      <c r="O168" s="434" t="s">
        <v>3363</v>
      </c>
      <c r="P168" s="434"/>
      <c r="Q168" s="1" t="s">
        <v>3364</v>
      </c>
      <c r="R168" s="312"/>
    </row>
    <row r="169" spans="2:18" ht="15.75" thickBot="1" x14ac:dyDescent="0.25">
      <c r="B169" s="33"/>
      <c r="F169" s="529" t="s">
        <v>303</v>
      </c>
      <c r="H169" s="529" t="s">
        <v>405</v>
      </c>
      <c r="J169" s="515">
        <f>IF(G161=0,IF(J171="",G165*-J170,G165*-J171),IF(J171="",G158*-J170,G158*-J171))</f>
        <v>2638.8621169354851</v>
      </c>
      <c r="K169" s="515"/>
      <c r="L169" s="516" t="s">
        <v>252</v>
      </c>
      <c r="M169" s="138"/>
      <c r="N169" s="515">
        <f>IF(G161=0,G165-J169,G161-J169)</f>
        <v>72757.19836693551</v>
      </c>
      <c r="O169" s="516" t="s">
        <v>253</v>
      </c>
      <c r="P169" s="138"/>
      <c r="Q169" s="515" t="e">
        <f>IF(G161=0,G165*'D.1. Facteur d''émissions'!#REF!-(G165*'D.1. Facteur d''émissions'!#REF!*(1+Q170)),G163*'D.1. Facteur d''émissions'!#REF!-(G163*'D.1. Facteur d''émissions'!#REF!*(1+Q170)))</f>
        <v>#REF!</v>
      </c>
      <c r="R169" s="517" t="s">
        <v>254</v>
      </c>
    </row>
    <row r="170" spans="2:18" x14ac:dyDescent="0.2">
      <c r="J170" s="557" cm="1">
        <f t="array" ref="J170">INDEX('A.4 Performances_Industrie'!D14:Q18,'OLD Outil - Argumentaire € CO2'!J175,'OLD Outil - Argumentaire € CO2'!J176)</f>
        <v>-3.5000000000000003E-2</v>
      </c>
      <c r="K170" s="557"/>
      <c r="L170" s="513" t="s">
        <v>256</v>
      </c>
      <c r="N170" s="198"/>
      <c r="Q170" s="557" cm="1">
        <f t="array" ref="Q170">INDEX('A.4 Performances_Industrie'!D14:Q18,'OLD Outil - Argumentaire € CO2'!J175,'OLD Outil - Argumentaire € CO2'!J176)</f>
        <v>-3.5000000000000003E-2</v>
      </c>
      <c r="R170" s="513" t="s">
        <v>256</v>
      </c>
    </row>
    <row r="171" spans="2:18" ht="15" x14ac:dyDescent="0.25">
      <c r="I171" s="32" t="s">
        <v>257</v>
      </c>
      <c r="J171" s="556"/>
      <c r="K171" s="746"/>
      <c r="L171" s="541"/>
    </row>
    <row r="172" spans="2:18" x14ac:dyDescent="0.2">
      <c r="J172" s="537" t="s">
        <v>258</v>
      </c>
      <c r="K172" s="665"/>
    </row>
    <row r="175" spans="2:18" hidden="1" outlineLevel="1" x14ac:dyDescent="0.2">
      <c r="F175" s="540" t="s">
        <v>260</v>
      </c>
      <c r="G175" s="540"/>
      <c r="H175" s="540"/>
      <c r="I175" s="540"/>
      <c r="J175" s="540">
        <f>MATCH(F169,'A.4 Performances_Industrie'!D14:D18,0)</f>
        <v>2</v>
      </c>
      <c r="K175" s="540"/>
      <c r="L175" s="540"/>
      <c r="M175" s="540"/>
      <c r="N175" s="540"/>
      <c r="O175" s="540"/>
      <c r="P175" s="540"/>
      <c r="Q175" s="540">
        <f>MATCH(F169,'A.4 Performances_Industrie'!D14:D18,0)</f>
        <v>2</v>
      </c>
    </row>
    <row r="176" spans="2:18" hidden="1" outlineLevel="1" x14ac:dyDescent="0.2">
      <c r="F176" s="540"/>
      <c r="G176" s="540"/>
      <c r="H176" s="540"/>
      <c r="I176" s="540"/>
      <c r="J176" s="540">
        <f>MATCH(H169,'A.4 Performances_Industrie'!D14:Q14,0)</f>
        <v>7</v>
      </c>
      <c r="K176" s="540"/>
      <c r="L176" s="540"/>
      <c r="M176" s="540"/>
      <c r="N176" s="540"/>
      <c r="O176" s="540"/>
      <c r="P176" s="540"/>
      <c r="Q176" s="540">
        <f>MATCH(H169,'A.4 Performances_Industrie'!D14:Q14,0)</f>
        <v>7</v>
      </c>
    </row>
    <row r="177" collapsed="1" x14ac:dyDescent="0.2"/>
  </sheetData>
  <mergeCells count="7">
    <mergeCell ref="H94:I94"/>
    <mergeCell ref="K68:O68"/>
    <mergeCell ref="N25:Q25"/>
    <mergeCell ref="H33:H34"/>
    <mergeCell ref="H66:H67"/>
    <mergeCell ref="F68:I68"/>
    <mergeCell ref="M73:M74"/>
  </mergeCells>
  <dataValidations count="11">
    <dataValidation type="list" allowBlank="1" showInputMessage="1" showErrorMessage="1" sqref="H41" xr:uid="{56D5F349-E0CD-4B1B-BD2C-4CA78A8EF30D}">
      <formula1>$B$40:$B$44</formula1>
    </dataValidation>
    <dataValidation type="list" allowBlank="1" showInputMessage="1" showErrorMessage="1" sqref="H169" xr:uid="{30B83041-9666-4F63-AF6C-3CCFC74844D6}">
      <formula1>$B$165:$B$167</formula1>
    </dataValidation>
    <dataValidation type="list" allowBlank="1" showInputMessage="1" showErrorMessage="1" sqref="F169" xr:uid="{72A2780D-33B8-46FC-B7EE-7B5C08237BB7}">
      <formula1>$B$157:$B$158</formula1>
    </dataValidation>
    <dataValidation type="list" allowBlank="1" showInputMessage="1" showErrorMessage="1" sqref="F144" xr:uid="{B6A82AFD-294B-4BCF-B0F7-DD129651FF53}">
      <formula1>$B$135:$B$138</formula1>
    </dataValidation>
    <dataValidation type="list" allowBlank="1" showInputMessage="1" showErrorMessage="1" sqref="F126" xr:uid="{BAA58258-41D1-4C6F-89AB-B357E3E34E6C}">
      <formula1>$B$117:$B$119</formula1>
    </dataValidation>
    <dataValidation type="list" allowBlank="1" showInputMessage="1" showErrorMessage="1" sqref="H126" xr:uid="{78EEF62D-8CBD-4C7C-9C74-04D4853180D6}">
      <formula1>$B$122:$B$123</formula1>
    </dataValidation>
    <dataValidation type="list" allowBlank="1" showInputMessage="1" showErrorMessage="1" sqref="H144" xr:uid="{51BF6226-029A-4C58-B6FF-173772D49C3C}">
      <formula1>$B$142:$B$145</formula1>
    </dataValidation>
    <dataValidation type="list" allowBlank="1" showInputMessage="1" showErrorMessage="1" sqref="F41" xr:uid="{8BFCCCBF-F734-4347-BE00-F21A1D01AC8B}">
      <formula1>$B$33:$B$36</formula1>
    </dataValidation>
    <dataValidation type="list" allowBlank="1" showInputMessage="1" showErrorMessage="1" sqref="F71" xr:uid="{C98B702D-EBD7-49D7-921E-FB550DC3711D}">
      <formula1>$B$72:$B$76</formula1>
    </dataValidation>
    <dataValidation type="list" allowBlank="1" showInputMessage="1" showErrorMessage="1" sqref="I71" xr:uid="{6881269A-2A0C-4B6A-AC7A-96B6226FE45E}">
      <formula1>$B$80:$B$82</formula1>
    </dataValidation>
    <dataValidation type="list" allowBlank="1" showInputMessage="1" showErrorMessage="1" sqref="I97" xr:uid="{4C6B9A95-627F-4D95-B163-57F3CF9A58F3}">
      <formula1>$B$88:$B$89</formula1>
    </dataValidation>
  </dataValidation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B8B00-16EC-4046-8A9E-64B7DE4DCCFD}">
  <sheetPr>
    <tabColor theme="3"/>
  </sheetPr>
  <dimension ref="B2:V131"/>
  <sheetViews>
    <sheetView showGridLines="0" topLeftCell="A12" zoomScaleNormal="100" workbookViewId="0">
      <selection activeCell="I55" sqref="I55"/>
    </sheetView>
  </sheetViews>
  <sheetFormatPr baseColWidth="10" defaultColWidth="11" defaultRowHeight="14.25" outlineLevelRow="1" x14ac:dyDescent="0.2"/>
  <cols>
    <col min="2" max="2" width="39.375" hidden="1" customWidth="1"/>
    <col min="3" max="3" width="4.875" customWidth="1"/>
    <col min="4" max="4" width="50.625" customWidth="1"/>
    <col min="5" max="5" width="11.75" customWidth="1"/>
    <col min="6" max="6" width="59.875" customWidth="1"/>
    <col min="7" max="7" width="16.25" customWidth="1"/>
    <col min="8" max="8" width="30.25" bestFit="1" customWidth="1"/>
    <col min="9" max="9" width="25.125" customWidth="1"/>
    <col min="10" max="10" width="13.625" customWidth="1"/>
    <col min="11" max="11" width="39.25" customWidth="1"/>
    <col min="12" max="12" width="12.875" customWidth="1"/>
    <col min="13" max="13" width="4" customWidth="1"/>
    <col min="14" max="14" width="16.125" customWidth="1"/>
    <col min="18" max="18" width="11.25" bestFit="1" customWidth="1"/>
  </cols>
  <sheetData>
    <row r="2" spans="4:5" ht="15" x14ac:dyDescent="0.25">
      <c r="D2" s="86" t="s">
        <v>222</v>
      </c>
    </row>
    <row r="3" spans="4:5" x14ac:dyDescent="0.2">
      <c r="D3" s="3"/>
      <c r="E3" t="s">
        <v>223</v>
      </c>
    </row>
    <row r="5" spans="4:5" ht="18" x14ac:dyDescent="0.25">
      <c r="D5" s="573" t="s">
        <v>3279</v>
      </c>
    </row>
    <row r="6" spans="4:5" ht="15" x14ac:dyDescent="0.25">
      <c r="D6" s="1" t="s">
        <v>3280</v>
      </c>
    </row>
    <row r="8" spans="4:5" ht="15" x14ac:dyDescent="0.25">
      <c r="D8" s="199" t="s">
        <v>3281</v>
      </c>
    </row>
    <row r="9" spans="4:5" ht="15" x14ac:dyDescent="0.25">
      <c r="D9" t="s">
        <v>3366</v>
      </c>
    </row>
    <row r="10" spans="4:5" ht="5.0999999999999996" customHeight="1" x14ac:dyDescent="0.2"/>
    <row r="11" spans="4:5" x14ac:dyDescent="0.2">
      <c r="D11" t="s">
        <v>3283</v>
      </c>
    </row>
    <row r="12" spans="4:5" x14ac:dyDescent="0.2">
      <c r="D12" s="138" t="s">
        <v>3367</v>
      </c>
    </row>
    <row r="13" spans="4:5" x14ac:dyDescent="0.2">
      <c r="D13" s="138" t="s">
        <v>3368</v>
      </c>
    </row>
    <row r="14" spans="4:5" x14ac:dyDescent="0.2">
      <c r="D14" s="138" t="s">
        <v>3286</v>
      </c>
    </row>
    <row r="15" spans="4:5" x14ac:dyDescent="0.2">
      <c r="D15" s="138" t="s">
        <v>3369</v>
      </c>
    </row>
    <row r="16" spans="4:5" x14ac:dyDescent="0.2">
      <c r="D16" s="138" t="s">
        <v>3288</v>
      </c>
    </row>
    <row r="17" spans="2:14" x14ac:dyDescent="0.2">
      <c r="D17" s="138"/>
    </row>
    <row r="18" spans="2:14" ht="15" x14ac:dyDescent="0.25">
      <c r="D18" s="199" t="s">
        <v>3289</v>
      </c>
    </row>
    <row r="19" spans="2:14" ht="15" x14ac:dyDescent="0.25">
      <c r="D19" s="87" t="s">
        <v>3370</v>
      </c>
    </row>
    <row r="20" spans="2:14" ht="15" x14ac:dyDescent="0.25">
      <c r="D20" t="s">
        <v>3371</v>
      </c>
      <c r="K20" s="48"/>
    </row>
    <row r="21" spans="2:14" ht="15" x14ac:dyDescent="0.25">
      <c r="D21" t="s">
        <v>3372</v>
      </c>
      <c r="K21" s="48"/>
    </row>
    <row r="22" spans="2:14" ht="15" x14ac:dyDescent="0.25">
      <c r="D22" t="s">
        <v>3373</v>
      </c>
    </row>
    <row r="24" spans="2:14" ht="23.25" x14ac:dyDescent="0.35">
      <c r="C24" s="613">
        <v>1</v>
      </c>
      <c r="D24" s="610" t="s">
        <v>229</v>
      </c>
    </row>
    <row r="25" spans="2:14" ht="12" customHeight="1" x14ac:dyDescent="0.2">
      <c r="C25" s="31"/>
      <c r="K25" s="1216"/>
      <c r="L25" s="1216"/>
      <c r="M25" s="1216"/>
      <c r="N25" s="1216"/>
    </row>
    <row r="26" spans="2:14" ht="12" customHeight="1" x14ac:dyDescent="0.2">
      <c r="C26" s="31"/>
      <c r="K26" s="544"/>
      <c r="L26" s="544"/>
      <c r="M26" s="544"/>
      <c r="N26" s="544"/>
    </row>
    <row r="27" spans="2:14" ht="12" customHeight="1" x14ac:dyDescent="0.25">
      <c r="C27" s="31"/>
      <c r="D27" s="199" t="s">
        <v>3295</v>
      </c>
      <c r="K27" s="544"/>
      <c r="L27" s="544"/>
      <c r="M27" s="544"/>
      <c r="N27" s="544"/>
    </row>
    <row r="28" spans="2:14" ht="28.5" x14ac:dyDescent="0.2">
      <c r="C28" s="31"/>
      <c r="D28" s="207" t="s">
        <v>3374</v>
      </c>
      <c r="E28" s="576">
        <v>150000</v>
      </c>
      <c r="F28" s="580" t="s">
        <v>3329</v>
      </c>
      <c r="K28" s="544"/>
      <c r="L28" s="544"/>
      <c r="M28" s="544"/>
      <c r="N28" s="544"/>
    </row>
    <row r="29" spans="2:14" ht="28.5" x14ac:dyDescent="0.2">
      <c r="C29" s="31"/>
      <c r="D29" s="207" t="s">
        <v>3375</v>
      </c>
      <c r="E29" s="531"/>
      <c r="F29" s="560" t="s">
        <v>3376</v>
      </c>
      <c r="K29" s="544"/>
      <c r="L29" s="544"/>
      <c r="M29" s="544"/>
      <c r="N29" s="562"/>
    </row>
    <row r="30" spans="2:14" x14ac:dyDescent="0.2">
      <c r="C30" s="31"/>
      <c r="D30" s="207"/>
      <c r="E30" s="546"/>
      <c r="F30" s="560"/>
      <c r="K30" s="544"/>
      <c r="L30" s="544"/>
      <c r="M30" s="544"/>
      <c r="N30" s="562"/>
    </row>
    <row r="31" spans="2:14" ht="18.600000000000001" customHeight="1" x14ac:dyDescent="0.2">
      <c r="C31" s="31"/>
      <c r="D31" t="s">
        <v>3340</v>
      </c>
      <c r="E31" s="528">
        <f>IF(E29="",IF(E28="",0,E28),E29)</f>
        <v>150000</v>
      </c>
      <c r="F31" s="513"/>
      <c r="L31" s="544"/>
      <c r="M31" s="544"/>
      <c r="N31" s="544"/>
    </row>
    <row r="32" spans="2:14" ht="18.600000000000001" customHeight="1" x14ac:dyDescent="0.2">
      <c r="B32" s="370" t="s">
        <v>230</v>
      </c>
      <c r="C32" s="31"/>
      <c r="D32" s="370" t="s">
        <v>236</v>
      </c>
      <c r="E32" s="546"/>
      <c r="F32" s="513"/>
      <c r="K32" s="544"/>
      <c r="L32" s="544"/>
      <c r="M32" s="544"/>
      <c r="N32" s="544"/>
    </row>
    <row r="33" spans="2:22" x14ac:dyDescent="0.2">
      <c r="B33" t="s">
        <v>237</v>
      </c>
      <c r="C33" s="31"/>
      <c r="D33" t="s">
        <v>238</v>
      </c>
      <c r="E33" s="528" t="e">
        <f>VLOOKUP(D41,'A.1. Conso_bâtiment_EF H2'!E102:AC123,18,0)*'A.1. Conso_bâtiment_EF H2'!#REF!</f>
        <v>#N/A</v>
      </c>
      <c r="F33" s="1149" t="s">
        <v>239</v>
      </c>
    </row>
    <row r="34" spans="2:22" x14ac:dyDescent="0.2">
      <c r="B34" t="s">
        <v>240</v>
      </c>
      <c r="C34" s="31"/>
      <c r="D34" t="s">
        <v>241</v>
      </c>
      <c r="E34" s="528" t="e">
        <f>'A.1. Conso_bâtiment_EF H2'!#REF!</f>
        <v>#REF!</v>
      </c>
      <c r="F34" s="1149"/>
    </row>
    <row r="35" spans="2:22" x14ac:dyDescent="0.2">
      <c r="B35" t="s">
        <v>191</v>
      </c>
      <c r="C35" s="31"/>
      <c r="D35" s="312"/>
      <c r="E35" s="527"/>
      <c r="F35" s="374"/>
      <c r="H35" s="198"/>
    </row>
    <row r="36" spans="2:22" x14ac:dyDescent="0.2">
      <c r="B36" t="s">
        <v>189</v>
      </c>
      <c r="C36" s="31"/>
      <c r="H36" s="534"/>
      <c r="N36" s="558"/>
      <c r="O36" s="559"/>
    </row>
    <row r="37" spans="2:22" x14ac:dyDescent="0.2">
      <c r="B37" s="207"/>
      <c r="C37" s="31"/>
      <c r="H37" s="534"/>
      <c r="N37" s="198"/>
      <c r="O37" s="559"/>
    </row>
    <row r="38" spans="2:22" ht="23.25" x14ac:dyDescent="0.35">
      <c r="C38" s="613">
        <v>2</v>
      </c>
      <c r="D38" s="611" t="s">
        <v>3304</v>
      </c>
      <c r="E38" s="612">
        <v>3</v>
      </c>
      <c r="F38" s="25"/>
      <c r="G38" s="612">
        <v>4</v>
      </c>
      <c r="H38" s="596" t="s">
        <v>3305</v>
      </c>
      <c r="I38" s="25"/>
      <c r="J38" s="25"/>
      <c r="K38" s="25"/>
      <c r="L38" s="25"/>
      <c r="M38" s="25"/>
      <c r="N38" s="201"/>
      <c r="O38" s="25"/>
      <c r="P38" s="25"/>
      <c r="Q38" s="25"/>
      <c r="R38" s="25"/>
      <c r="S38" s="25"/>
      <c r="T38" s="25"/>
      <c r="U38" s="25"/>
      <c r="V38" s="25"/>
    </row>
    <row r="39" spans="2:22" x14ac:dyDescent="0.2">
      <c r="B39" s="370" t="s">
        <v>246</v>
      </c>
      <c r="C39" s="31"/>
      <c r="D39" s="25"/>
      <c r="F39" s="25"/>
      <c r="H39" s="597"/>
      <c r="I39" s="25"/>
      <c r="J39" s="25"/>
      <c r="K39" s="25"/>
      <c r="L39" s="25"/>
      <c r="M39" s="25"/>
      <c r="N39" s="597"/>
      <c r="O39" s="25"/>
      <c r="P39" s="25"/>
      <c r="Q39" s="25"/>
      <c r="R39" s="25"/>
      <c r="S39" s="25"/>
      <c r="T39" s="25"/>
      <c r="U39" s="25"/>
      <c r="V39" s="25"/>
    </row>
    <row r="40" spans="2:22" ht="15.75" thickBot="1" x14ac:dyDescent="0.3">
      <c r="B40" t="s">
        <v>240</v>
      </c>
      <c r="C40" s="31"/>
      <c r="D40" s="606" t="s">
        <v>247</v>
      </c>
      <c r="F40" s="606" t="s">
        <v>248</v>
      </c>
      <c r="H40" s="606" t="s">
        <v>3299</v>
      </c>
      <c r="I40" s="607"/>
      <c r="J40" s="607" t="s">
        <v>3378</v>
      </c>
      <c r="K40" s="606" t="s">
        <v>3308</v>
      </c>
      <c r="L40" s="607" t="s">
        <v>3363</v>
      </c>
      <c r="M40" s="607"/>
      <c r="N40" s="606" t="s">
        <v>3379</v>
      </c>
      <c r="O40" s="608"/>
      <c r="P40" s="25"/>
      <c r="Q40" s="25"/>
      <c r="R40" s="606" t="s">
        <v>3380</v>
      </c>
      <c r="S40" s="25"/>
      <c r="T40" s="25"/>
      <c r="U40" s="606" t="s">
        <v>3381</v>
      </c>
      <c r="V40" s="25"/>
    </row>
    <row r="41" spans="2:22" ht="15.75" thickBot="1" x14ac:dyDescent="0.25">
      <c r="B41" t="s">
        <v>191</v>
      </c>
      <c r="C41" s="31"/>
      <c r="D41" s="581" t="s">
        <v>237</v>
      </c>
      <c r="F41" s="581" t="s">
        <v>187</v>
      </c>
      <c r="G41" s="138"/>
      <c r="H41" s="618" t="e">
        <f>IF(E31=0,IF(H44="",E33*'D.1. Facteur d''émissions'!C37*-H42,E33*'D.1. Facteur d''émissions'!C37*-H44),IF(H44="",E31*'D.1. Facteur d''émissions'!C37*-H42,E31*'D.1. Facteur d''émissions'!C37*-H44))</f>
        <v>#N/A</v>
      </c>
      <c r="I41" s="609" t="str">
        <f>IF(K42="","kWh PCS/an","kWh EP/an")</f>
        <v>kWh EP/an</v>
      </c>
      <c r="J41" s="609"/>
      <c r="K41" s="618" t="e">
        <f>IF(E31=0,(E33*'D.1. Facteur d''émissions'!C37)-H41,(E31*'D.1. Facteur d''émissions'!C37)-H41)</f>
        <v>#N/A</v>
      </c>
      <c r="L41" s="516" t="str">
        <f>IF(K42="","kWh PCS/an","kWh EP/an")</f>
        <v>kWh EP/an</v>
      </c>
      <c r="M41" s="609"/>
      <c r="N41" s="619" t="e">
        <f>IF(K42="",IF(E31=0,E33*0.239-(K41/1.11)*0.239,E31*0.239-(K41/1.11)*0.239),IF(E31=0,(E33*0.239)-(((K42*K41)/1.11)*0.239+((K43*K41)/2.3)*0.05),E31*0.239-((K42*K41)/1.11)*0.239+((K43*K41)/2.3)*0.05))/1000</f>
        <v>#N/A</v>
      </c>
      <c r="O41" s="517" t="s">
        <v>254</v>
      </c>
      <c r="P41" s="25"/>
      <c r="Q41" s="25"/>
      <c r="R41" s="618" t="e">
        <f>N41*1000/'D.2. Equivalents ADEME'!D4</f>
        <v>#N/A</v>
      </c>
      <c r="S41" s="25"/>
      <c r="T41" s="25"/>
      <c r="U41" s="622" t="e">
        <f>F45/N41</f>
        <v>#N/A</v>
      </c>
      <c r="V41" s="25" t="s">
        <v>3382</v>
      </c>
    </row>
    <row r="42" spans="2:22" ht="15" x14ac:dyDescent="0.25">
      <c r="B42" t="s">
        <v>189</v>
      </c>
      <c r="D42" s="25"/>
      <c r="F42" s="25"/>
      <c r="G42" s="455" t="str">
        <f>IF(H44="","soit (cas moyen)","")</f>
        <v>soit (cas moyen)</v>
      </c>
      <c r="H42" s="577" t="e" cm="1">
        <f t="array" ref="H42">IF(H44="",INDEX('A.2. Performances_Bâtiment H2'!D83:M92,'Argumentaires CO2-€'!H50,'Argumentaires CO2-€'!H51),"")</f>
        <v>#N/A</v>
      </c>
      <c r="I42" s="598" t="str">
        <f>IF(H44="","d'économies d'énergie","")</f>
        <v>d'économies d'énergie</v>
      </c>
      <c r="J42" s="599" t="str">
        <f>IF(K42="","","Part de gaz (EF)*")</f>
        <v>Part de gaz (EF)*</v>
      </c>
      <c r="K42" s="577">
        <f>IF(VLOOKUP(F41,'A.1. Conso_bâtiment_EF H2'!E102:AC123,4,0)="Oui",VLOOKUP(F41,'A.1. Conso_bâtiment_EF H2'!E102:AC123,18,0)/VLOOKUP(F41,'A.1. Conso_bâtiment_EF H2'!E102:AC123,17,0),"")</f>
        <v>1.9760000000000002</v>
      </c>
      <c r="L42" s="25"/>
      <c r="M42" s="25"/>
      <c r="N42" s="577" t="e" cm="1">
        <f t="array" ref="N42">IF(H44="",INDEX('A.2. Performances_Bâtiment H2'!S83:AB92,'Argumentaires CO2-€'!N50,'Argumentaires CO2-€'!N51),IF(E31=0,((E33*'D.1. Facteur d''émissions'!$C$8)/1000-N41)/((E33*'D.1. Facteur d''émissions'!$C$8)/1000)-1,((E31*'D.1. Facteur d''émissions'!$C$8)/1000-N41)/((E33*'D.1. Facteur d''émissions'!$C$8)/1000)-1))</f>
        <v>#N/A</v>
      </c>
      <c r="O42" s="598"/>
      <c r="P42" s="25"/>
      <c r="Q42" s="25"/>
      <c r="R42" s="606" t="s">
        <v>3383</v>
      </c>
      <c r="S42" s="25"/>
      <c r="T42" s="25"/>
      <c r="U42" s="25"/>
      <c r="V42" s="25"/>
    </row>
    <row r="43" spans="2:22" ht="15" x14ac:dyDescent="0.25">
      <c r="B43" t="s">
        <v>187</v>
      </c>
      <c r="H43" s="25"/>
      <c r="I43" s="598"/>
      <c r="J43" s="599" t="str">
        <f>IF(K43="","","Part d'électricité (EF)*")</f>
        <v>Part d'électricité (EF)*</v>
      </c>
      <c r="K43" s="577">
        <f>IF(VLOOKUP(F41,'A.1. Conso_bâtiment_EF H2'!E102:AC123,4,0)="Oui",VLOOKUP(F41,'A.1. Conso_bâtiment_EF H2'!E102:AC123,19,0)/VLOOKUP(F41,'A.1. Conso_bâtiment_EF H2'!E102:AC123,17,0),"")</f>
        <v>0</v>
      </c>
      <c r="L43" s="25"/>
      <c r="M43" s="25"/>
      <c r="N43" s="582" t="e">
        <f>IF(K42="",IF(E31=0,E33*0.239-(K41/1.11)*0.239,E31*0.239-(K41/1.11)*0.239),IF(E31=0,(E33*0.239)-(((K42*K41)/1.11)*0.239+((K43*K41)/2.3)*0.05),E31*0.239-((K42*K41)/1.11)*0.239+((K43*K41)/2.3)*0.05))/1000</f>
        <v>#N/A</v>
      </c>
      <c r="O43" s="598"/>
      <c r="P43" s="25"/>
      <c r="Q43" s="25"/>
      <c r="R43" s="625" t="e">
        <f>N41*1000/'D.2. Equivalents ADEME'!D8</f>
        <v>#N/A</v>
      </c>
      <c r="S43" s="25"/>
      <c r="T43" s="25"/>
      <c r="U43" s="606" t="s">
        <v>3384</v>
      </c>
      <c r="V43" s="25"/>
    </row>
    <row r="44" spans="2:22" ht="15" x14ac:dyDescent="0.25">
      <c r="F44" s="606" t="s">
        <v>3385</v>
      </c>
      <c r="G44" s="32" t="s">
        <v>257</v>
      </c>
      <c r="H44" s="556"/>
      <c r="I44" s="598"/>
      <c r="J44" s="600"/>
      <c r="K44" s="599" t="str">
        <f>IF(K42="","","*si solution hybride")</f>
        <v>*si solution hybride</v>
      </c>
      <c r="L44" s="601"/>
      <c r="M44" s="201"/>
      <c r="N44" s="602" t="e">
        <f>(E33*'D.1. Facteur d''émissions'!$C$8/1000-N43)/(E33*'D.1. Facteur d''émissions'!$C$8/1000)-1</f>
        <v>#N/A</v>
      </c>
      <c r="O44" s="598"/>
      <c r="P44" s="25"/>
      <c r="Q44" s="25"/>
      <c r="R44" s="606" t="s">
        <v>3359</v>
      </c>
      <c r="S44" s="25"/>
      <c r="T44" s="25"/>
      <c r="U44" s="621"/>
      <c r="V44" s="25" t="s">
        <v>3382</v>
      </c>
    </row>
    <row r="45" spans="2:22" ht="15" x14ac:dyDescent="0.2">
      <c r="F45" s="620">
        <v>13500</v>
      </c>
      <c r="H45" s="537" t="s">
        <v>258</v>
      </c>
      <c r="I45" s="598"/>
      <c r="J45" s="600"/>
      <c r="K45" s="603"/>
      <c r="L45" s="601"/>
      <c r="M45" s="201"/>
      <c r="N45" s="25"/>
      <c r="O45" s="598"/>
      <c r="P45" s="25"/>
      <c r="Q45" s="25"/>
      <c r="R45" s="618" t="e">
        <f>N41*1000/'D.2. Equivalents ADEME'!D9</f>
        <v>#N/A</v>
      </c>
      <c r="S45" s="25"/>
      <c r="T45" s="25"/>
      <c r="U45" s="25"/>
      <c r="V45" s="25"/>
    </row>
    <row r="46" spans="2:22" ht="15" x14ac:dyDescent="0.25">
      <c r="H46" s="25"/>
      <c r="I46" s="604"/>
      <c r="J46" s="25"/>
      <c r="K46" s="605"/>
      <c r="L46" s="25"/>
      <c r="M46" s="25"/>
      <c r="N46" s="597"/>
      <c r="O46" s="201"/>
      <c r="P46" s="25"/>
      <c r="Q46" s="25"/>
      <c r="R46" s="606" t="s">
        <v>3386</v>
      </c>
      <c r="S46" s="25"/>
      <c r="T46" s="25"/>
      <c r="U46" s="25"/>
      <c r="V46" s="25"/>
    </row>
    <row r="47" spans="2:22" x14ac:dyDescent="0.2">
      <c r="N47" s="197"/>
      <c r="O47" s="198"/>
    </row>
    <row r="48" spans="2:22" x14ac:dyDescent="0.2">
      <c r="N48" s="198"/>
    </row>
    <row r="50" spans="2:18" s="207" customFormat="1" hidden="1" outlineLevel="1" x14ac:dyDescent="0.2">
      <c r="D50" s="540" t="s">
        <v>260</v>
      </c>
      <c r="E50" s="540"/>
      <c r="F50" s="540"/>
      <c r="G50" s="540"/>
      <c r="H50" s="540" t="e">
        <f>MATCH(D41,'A.2. Performances_Bâtiment H2'!D83:D92,0)</f>
        <v>#N/A</v>
      </c>
      <c r="I50" s="540"/>
      <c r="J50" s="540"/>
      <c r="K50" s="540"/>
      <c r="L50" s="540"/>
      <c r="M50" s="540"/>
      <c r="N50" s="540" t="e">
        <f>MATCH(D41,'A.2. Performances_Bâtiment H2'!S83:S92,0)</f>
        <v>#N/A</v>
      </c>
    </row>
    <row r="51" spans="2:18" s="207" customFormat="1" hidden="1" outlineLevel="1" x14ac:dyDescent="0.2">
      <c r="D51" s="540"/>
      <c r="E51" s="540"/>
      <c r="F51" s="540"/>
      <c r="G51" s="540"/>
      <c r="H51" s="540">
        <f>MATCH(F41,'A.2. Performances_Bâtiment H2'!D83:M83,0)</f>
        <v>5</v>
      </c>
      <c r="I51" s="540"/>
      <c r="J51" s="540"/>
      <c r="K51" s="540"/>
      <c r="L51" s="540"/>
      <c r="M51" s="540"/>
      <c r="N51" s="540">
        <f>MATCH(F41,'A.2. Performances_Bâtiment H2'!S83:AB83,0)</f>
        <v>5</v>
      </c>
    </row>
    <row r="52" spans="2:18" ht="18" collapsed="1" x14ac:dyDescent="0.25">
      <c r="B52" s="583" t="s">
        <v>261</v>
      </c>
      <c r="D52" s="43" t="s">
        <v>3447</v>
      </c>
    </row>
    <row r="53" spans="2:18" ht="18" x14ac:dyDescent="0.25">
      <c r="B53" s="33" t="s">
        <v>237</v>
      </c>
      <c r="D53" s="43"/>
      <c r="H53" s="571"/>
    </row>
    <row r="54" spans="2:18" x14ac:dyDescent="0.2">
      <c r="B54" s="33" t="s">
        <v>240</v>
      </c>
      <c r="D54" t="s">
        <v>3448</v>
      </c>
      <c r="E54" s="545"/>
      <c r="F54" s="575" t="s">
        <v>3329</v>
      </c>
    </row>
    <row r="55" spans="2:18" x14ac:dyDescent="0.2">
      <c r="B55" s="33"/>
    </row>
    <row r="56" spans="2:18" x14ac:dyDescent="0.2">
      <c r="B56" s="33"/>
      <c r="D56" t="s">
        <v>238</v>
      </c>
      <c r="E56" s="528" t="e">
        <f>VLOOKUP(D61,'A.1. Conso_bâtiment_EF H2'!E102:AC123,6,0)*'A.1. Conso_bâtiment_EF H2'!#REF!</f>
        <v>#N/A</v>
      </c>
      <c r="F56" s="1149" t="s">
        <v>239</v>
      </c>
    </row>
    <row r="57" spans="2:18" x14ac:dyDescent="0.2">
      <c r="B57" s="33"/>
      <c r="F57" s="1149"/>
    </row>
    <row r="58" spans="2:18" x14ac:dyDescent="0.2">
      <c r="B58" s="583" t="s">
        <v>264</v>
      </c>
    </row>
    <row r="59" spans="2:18" x14ac:dyDescent="0.2">
      <c r="B59" s="33" t="s">
        <v>191</v>
      </c>
    </row>
    <row r="60" spans="2:18" ht="15.75" thickBot="1" x14ac:dyDescent="0.3">
      <c r="B60" s="33" t="s">
        <v>187</v>
      </c>
      <c r="D60" s="1" t="s">
        <v>247</v>
      </c>
      <c r="F60" s="1" t="s">
        <v>248</v>
      </c>
      <c r="H60" s="1" t="s">
        <v>3299</v>
      </c>
      <c r="I60" s="434"/>
      <c r="J60" s="434" t="s">
        <v>3363</v>
      </c>
      <c r="K60" s="1" t="s">
        <v>3308</v>
      </c>
      <c r="L60" s="434" t="s">
        <v>3363</v>
      </c>
      <c r="M60" s="434"/>
      <c r="N60" s="1" t="s">
        <v>3379</v>
      </c>
      <c r="O60" s="312"/>
      <c r="R60" t="s">
        <v>3449</v>
      </c>
    </row>
    <row r="61" spans="2:18" ht="15.75" thickBot="1" x14ac:dyDescent="0.25">
      <c r="B61" s="33" t="s">
        <v>240</v>
      </c>
      <c r="D61" s="581" t="s">
        <v>240</v>
      </c>
      <c r="F61" s="581" t="s">
        <v>187</v>
      </c>
      <c r="H61" s="515" t="e">
        <f>IF(E54=0,IF(H64="",E56*'D.1. Facteur d''émissions'!C37*-H62,E56*'D.1. Facteur d''émissions'!C37*-H64),IF(H64="",E54*'D.1. Facteur d''émissions'!C37*-H62,E54*'D.1. Facteur d''émissions'!C37*-H64))</f>
        <v>#N/A</v>
      </c>
      <c r="I61" s="516" t="s">
        <v>252</v>
      </c>
      <c r="J61" s="138"/>
      <c r="K61" s="515" t="e">
        <f>IF(E54=0,(E56*'D.1. Facteur d''émissions'!C37)-H61,(E54*'D.1. Facteur d''émissions'!C37)-H61)</f>
        <v>#N/A</v>
      </c>
      <c r="L61" s="516" t="str">
        <f>IF(K62="","kWh PCS/an","kWh EP/an")</f>
        <v>kWh EP/an</v>
      </c>
      <c r="M61" s="138"/>
      <c r="N61" s="570" t="e">
        <f>IF(K62="",IF(E54=0,E56*0.239-(K61/1.11)*0.239,E54*0.239-(K61/1.11)*0.239),IF(E54=0,(E56*0.239)-(((K62*K61)/1.11)*0.239+((K63*K61)/2.3)*0.05),E54*0.239-((K62*K61)/1.11)*0.239+((K63*K61)/2.3)*0.05))/1000</f>
        <v>#N/A</v>
      </c>
      <c r="O61" s="517" t="s">
        <v>254</v>
      </c>
    </row>
    <row r="62" spans="2:18" x14ac:dyDescent="0.2">
      <c r="G62" s="455" t="str">
        <f>IF(H64="","soit (cas moyen)","")</f>
        <v>soit (cas moyen)</v>
      </c>
      <c r="H62" s="577" t="e" cm="1">
        <f t="array" ref="H62">IF(H64="",INDEX('A.2. Performances_Bâtiment H2'!D83:M92,'Argumentaires CO2-€'!H66,'Argumentaires CO2-€'!H67),"")</f>
        <v>#N/A</v>
      </c>
      <c r="I62" s="513" t="str">
        <f>IF(H64="","d'économies d'énergie","")</f>
        <v>d'économies d'énergie</v>
      </c>
      <c r="J62" s="572" t="str">
        <f>IF(K62="","","Part de gaz (EF)")</f>
        <v>Part de gaz (EF)</v>
      </c>
      <c r="K62" s="577">
        <f>IF(VLOOKUP(F61,'A.1. Conso_bâtiment_EF H2'!E102:AC123,4,0)="Oui",VLOOKUP(F61,'A.1. Conso_bâtiment_EF H2'!E102:AC123,6,0)/VLOOKUP(F61,'A.1. Conso_bâtiment_EF H2'!E102:AC123,5,0),"")</f>
        <v>0.51098901098901106</v>
      </c>
      <c r="N62" s="577" t="e" cm="1">
        <f t="array" ref="N62">IF(H64="",INDEX('A.2. Performances_Bâtiment H2'!S83:AB92,'Argumentaires CO2-€'!N66,'Argumentaires CO2-€'!N67),IF(E54=0,(E56*'D.1. Facteur d''émissions'!$C$8/1000-N61)/(E56*'D.1. Facteur d''émissions'!$C$8/1000)-1,(E54*'D.1. Facteur d''émissions'!$C$8/1000-N61)/(E56*'D.1. Facteur d''émissions'!$C$8/1000)-1))</f>
        <v>#N/A</v>
      </c>
      <c r="O62" s="513" t="s">
        <v>256</v>
      </c>
    </row>
    <row r="63" spans="2:18" x14ac:dyDescent="0.2">
      <c r="I63" s="541"/>
      <c r="J63" s="572" t="str">
        <f>IF(K63="","","Part d'électricité (EF)")</f>
        <v>Part d'électricité (EF)</v>
      </c>
      <c r="K63" s="577">
        <f>IF(VLOOKUP(F61,'A.1. Conso_bâtiment_EF H2'!E102:AC123,4,0)="Oui",VLOOKUP(F61,'A.1. Conso_bâtiment_EF H2'!E102:AC123,7,0)/VLOOKUP(F61,'A.1. Conso_bâtiment_EF H2'!E102:AC123,5,0),"")</f>
        <v>0.48901098901098905</v>
      </c>
    </row>
    <row r="64" spans="2:18" ht="15" x14ac:dyDescent="0.25">
      <c r="G64" s="32" t="s">
        <v>257</v>
      </c>
      <c r="H64" s="556"/>
      <c r="K64" s="579" t="str">
        <f>IF(K62="","","*si solution hybride")</f>
        <v>*si solution hybride</v>
      </c>
    </row>
    <row r="65" spans="2:15" x14ac:dyDescent="0.2">
      <c r="H65" s="537" t="s">
        <v>258</v>
      </c>
      <c r="N65" t="s">
        <v>266</v>
      </c>
    </row>
    <row r="66" spans="2:15" hidden="1" outlineLevel="1" x14ac:dyDescent="0.2">
      <c r="D66" s="540" t="s">
        <v>260</v>
      </c>
      <c r="E66" s="540"/>
      <c r="F66" s="540"/>
      <c r="G66" s="540"/>
      <c r="H66" s="540" t="e">
        <f>MATCH(D61,'A.2. Performances_Bâtiment H2'!D18:D27,0)</f>
        <v>#N/A</v>
      </c>
      <c r="I66" s="540"/>
      <c r="J66" s="540"/>
      <c r="K66" s="540"/>
      <c r="L66" s="540"/>
      <c r="M66" s="540"/>
      <c r="N66" s="540" t="e">
        <f>MATCH(D61,'A.2. Performances_Bâtiment H2'!S18:S27,0)</f>
        <v>#N/A</v>
      </c>
    </row>
    <row r="67" spans="2:15" hidden="1" outlineLevel="1" x14ac:dyDescent="0.2">
      <c r="D67" s="540"/>
      <c r="E67" s="540"/>
      <c r="F67" s="540"/>
      <c r="G67" s="540"/>
      <c r="H67" s="540">
        <f>MATCH(F61,'A.2. Performances_Bâtiment H2'!D18:M18,0)</f>
        <v>5</v>
      </c>
      <c r="I67" s="540"/>
      <c r="J67" s="540"/>
      <c r="K67" s="540"/>
      <c r="L67" s="540"/>
      <c r="M67" s="540"/>
      <c r="N67" s="540">
        <f>MATCH(F61,'A.2. Performances_Bâtiment H2'!S18:AB18,0)</f>
        <v>5</v>
      </c>
    </row>
    <row r="68" spans="2:15" collapsed="1" x14ac:dyDescent="0.2"/>
    <row r="69" spans="2:15" ht="15" x14ac:dyDescent="0.25">
      <c r="D69" s="49"/>
    </row>
    <row r="70" spans="2:15" ht="18" x14ac:dyDescent="0.25">
      <c r="B70" s="370" t="s">
        <v>267</v>
      </c>
      <c r="C70" s="31"/>
      <c r="D70" s="43" t="s">
        <v>3437</v>
      </c>
    </row>
    <row r="71" spans="2:15" ht="18" x14ac:dyDescent="0.25">
      <c r="B71" t="s">
        <v>237</v>
      </c>
      <c r="C71" s="31"/>
      <c r="D71" s="43"/>
    </row>
    <row r="72" spans="2:15" ht="13.5" customHeight="1" x14ac:dyDescent="0.2">
      <c r="B72" t="s">
        <v>240</v>
      </c>
      <c r="C72" s="31"/>
      <c r="D72" t="s">
        <v>3438</v>
      </c>
      <c r="E72" s="545"/>
      <c r="F72" s="575" t="s">
        <v>3329</v>
      </c>
    </row>
    <row r="73" spans="2:15" x14ac:dyDescent="0.2">
      <c r="C73" s="31"/>
    </row>
    <row r="74" spans="2:15" x14ac:dyDescent="0.2">
      <c r="C74" s="31"/>
      <c r="D74" t="s">
        <v>238</v>
      </c>
      <c r="E74" s="528" t="e">
        <f>VLOOKUP(D80,'A.1. Conso_bâtiment_EF H2'!E102:AC123,10,0)*'A.1. Conso_bâtiment_EF H2'!#REF!</f>
        <v>#N/A</v>
      </c>
      <c r="F74" s="538" t="s">
        <v>263</v>
      </c>
    </row>
    <row r="75" spans="2:15" x14ac:dyDescent="0.2">
      <c r="B75" s="370" t="s">
        <v>269</v>
      </c>
      <c r="C75" s="31"/>
    </row>
    <row r="76" spans="2:15" x14ac:dyDescent="0.2">
      <c r="B76" t="s">
        <v>237</v>
      </c>
      <c r="C76" s="31"/>
    </row>
    <row r="77" spans="2:15" x14ac:dyDescent="0.2">
      <c r="B77" t="s">
        <v>240</v>
      </c>
      <c r="C77" s="31"/>
    </row>
    <row r="78" spans="2:15" ht="18.75" x14ac:dyDescent="0.2">
      <c r="B78" s="512"/>
      <c r="C78" s="31"/>
    </row>
    <row r="79" spans="2:15" ht="19.5" thickBot="1" x14ac:dyDescent="0.3">
      <c r="B79" s="512"/>
      <c r="C79" s="31"/>
      <c r="D79" s="1" t="s">
        <v>270</v>
      </c>
      <c r="F79" s="1" t="s">
        <v>271</v>
      </c>
      <c r="H79" s="1" t="s">
        <v>3299</v>
      </c>
      <c r="I79" s="434" t="s">
        <v>142</v>
      </c>
      <c r="J79" s="434" t="s">
        <v>3363</v>
      </c>
      <c r="K79" s="1" t="s">
        <v>3308</v>
      </c>
      <c r="L79" s="434" t="s">
        <v>3363</v>
      </c>
      <c r="M79" s="434"/>
      <c r="N79" s="1" t="s">
        <v>3379</v>
      </c>
      <c r="O79" s="312"/>
    </row>
    <row r="80" spans="2:15" ht="19.5" thickBot="1" x14ac:dyDescent="0.25">
      <c r="B80" s="512"/>
      <c r="C80" s="31"/>
      <c r="D80" s="581" t="s">
        <v>237</v>
      </c>
      <c r="F80" s="581" t="s">
        <v>240</v>
      </c>
      <c r="H80" s="515" t="e">
        <f>IF(E72=0,IF(H83="",E74*'D.1. Facteur d''émissions'!C37*-H81,E74*'D.1. Facteur d''émissions'!C37*-H83),IF(H83="",E72*'D.1. Facteur d''émissions'!C37*-H81,E72*'D.1. Facteur d''émissions'!C37*-H83))</f>
        <v>#N/A</v>
      </c>
      <c r="I80" s="516" t="s">
        <v>252</v>
      </c>
      <c r="J80" s="138"/>
      <c r="K80" s="515" t="e">
        <f>IF(E72=0,(E74*'D.1. Facteur d''émissions'!C37)-H80,(E72*'D.1. Facteur d''émissions'!C37)-H80)</f>
        <v>#N/A</v>
      </c>
      <c r="L80" s="516" t="str">
        <f>IF(K81="","kWh PCS/an","kWh EP/an")</f>
        <v>kWh PCS/an</v>
      </c>
      <c r="M80" s="138"/>
      <c r="N80" s="570" t="e">
        <f>IF(E72=0,E74*0.239-(K80/1.11)*0.239,E72*0.239-(K80/1.11)*0.239)/1000</f>
        <v>#N/A</v>
      </c>
      <c r="O80" s="517" t="s">
        <v>254</v>
      </c>
    </row>
    <row r="81" spans="2:15" ht="18.75" x14ac:dyDescent="0.2">
      <c r="B81" s="512"/>
      <c r="G81" s="455" t="str">
        <f>IF(H83="","soit (cas moyen)","")</f>
        <v>soit (cas moyen)</v>
      </c>
      <c r="H81" s="577" t="e" cm="1">
        <f t="array" ref="H81">IF(H83="",INDEX('A.2. Performances_Bâtiment H2'!D83:M92,'Argumentaires CO2-€'!H85,'Argumentaires CO2-€'!H86),"")</f>
        <v>#N/A</v>
      </c>
      <c r="I81" s="513" t="str">
        <f>IF(H83="","d'économies d'énergie","")</f>
        <v>d'économies d'énergie</v>
      </c>
      <c r="J81" s="48"/>
      <c r="K81" s="578"/>
      <c r="N81" s="557" t="e" cm="1">
        <f t="array" ref="N81">IF(H83="",INDEX('A.2. Performances_Bâtiment H2'!S83:AB92,'Argumentaires CO2-€'!N85,'Argumentaires CO2-€'!N86),IF(E72=0,(E74*'D.1. Facteur d''émissions'!$C$8/1000-N80)/(E74*'D.1. Facteur d''émissions'!$C$8/1000)-1,(E72*'D.1. Facteur d''émissions'!$C$8/1000-N80)/(E74*'D.1. Facteur d''émissions'!$C$8/1000)-1))</f>
        <v>#N/A</v>
      </c>
      <c r="O81" s="513" t="s">
        <v>256</v>
      </c>
    </row>
    <row r="82" spans="2:15" ht="18.75" x14ac:dyDescent="0.2">
      <c r="B82" s="512"/>
      <c r="I82" s="541"/>
      <c r="J82" s="48"/>
      <c r="K82" s="578"/>
    </row>
    <row r="83" spans="2:15" ht="18.75" x14ac:dyDescent="0.25">
      <c r="B83" s="512"/>
      <c r="G83" s="32" t="s">
        <v>257</v>
      </c>
      <c r="H83" s="556"/>
    </row>
    <row r="84" spans="2:15" ht="18.75" x14ac:dyDescent="0.2">
      <c r="B84" s="512"/>
      <c r="H84" s="537" t="s">
        <v>258</v>
      </c>
      <c r="N84" t="s">
        <v>266</v>
      </c>
    </row>
    <row r="85" spans="2:15" ht="18.75" hidden="1" outlineLevel="1" x14ac:dyDescent="0.2">
      <c r="B85" s="512"/>
      <c r="D85" s="540" t="s">
        <v>260</v>
      </c>
      <c r="E85" s="540"/>
      <c r="F85" s="540"/>
      <c r="G85" s="540"/>
      <c r="H85" s="540" t="e">
        <f>MATCH(D80,'A.2. Performances_Bâtiment H2'!D46:D55,0)</f>
        <v>#N/A</v>
      </c>
      <c r="I85" s="540"/>
      <c r="J85" s="540"/>
      <c r="K85" s="540"/>
      <c r="L85" s="540"/>
      <c r="M85" s="540"/>
      <c r="N85" s="540" t="e">
        <f>MATCH(D80,'A.2. Performances_Bâtiment H2'!S46:S55,0)</f>
        <v>#N/A</v>
      </c>
    </row>
    <row r="86" spans="2:15" ht="18.75" hidden="1" outlineLevel="1" x14ac:dyDescent="0.2">
      <c r="B86" s="512"/>
      <c r="D86" s="540"/>
      <c r="E86" s="540"/>
      <c r="F86" s="540"/>
      <c r="G86" s="540"/>
      <c r="H86" s="540" t="e">
        <f>MATCH(F80,'A.2. Performances_Bâtiment H2'!D46:M46,0)</f>
        <v>#N/A</v>
      </c>
      <c r="I86" s="540"/>
      <c r="J86" s="540"/>
      <c r="K86" s="540"/>
      <c r="L86" s="540"/>
      <c r="M86" s="540"/>
      <c r="N86" s="540" t="e">
        <f>MATCH(F80,'A.2. Performances_Bâtiment H2'!S46:AB46,0)</f>
        <v>#N/A</v>
      </c>
    </row>
    <row r="87" spans="2:15" ht="18.75" collapsed="1" x14ac:dyDescent="0.25">
      <c r="B87" s="512"/>
      <c r="D87" s="49"/>
    </row>
    <row r="88" spans="2:15" ht="18" x14ac:dyDescent="0.25">
      <c r="B88" s="370" t="s">
        <v>272</v>
      </c>
      <c r="C88" s="31"/>
      <c r="D88" s="43" t="s">
        <v>3439</v>
      </c>
    </row>
    <row r="89" spans="2:15" x14ac:dyDescent="0.2">
      <c r="B89" t="s">
        <v>237</v>
      </c>
      <c r="C89" s="31"/>
    </row>
    <row r="90" spans="2:15" x14ac:dyDescent="0.2">
      <c r="B90" t="s">
        <v>240</v>
      </c>
      <c r="C90" s="31"/>
      <c r="D90" t="s">
        <v>3438</v>
      </c>
      <c r="E90" s="545"/>
      <c r="F90" s="575" t="s">
        <v>3329</v>
      </c>
    </row>
    <row r="91" spans="2:15" x14ac:dyDescent="0.2">
      <c r="B91" t="s">
        <v>191</v>
      </c>
      <c r="C91" s="31"/>
    </row>
    <row r="92" spans="2:15" x14ac:dyDescent="0.2">
      <c r="B92" t="s">
        <v>189</v>
      </c>
      <c r="C92" s="31"/>
      <c r="D92" t="s">
        <v>238</v>
      </c>
      <c r="E92" s="528" t="e">
        <f>VLOOKUP(D98,'A.1. Conso_bâtiment_EF H2'!E102:AC123,14,0)*'A.1. Conso_bâtiment_EF H2'!#REF!*E94</f>
        <v>#REF!</v>
      </c>
      <c r="F92" s="538" t="s">
        <v>263</v>
      </c>
    </row>
    <row r="93" spans="2:15" x14ac:dyDescent="0.2">
      <c r="C93" s="31"/>
    </row>
    <row r="94" spans="2:15" ht="15" x14ac:dyDescent="0.25">
      <c r="C94" s="31"/>
      <c r="D94" s="49" t="s">
        <v>3330</v>
      </c>
      <c r="E94" s="49">
        <v>23</v>
      </c>
    </row>
    <row r="95" spans="2:15" ht="15" x14ac:dyDescent="0.25">
      <c r="B95" s="370" t="s">
        <v>274</v>
      </c>
      <c r="C95" s="31"/>
      <c r="D95" s="1"/>
      <c r="E95" s="623"/>
      <c r="F95" s="536"/>
    </row>
    <row r="96" spans="2:15" x14ac:dyDescent="0.2">
      <c r="B96" t="s">
        <v>240</v>
      </c>
      <c r="C96" s="31"/>
    </row>
    <row r="97" spans="2:15" ht="15.75" thickBot="1" x14ac:dyDescent="0.3">
      <c r="B97" t="s">
        <v>191</v>
      </c>
      <c r="C97" s="31"/>
      <c r="D97" s="1" t="s">
        <v>270</v>
      </c>
      <c r="F97" s="1" t="s">
        <v>271</v>
      </c>
      <c r="H97" s="1" t="s">
        <v>3299</v>
      </c>
      <c r="I97" s="434" t="s">
        <v>142</v>
      </c>
      <c r="J97" s="434" t="s">
        <v>3363</v>
      </c>
      <c r="K97" s="1" t="s">
        <v>3308</v>
      </c>
      <c r="L97" s="434" t="s">
        <v>3363</v>
      </c>
      <c r="M97" s="434"/>
      <c r="N97" s="1" t="s">
        <v>3379</v>
      </c>
      <c r="O97" s="312"/>
    </row>
    <row r="98" spans="2:15" ht="15.75" thickBot="1" x14ac:dyDescent="0.25">
      <c r="B98" t="s">
        <v>189</v>
      </c>
      <c r="C98" s="31"/>
      <c r="D98" s="574" t="s">
        <v>191</v>
      </c>
      <c r="F98" s="574" t="s">
        <v>187</v>
      </c>
      <c r="H98" s="515" t="e">
        <f>IF(E90=0,IF(H101="",E92*'D.1. Facteur d''émissions'!C37*-H99,E92*'D.1. Facteur d''émissions'!C37*-H101),IF(H101="",E90*'D.1. Facteur d''émissions'!C37*-H99,E90*'D.1. Facteur d''émissions'!C37*-H101))</f>
        <v>#REF!</v>
      </c>
      <c r="I98" s="516" t="s">
        <v>252</v>
      </c>
      <c r="J98" s="138"/>
      <c r="K98" s="515" t="e">
        <f>IF(E90=0,(E92*'D.1. Facteur d''émissions'!C37)-H98,(E90*'D.1. Facteur d''émissions'!C37)-H98)</f>
        <v>#REF!</v>
      </c>
      <c r="L98" s="516" t="e">
        <f>IF(K99="","kWh PCS/an","kWh EP/an")</f>
        <v>#DIV/0!</v>
      </c>
      <c r="M98" s="138"/>
      <c r="N98" s="570" t="e">
        <f>IF(K99="",IF(E90="",E92*0.239-(K98/1.11)*0.239,E90*0.239-(K98/1.11)*0.239),IF(E90="",(E92*0.239)-(((K99*K98)/1.11)*0.239+((K100*K98)/2.3)*0.05),E90*0.239-((K99*K98)/1.11)*0.239+((K100*K98)/2.3)*0.05))/1000</f>
        <v>#DIV/0!</v>
      </c>
      <c r="O98" s="517" t="s">
        <v>254</v>
      </c>
    </row>
    <row r="99" spans="2:15" x14ac:dyDescent="0.2">
      <c r="B99" t="s">
        <v>187</v>
      </c>
      <c r="G99" s="455" t="str">
        <f>IF(H101="","soit (cas moyen)","")</f>
        <v>soit (cas moyen)</v>
      </c>
      <c r="H99" s="557" cm="1">
        <f t="array" ref="H99">IF(H101="",INDEX('A.2. Performances_Bâtiment H2'!D83:M92,'Argumentaires CO2-€'!H104,'Argumentaires CO2-€'!H105),"")</f>
        <v>-4.0311284046692597E-2</v>
      </c>
      <c r="I99" s="513" t="str">
        <f>IF(H101="","d'économies d'énergie","")</f>
        <v>d'économies d'énergie</v>
      </c>
      <c r="J99" s="572" t="e">
        <f>IF(K99="","","Part de gaz (EF)")</f>
        <v>#DIV/0!</v>
      </c>
      <c r="K99" s="577" t="e">
        <f>IF(VLOOKUP(F98,'A.1. Conso_bâtiment_EF H2'!E102:AC123,4,0)="Oui",VLOOKUP(F98,'A.1. Conso_bâtiment_EF H2'!E102:AC123,14,0)/VLOOKUP(F98,'A.1. Conso_bâtiment_EF H2'!E102:AC123,13,0),"")</f>
        <v>#DIV/0!</v>
      </c>
      <c r="N99" s="557" cm="1">
        <f t="array" ref="N99">IF(H101="",INDEX('A.2. Performances_Bâtiment H2'!S83:AB92,'Argumentaires CO2-€'!N104,'Argumentaires CO2-€'!N105),IF(E90=0,(E92*'D.1. Facteur d''émissions'!$C$8/1000-N98)/(E92*'D.1. Facteur d''émissions'!$C$8/1000)-1,(E90*'D.1. Facteur d''émissions'!$C$8/1000-N98)/(E92*'D.1. Facteur d''émissions'!$C$8/1000)-1))</f>
        <v>-0.73515783989710692</v>
      </c>
      <c r="O99" s="513" t="s">
        <v>256</v>
      </c>
    </row>
    <row r="100" spans="2:15" x14ac:dyDescent="0.2">
      <c r="I100" s="541"/>
      <c r="J100" s="572" t="e">
        <f>IF(K100="","","Part d'électricité (EF)")</f>
        <v>#DIV/0!</v>
      </c>
      <c r="K100" s="577" t="e">
        <f>IF(VLOOKUP(F98,'A.1. Conso_bâtiment_EF H2'!E102:AC123,4,0)="Oui",VLOOKUP(F98,'A.1. Conso_bâtiment_EF H2'!E102:AC123,15,0)/VLOOKUP(F98,'A.1. Conso_bâtiment_EF H2'!E102:AC123,13,0),"")</f>
        <v>#DIV/0!</v>
      </c>
    </row>
    <row r="101" spans="2:15" ht="15" x14ac:dyDescent="0.25">
      <c r="G101" s="32" t="s">
        <v>257</v>
      </c>
      <c r="H101" s="556"/>
      <c r="K101" s="579" t="e">
        <f>IF(K99="","","*si solution hybride")</f>
        <v>#DIV/0!</v>
      </c>
    </row>
    <row r="102" spans="2:15" x14ac:dyDescent="0.2">
      <c r="H102" s="537" t="s">
        <v>258</v>
      </c>
    </row>
    <row r="104" spans="2:15" hidden="1" outlineLevel="1" x14ac:dyDescent="0.2">
      <c r="D104" s="540" t="s">
        <v>260</v>
      </c>
      <c r="E104" s="540"/>
      <c r="F104" s="540"/>
      <c r="G104" s="540"/>
      <c r="H104" s="540">
        <f>MATCH(D98,'A.2. Performances_Bâtiment H2'!D65:D74,0)</f>
        <v>10</v>
      </c>
      <c r="I104" s="540"/>
      <c r="J104" s="540"/>
      <c r="K104" s="540"/>
      <c r="L104" s="540"/>
      <c r="M104" s="540"/>
      <c r="N104" s="540">
        <f>MATCH(D98,'A.2. Performances_Bâtiment H2'!S65:S74,0)</f>
        <v>10</v>
      </c>
    </row>
    <row r="105" spans="2:15" hidden="1" outlineLevel="1" x14ac:dyDescent="0.2">
      <c r="D105" s="540"/>
      <c r="E105" s="540"/>
      <c r="F105" s="540"/>
      <c r="G105" s="540"/>
      <c r="H105" s="540">
        <f>MATCH(F98,'A.2. Performances_Bâtiment H2'!D65:M65,0)</f>
        <v>5</v>
      </c>
      <c r="I105" s="540"/>
      <c r="J105" s="540"/>
      <c r="K105" s="540"/>
      <c r="L105" s="540"/>
      <c r="M105" s="540"/>
      <c r="N105" s="540">
        <f>MATCH(F98,'A.2. Performances_Bâtiment H2'!S65:AB65,0)</f>
        <v>5</v>
      </c>
    </row>
    <row r="106" spans="2:15" collapsed="1" x14ac:dyDescent="0.2"/>
    <row r="107" spans="2:15" ht="15" x14ac:dyDescent="0.25">
      <c r="D107" s="49"/>
    </row>
    <row r="108" spans="2:15" x14ac:dyDescent="0.2">
      <c r="D108" s="48"/>
    </row>
    <row r="110" spans="2:15" ht="18" x14ac:dyDescent="0.25">
      <c r="B110" s="583" t="s">
        <v>284</v>
      </c>
      <c r="D110" s="43" t="s">
        <v>888</v>
      </c>
    </row>
    <row r="111" spans="2:15" x14ac:dyDescent="0.2">
      <c r="B111" s="33" t="s">
        <v>303</v>
      </c>
    </row>
    <row r="112" spans="2:15" x14ac:dyDescent="0.2">
      <c r="B112" s="33" t="s">
        <v>3441</v>
      </c>
      <c r="D112" t="s">
        <v>3337</v>
      </c>
      <c r="E112" s="545"/>
      <c r="F112" s="575" t="s">
        <v>3329</v>
      </c>
    </row>
    <row r="113" spans="2:15" ht="28.5" x14ac:dyDescent="0.2">
      <c r="B113" s="33"/>
      <c r="D113" s="207" t="s">
        <v>3375</v>
      </c>
      <c r="E113" s="545"/>
      <c r="F113" s="560" t="s">
        <v>3376</v>
      </c>
    </row>
    <row r="114" spans="2:15" x14ac:dyDescent="0.2">
      <c r="B114" s="33"/>
      <c r="E114" s="546"/>
      <c r="F114" s="513"/>
    </row>
    <row r="115" spans="2:15" x14ac:dyDescent="0.2">
      <c r="B115" s="33"/>
      <c r="D115" t="s">
        <v>3340</v>
      </c>
      <c r="E115" s="528">
        <f>IF(E113="",E112,E113)</f>
        <v>0</v>
      </c>
      <c r="F115" s="513"/>
    </row>
    <row r="116" spans="2:15" x14ac:dyDescent="0.2">
      <c r="B116" s="33"/>
    </row>
    <row r="117" spans="2:15" x14ac:dyDescent="0.2">
      <c r="B117" s="33"/>
      <c r="D117" t="s">
        <v>3442</v>
      </c>
      <c r="E117" s="528">
        <f>VLOOKUP(D123,'A.3. Conso_chaudière_indus'!B9:J14,9,0)</f>
        <v>15079.212096774199</v>
      </c>
      <c r="F117" s="538" t="s">
        <v>263</v>
      </c>
    </row>
    <row r="118" spans="2:15" x14ac:dyDescent="0.2">
      <c r="B118" s="583" t="s">
        <v>3443</v>
      </c>
      <c r="D118" t="s">
        <v>3444</v>
      </c>
      <c r="E118" s="545">
        <v>5</v>
      </c>
    </row>
    <row r="119" spans="2:15" x14ac:dyDescent="0.2">
      <c r="B119" s="33" t="s">
        <v>402</v>
      </c>
      <c r="D119" t="s">
        <v>3445</v>
      </c>
      <c r="E119" s="198">
        <f>E117*E118</f>
        <v>75396.060483870999</v>
      </c>
    </row>
    <row r="120" spans="2:15" x14ac:dyDescent="0.2">
      <c r="B120" s="33" t="s">
        <v>3446</v>
      </c>
      <c r="E120" s="546"/>
      <c r="F120" s="536"/>
    </row>
    <row r="121" spans="2:15" x14ac:dyDescent="0.2">
      <c r="B121" s="33" t="s">
        <v>405</v>
      </c>
    </row>
    <row r="122" spans="2:15" ht="15.75" thickBot="1" x14ac:dyDescent="0.3">
      <c r="B122" s="33"/>
      <c r="D122" s="1" t="s">
        <v>270</v>
      </c>
      <c r="F122" s="1" t="s">
        <v>271</v>
      </c>
      <c r="H122" s="1" t="s">
        <v>3299</v>
      </c>
      <c r="I122" s="434" t="s">
        <v>142</v>
      </c>
      <c r="J122" s="434"/>
      <c r="K122" s="1" t="s">
        <v>3308</v>
      </c>
      <c r="L122" s="434" t="s">
        <v>3363</v>
      </c>
      <c r="M122" s="434"/>
      <c r="N122" s="1" t="s">
        <v>3364</v>
      </c>
      <c r="O122" s="312"/>
    </row>
    <row r="123" spans="2:15" ht="15.75" thickBot="1" x14ac:dyDescent="0.25">
      <c r="B123" s="33"/>
      <c r="D123" s="529" t="s">
        <v>303</v>
      </c>
      <c r="F123" s="529" t="s">
        <v>405</v>
      </c>
      <c r="H123" s="515">
        <f>IF(E115=0,IF(H125="",E119*-H124,E119*-H125),IF(H125="",E112*-H124,E112*-H125))</f>
        <v>2638.8621169354851</v>
      </c>
      <c r="I123" s="516" t="s">
        <v>252</v>
      </c>
      <c r="J123" s="138"/>
      <c r="K123" s="515">
        <f>IF(E115=0,E119-H123,E115-H123)</f>
        <v>72757.19836693551</v>
      </c>
      <c r="L123" s="516" t="s">
        <v>253</v>
      </c>
      <c r="M123" s="138"/>
      <c r="N123" s="515" t="e">
        <f>IF(E115=0,E119*'D.1. Facteur d''émissions'!#REF!-(E119*'D.1. Facteur d''émissions'!#REF!*(1+N124)),E117*'D.1. Facteur d''émissions'!#REF!-(E117*'D.1. Facteur d''émissions'!#REF!*(1+N124)))</f>
        <v>#REF!</v>
      </c>
      <c r="O123" s="517" t="s">
        <v>254</v>
      </c>
    </row>
    <row r="124" spans="2:15" x14ac:dyDescent="0.2">
      <c r="H124" s="557" cm="1">
        <f t="array" ref="H124">INDEX('A.4 Performances_Industrie'!D14:Q18,'Argumentaires CO2-€'!H129,'Argumentaires CO2-€'!H130)</f>
        <v>-3.5000000000000003E-2</v>
      </c>
      <c r="I124" s="513" t="s">
        <v>256</v>
      </c>
      <c r="K124" s="198"/>
      <c r="N124" s="557" cm="1">
        <f t="array" ref="N124">INDEX('A.4 Performances_Industrie'!D14:Q18,'Argumentaires CO2-€'!H129,'Argumentaires CO2-€'!H130)</f>
        <v>-3.5000000000000003E-2</v>
      </c>
      <c r="O124" s="513" t="s">
        <v>256</v>
      </c>
    </row>
    <row r="125" spans="2:15" ht="15" x14ac:dyDescent="0.25">
      <c r="G125" s="32" t="s">
        <v>257</v>
      </c>
      <c r="H125" s="556"/>
      <c r="I125" s="541"/>
    </row>
    <row r="126" spans="2:15" x14ac:dyDescent="0.2">
      <c r="H126" s="537" t="s">
        <v>258</v>
      </c>
    </row>
    <row r="129" spans="4:14" hidden="1" outlineLevel="1" x14ac:dyDescent="0.2">
      <c r="D129" s="540" t="s">
        <v>260</v>
      </c>
      <c r="E129" s="540"/>
      <c r="F129" s="540"/>
      <c r="G129" s="540"/>
      <c r="H129" s="540">
        <f>MATCH(D123,'A.4 Performances_Industrie'!D14:D18,0)</f>
        <v>2</v>
      </c>
      <c r="I129" s="540"/>
      <c r="J129" s="540"/>
      <c r="K129" s="540"/>
      <c r="L129" s="540"/>
      <c r="M129" s="540"/>
      <c r="N129" s="540">
        <f>MATCH(D123,'A.4 Performances_Industrie'!D14:D18,0)</f>
        <v>2</v>
      </c>
    </row>
    <row r="130" spans="4:14" hidden="1" outlineLevel="1" x14ac:dyDescent="0.2">
      <c r="D130" s="540"/>
      <c r="E130" s="540"/>
      <c r="F130" s="540"/>
      <c r="G130" s="540"/>
      <c r="H130" s="540">
        <f>MATCH(F123,'A.4 Performances_Industrie'!D14:Q14,0)</f>
        <v>7</v>
      </c>
      <c r="I130" s="540"/>
      <c r="J130" s="540"/>
      <c r="K130" s="540"/>
      <c r="L130" s="540"/>
      <c r="M130" s="540"/>
      <c r="N130" s="540">
        <f>MATCH(F123,'A.4 Performances_Industrie'!D14:Q14,0)</f>
        <v>7</v>
      </c>
    </row>
    <row r="131" spans="4:14" collapsed="1" x14ac:dyDescent="0.2"/>
  </sheetData>
  <mergeCells count="3">
    <mergeCell ref="K25:N25"/>
    <mergeCell ref="F33:F34"/>
    <mergeCell ref="F56:F57"/>
  </mergeCells>
  <dataValidations count="10">
    <dataValidation type="list" allowBlank="1" showInputMessage="1" showErrorMessage="1" sqref="F41" xr:uid="{3A6A57A5-4784-4854-B32B-E7859F1C0A6D}">
      <formula1>$B$40:$B$45</formula1>
    </dataValidation>
    <dataValidation type="list" allowBlank="1" showInputMessage="1" showErrorMessage="1" sqref="F123" xr:uid="{138902D2-C09D-4BDD-A00A-E021CD03E5AD}">
      <formula1>$B$119:$B$121</formula1>
    </dataValidation>
    <dataValidation type="list" allowBlank="1" showInputMessage="1" showErrorMessage="1" sqref="D123" xr:uid="{0158F101-A953-422B-B061-98DF13596246}">
      <formula1>$B$111:$B$112</formula1>
    </dataValidation>
    <dataValidation type="list" allowBlank="1" showInputMessage="1" showErrorMessage="1" sqref="D98" xr:uid="{7D1E7D86-7A91-40C6-B748-D2BD59EE3CF9}">
      <formula1>$B$89:$B$92</formula1>
    </dataValidation>
    <dataValidation type="list" allowBlank="1" showInputMessage="1" showErrorMessage="1" sqref="D80" xr:uid="{5922EADD-CCFB-4E4B-895D-2A36651C21E4}">
      <formula1>$B$71:$B$73</formula1>
    </dataValidation>
    <dataValidation type="list" allowBlank="1" showInputMessage="1" showErrorMessage="1" sqref="D61" xr:uid="{DC5E5451-6BBE-4D8F-942B-4FBC17A7FD95}">
      <formula1>$B$53:$B$54</formula1>
    </dataValidation>
    <dataValidation type="list" allowBlank="1" showInputMessage="1" showErrorMessage="1" sqref="F80" xr:uid="{5BC94A60-0622-4DCC-80DB-DFDD255FC302}">
      <formula1>$B$76:$B$77</formula1>
    </dataValidation>
    <dataValidation type="list" allowBlank="1" showInputMessage="1" showErrorMessage="1" sqref="F61" xr:uid="{37A7203A-186F-4EE3-8F54-27450818F114}">
      <formula1>$B$59:$B$61</formula1>
    </dataValidation>
    <dataValidation type="list" allowBlank="1" showInputMessage="1" showErrorMessage="1" sqref="F98" xr:uid="{D3FD33FE-2BFE-48ED-A4C8-01D0E065F917}">
      <formula1>$B$96:$B$99</formula1>
    </dataValidation>
    <dataValidation type="list" allowBlank="1" showInputMessage="1" showErrorMessage="1" sqref="D41" xr:uid="{2F5BA34C-02A9-4AFF-BF12-7F67EE81670A}">
      <formula1>$B$33:$B$36</formula1>
    </dataValidation>
  </dataValidation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1EA5E-51CA-47BA-B743-8F908EB74080}">
  <dimension ref="B2:X14"/>
  <sheetViews>
    <sheetView showGridLines="0" zoomScale="73" workbookViewId="0">
      <selection activeCell="V15" sqref="V15"/>
    </sheetView>
  </sheetViews>
  <sheetFormatPr baseColWidth="10" defaultColWidth="11" defaultRowHeight="14.25" x14ac:dyDescent="0.2"/>
  <cols>
    <col min="4" max="4" width="32.625" customWidth="1"/>
    <col min="5" max="5" width="29.125" customWidth="1"/>
    <col min="8" max="8" width="2.125" hidden="1" customWidth="1"/>
    <col min="12" max="12" width="2.375" hidden="1" customWidth="1"/>
    <col min="16" max="16" width="2.25" hidden="1" customWidth="1"/>
    <col min="20" max="20" width="2.25" hidden="1" customWidth="1"/>
  </cols>
  <sheetData>
    <row r="2" spans="2:24" ht="15" x14ac:dyDescent="0.25">
      <c r="B2" s="49" t="s">
        <v>3450</v>
      </c>
      <c r="E2" s="60" t="s">
        <v>3451</v>
      </c>
    </row>
    <row r="3" spans="2:24" x14ac:dyDescent="0.2">
      <c r="D3" t="s">
        <v>284</v>
      </c>
      <c r="E3" s="3" t="s">
        <v>724</v>
      </c>
    </row>
    <row r="4" spans="2:24" x14ac:dyDescent="0.2">
      <c r="D4" t="s">
        <v>280</v>
      </c>
      <c r="E4" s="3" t="s">
        <v>3452</v>
      </c>
    </row>
    <row r="5" spans="2:24" x14ac:dyDescent="0.2">
      <c r="D5" t="s">
        <v>3453</v>
      </c>
      <c r="E5" s="3">
        <v>80</v>
      </c>
    </row>
    <row r="7" spans="2:24" ht="15.75" x14ac:dyDescent="0.25">
      <c r="D7" s="1" t="s">
        <v>3454</v>
      </c>
      <c r="E7" s="1269" t="s">
        <v>162</v>
      </c>
      <c r="F7" s="1269"/>
      <c r="G7" s="1269"/>
      <c r="H7" s="1269" t="s">
        <v>3455</v>
      </c>
      <c r="I7" s="1269"/>
      <c r="J7" s="1269"/>
      <c r="K7" s="1269"/>
      <c r="L7" s="47"/>
      <c r="M7" s="1269" t="s">
        <v>170</v>
      </c>
      <c r="N7" s="1269"/>
      <c r="O7" s="1269"/>
      <c r="P7" s="47"/>
      <c r="Q7" s="1269" t="s">
        <v>165</v>
      </c>
      <c r="R7" s="1269"/>
      <c r="S7" s="1269"/>
      <c r="T7" s="47"/>
      <c r="U7" s="1270" t="s">
        <v>3456</v>
      </c>
      <c r="V7" s="1271"/>
      <c r="W7" s="1272"/>
    </row>
    <row r="8" spans="2:24" x14ac:dyDescent="0.2">
      <c r="E8" s="66" t="s">
        <v>153</v>
      </c>
      <c r="F8" s="67" t="s">
        <v>154</v>
      </c>
      <c r="G8" s="68" t="s">
        <v>155</v>
      </c>
      <c r="H8" s="69"/>
      <c r="I8" s="67" t="s">
        <v>153</v>
      </c>
      <c r="J8" s="67" t="s">
        <v>154</v>
      </c>
      <c r="K8" s="68" t="s">
        <v>155</v>
      </c>
      <c r="L8" s="69"/>
      <c r="M8" s="67" t="s">
        <v>153</v>
      </c>
      <c r="N8" s="67" t="s">
        <v>154</v>
      </c>
      <c r="O8" s="68" t="s">
        <v>155</v>
      </c>
      <c r="P8" s="69"/>
      <c r="Q8" s="67" t="s">
        <v>153</v>
      </c>
      <c r="R8" s="67" t="s">
        <v>154</v>
      </c>
      <c r="S8" s="68" t="s">
        <v>155</v>
      </c>
      <c r="T8" s="69"/>
      <c r="U8" s="67" t="s">
        <v>153</v>
      </c>
      <c r="V8" s="67" t="s">
        <v>154</v>
      </c>
      <c r="W8" s="68" t="s">
        <v>155</v>
      </c>
    </row>
    <row r="9" spans="2:24" ht="27.6" customHeight="1" x14ac:dyDescent="0.25">
      <c r="D9" s="63" t="s">
        <v>3457</v>
      </c>
      <c r="E9" s="70" t="e" cm="1">
        <f t="array" ref="E9">_xlfn.XLOOKUP(E3,'A.1. Conso_bâtiment_EF H2'!E32:E54,'A.1. Conso_bâtiment_EF H2'!#REF!)*E5</f>
        <v>#REF!</v>
      </c>
      <c r="F9" s="70"/>
      <c r="G9" s="71"/>
      <c r="H9" s="72"/>
      <c r="I9" s="70"/>
      <c r="J9" s="70"/>
      <c r="K9" s="71"/>
      <c r="L9" s="72"/>
      <c r="M9" s="70"/>
      <c r="N9" s="70"/>
      <c r="O9" s="71"/>
      <c r="P9" s="72"/>
      <c r="Q9" s="70"/>
      <c r="R9" s="70"/>
      <c r="S9" s="71"/>
      <c r="T9" s="72"/>
      <c r="U9" s="70"/>
      <c r="V9" s="70"/>
      <c r="W9" s="71"/>
      <c r="X9" s="58" t="s">
        <v>3458</v>
      </c>
    </row>
    <row r="10" spans="2:24" ht="27.6" customHeight="1" x14ac:dyDescent="0.25">
      <c r="D10" s="64" t="s">
        <v>3459</v>
      </c>
      <c r="E10" s="73" t="e">
        <f>INDEX('A.2. Performances_Bâtiment H2'!$D$46:$T$55,MATCH($E$3,'A.2. Performances_Bâtiment H2'!$D$46:$T$46,0),MATCH($E$4,'A.2. Performances_Bâtiment H2'!$D$46:$D$55,0))</f>
        <v>#N/A</v>
      </c>
      <c r="F10" s="73" t="e">
        <f>INDEX('A.2. Performances_Bâtiment H2'!$D$46:$T$55,MATCH($E$3,'A.2. Performances_Bâtiment H2'!$D$46:$T$46,0),MATCH($E$4,'A.2. Performances_Bâtiment H2'!$D$46:$D$55,0))</f>
        <v>#N/A</v>
      </c>
      <c r="G10" s="74" t="e">
        <f>INDEX('A.2. Performances_Bâtiment H2'!$D$46:$T$55,MATCH($E$3,'A.2. Performances_Bâtiment H2'!$D$46:$T$46,0),MATCH($E$4,'A.2. Performances_Bâtiment H2'!$D$46:$D$55,0))</f>
        <v>#N/A</v>
      </c>
      <c r="H10" s="75"/>
      <c r="I10" s="73" t="e">
        <f>INDEX('A.2. Performances_Bâtiment H2'!$D$46:$T$55,MATCH($E$3,'A.2. Performances_Bâtiment H2'!$D$46:$T$46,0),MATCH($E$4,'A.2. Performances_Bâtiment H2'!$D$46:$D$55,0))</f>
        <v>#N/A</v>
      </c>
      <c r="J10" s="73" t="e">
        <f>INDEX('A.2. Performances_Bâtiment H2'!$D$46:$T$55,MATCH($E$3,'A.2. Performances_Bâtiment H2'!$D$46:$T$46,0),MATCH($E$4,'A.2. Performances_Bâtiment H2'!$D$46:$D$55,0))</f>
        <v>#N/A</v>
      </c>
      <c r="K10" s="74" t="e">
        <f>INDEX('A.2. Performances_Bâtiment H2'!$D$46:$T$55,MATCH($E$3,'A.2. Performances_Bâtiment H2'!$D$46:$T$46,0),MATCH($E$4,'A.2. Performances_Bâtiment H2'!$D$46:$D$55,0))</f>
        <v>#N/A</v>
      </c>
      <c r="L10" s="75"/>
      <c r="M10" s="73" t="e">
        <f>INDEX('A.2. Performances_Bâtiment H2'!$D$46:$T$55,MATCH($E$3,'A.2. Performances_Bâtiment H2'!$D$46:$T$46,0),MATCH($E$4,'A.2. Performances_Bâtiment H2'!$D$46:$D$55,0))</f>
        <v>#N/A</v>
      </c>
      <c r="N10" s="73" t="e">
        <f>INDEX('A.2. Performances_Bâtiment H2'!$D$46:$T$55,MATCH($E$3,'A.2. Performances_Bâtiment H2'!$D$46:$T$46,0),MATCH($E$4,'A.2. Performances_Bâtiment H2'!$D$46:$D$55,0))</f>
        <v>#N/A</v>
      </c>
      <c r="O10" s="74" t="e">
        <f>INDEX('A.2. Performances_Bâtiment H2'!$D$46:$T$55,MATCH($E$3,'A.2. Performances_Bâtiment H2'!$D$46:$T$46,0),MATCH($E$4,'A.2. Performances_Bâtiment H2'!$D$46:$D$55,0))</f>
        <v>#N/A</v>
      </c>
      <c r="P10" s="75"/>
      <c r="Q10" s="73" t="e">
        <f>INDEX('A.2. Performances_Bâtiment H2'!$D$46:$T$55,MATCH($E$3,'A.2. Performances_Bâtiment H2'!$D$46:$T$46,0),MATCH($E$4,'A.2. Performances_Bâtiment H2'!$D$46:$D$55,0))</f>
        <v>#N/A</v>
      </c>
      <c r="R10" s="73" t="e">
        <f>INDEX('A.2. Performances_Bâtiment H2'!$D$46:$T$55,MATCH($E$3,'A.2. Performances_Bâtiment H2'!$D$46:$T$46,0),MATCH($E$4,'A.2. Performances_Bâtiment H2'!$D$46:$D$55,0))</f>
        <v>#N/A</v>
      </c>
      <c r="S10" s="74" t="e">
        <f>INDEX('A.2. Performances_Bâtiment H2'!$D$46:$T$55,MATCH($E$3,'A.2. Performances_Bâtiment H2'!$D$46:$T$46,0),MATCH($E$4,'A.2. Performances_Bâtiment H2'!$D$46:$D$55,0))</f>
        <v>#N/A</v>
      </c>
      <c r="T10" s="75"/>
      <c r="U10" s="73" t="e">
        <f>INDEX('A.2. Performances_Bâtiment H2'!$D$46:$T$55,MATCH($E$3,'A.2. Performances_Bâtiment H2'!$D$46:$T$46,0),MATCH($E$4,'A.2. Performances_Bâtiment H2'!$D$46:$D$55,0))</f>
        <v>#N/A</v>
      </c>
      <c r="V10" s="73" t="e">
        <f>INDEX('A.2. Performances_Bâtiment H2'!$D$46:$T$55,MATCH($E$3,'A.2. Performances_Bâtiment H2'!$D$46:$T$46,0),MATCH($E$4,'A.2. Performances_Bâtiment H2'!$D$46:$D$55,0))</f>
        <v>#N/A</v>
      </c>
      <c r="W10" s="74" t="e">
        <f>INDEX('A.2. Performances_Bâtiment H2'!$D$46:$T$55,MATCH($E$3,'A.2. Performances_Bâtiment H2'!$D$46:$T$46,0),MATCH($E$4,'A.2. Performances_Bâtiment H2'!$D$46:$D$55,0))</f>
        <v>#N/A</v>
      </c>
      <c r="X10" s="58" t="s">
        <v>3458</v>
      </c>
    </row>
    <row r="11" spans="2:24" ht="27.6" customHeight="1" x14ac:dyDescent="0.25">
      <c r="D11" s="65" t="s">
        <v>3460</v>
      </c>
      <c r="E11" s="76" t="e">
        <f>E9*-E10*'D.1. Facteur d''émissions'!#REF!/1000</f>
        <v>#REF!</v>
      </c>
      <c r="F11" s="76" t="e">
        <f>F9*-F10*'D.1. Facteur d''émissions'!#REF!/1000</f>
        <v>#N/A</v>
      </c>
      <c r="G11" s="77" t="e">
        <f>G9*-G10*'D.1. Facteur d''émissions'!#REF!/1000</f>
        <v>#N/A</v>
      </c>
      <c r="H11" s="78"/>
      <c r="I11" s="76" t="e">
        <f>I9*-I10*'D.1. Facteur d''émissions'!#REF!/1000</f>
        <v>#N/A</v>
      </c>
      <c r="J11" s="76" t="e">
        <f>J9*-J10*'D.1. Facteur d''émissions'!#REF!/1000</f>
        <v>#N/A</v>
      </c>
      <c r="K11" s="77" t="e">
        <f>K9*-K10*'D.1. Facteur d''émissions'!#REF!/1000</f>
        <v>#N/A</v>
      </c>
      <c r="L11" s="78"/>
      <c r="M11" s="76" t="e">
        <f>M9*-M10*'D.1. Facteur d''émissions'!#REF!/1000</f>
        <v>#N/A</v>
      </c>
      <c r="N11" s="76" t="e">
        <f>N9*-N10*'D.1. Facteur d''émissions'!#REF!/1000</f>
        <v>#N/A</v>
      </c>
      <c r="O11" s="77" t="e">
        <f>O9*-O10*'D.1. Facteur d''émissions'!#REF!/1000</f>
        <v>#N/A</v>
      </c>
      <c r="P11" s="78"/>
      <c r="Q11" s="76" t="e">
        <f>Q9*-Q10*'D.1. Facteur d''émissions'!#REF!/1000</f>
        <v>#N/A</v>
      </c>
      <c r="R11" s="76" t="e">
        <f>R9*-R10*'D.1. Facteur d''émissions'!#REF!/1000</f>
        <v>#N/A</v>
      </c>
      <c r="S11" s="77" t="e">
        <f>S9*-S10*'D.1. Facteur d''émissions'!#REF!/1000</f>
        <v>#N/A</v>
      </c>
      <c r="T11" s="78"/>
      <c r="U11" s="79" t="e">
        <f>U9*-U10*'D.1. Facteur d''émissions'!#REF!/1000</f>
        <v>#N/A</v>
      </c>
      <c r="V11" s="79" t="e">
        <f>V9*-V10*'D.1. Facteur d''émissions'!#REF!/1000</f>
        <v>#N/A</v>
      </c>
      <c r="W11" s="80" t="e">
        <f>W9*-W10*'D.1. Facteur d''émissions'!#REF!/1000</f>
        <v>#N/A</v>
      </c>
      <c r="X11" s="58" t="s">
        <v>3458</v>
      </c>
    </row>
    <row r="14" spans="2:24" x14ac:dyDescent="0.2">
      <c r="E14" s="61"/>
    </row>
  </sheetData>
  <mergeCells count="5">
    <mergeCell ref="E7:G7"/>
    <mergeCell ref="H7:K7"/>
    <mergeCell ref="M7:O7"/>
    <mergeCell ref="Q7:S7"/>
    <mergeCell ref="U7:W7"/>
  </mergeCells>
  <pageMargins left="0.7" right="0.7" top="0.75" bottom="0.75" header="0.3" footer="0.3"/>
  <extLst>
    <ext xmlns:x14="http://schemas.microsoft.com/office/spreadsheetml/2009/9/main" uri="{CCE6A557-97BC-4b89-ADB6-D9C93CAAB3DF}">
      <x14:dataValidations xmlns:xm="http://schemas.microsoft.com/office/excel/2006/main" disablePrompts="1" count="2">
        <x14:dataValidation type="list" showInputMessage="1" showErrorMessage="1" xr:uid="{12C9565E-EA47-485D-A5C9-8F439E9A4F19}">
          <x14:formula1>
            <xm:f>'A.1. Conso_bâtiment_EF H2'!#REF!</xm:f>
          </x14:formula1>
          <xm:sqref>E7</xm:sqref>
        </x14:dataValidation>
        <x14:dataValidation type="list" showInputMessage="1" showErrorMessage="1" xr:uid="{C334DA83-53D3-4A3A-88F2-C18C73A1DBC0}">
          <x14:formula1>
            <xm:f>'A.2. Performances_Bâtiment H2'!$D$47:$D$55</xm:f>
          </x14:formula1>
          <xm:sqref>E3:E4</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469F1-E5F9-4E0A-9DC3-79500D4C4491}">
  <dimension ref="C2:T65"/>
  <sheetViews>
    <sheetView showGridLines="0" topLeftCell="C13" zoomScale="80" zoomScaleNormal="80" workbookViewId="0">
      <selection activeCell="V15" sqref="V15"/>
    </sheetView>
  </sheetViews>
  <sheetFormatPr baseColWidth="10" defaultColWidth="11" defaultRowHeight="14.25" x14ac:dyDescent="0.2"/>
  <cols>
    <col min="3" max="3" width="14.875" customWidth="1"/>
    <col min="4" max="4" width="27.375" bestFit="1" customWidth="1"/>
    <col min="5" max="5" width="12.75" customWidth="1"/>
    <col min="6" max="6" width="15.25" customWidth="1"/>
    <col min="7" max="7" width="16.125" customWidth="1"/>
    <col min="8" max="8" width="25.375" bestFit="1" customWidth="1"/>
    <col min="9" max="11" width="25.375" customWidth="1"/>
    <col min="12" max="12" width="32.25" customWidth="1"/>
    <col min="13" max="15" width="26.375" customWidth="1"/>
    <col min="17" max="19" width="26.375" customWidth="1"/>
    <col min="20" max="20" width="17.125" customWidth="1"/>
  </cols>
  <sheetData>
    <row r="2" spans="4:19" ht="18" x14ac:dyDescent="0.25">
      <c r="D2" s="43" t="s">
        <v>162</v>
      </c>
    </row>
    <row r="5" spans="4:19" ht="15" x14ac:dyDescent="0.25">
      <c r="D5" s="38" t="s">
        <v>3461</v>
      </c>
      <c r="E5" s="39" t="s">
        <v>3267</v>
      </c>
      <c r="F5" s="39" t="s">
        <v>741</v>
      </c>
      <c r="G5" s="40" t="s">
        <v>3268</v>
      </c>
      <c r="H5" s="16"/>
      <c r="I5" s="16"/>
      <c r="J5" s="16"/>
      <c r="K5" s="16"/>
      <c r="L5" s="16"/>
      <c r="M5" s="16"/>
      <c r="N5" s="16"/>
      <c r="O5" s="16"/>
      <c r="Q5" s="16"/>
      <c r="R5" s="16"/>
      <c r="S5" s="16"/>
    </row>
    <row r="6" spans="4:19" ht="15" x14ac:dyDescent="0.25">
      <c r="D6" s="31" t="s">
        <v>3269</v>
      </c>
      <c r="E6" s="32" t="s">
        <v>3270</v>
      </c>
      <c r="F6" s="32" t="s">
        <v>3270</v>
      </c>
      <c r="G6" s="44" t="s">
        <v>3270</v>
      </c>
      <c r="H6" s="16"/>
      <c r="I6" s="16"/>
      <c r="J6" s="16"/>
      <c r="K6" s="16"/>
      <c r="L6" s="16"/>
      <c r="M6" s="16"/>
      <c r="N6" s="16"/>
      <c r="O6" s="16"/>
      <c r="Q6" s="16"/>
      <c r="R6" s="16"/>
      <c r="S6" s="16"/>
    </row>
    <row r="7" spans="4:19" ht="15" x14ac:dyDescent="0.25">
      <c r="D7" s="31" t="s">
        <v>3462</v>
      </c>
      <c r="E7" s="34">
        <v>70</v>
      </c>
      <c r="F7">
        <v>100</v>
      </c>
      <c r="G7" s="33">
        <v>200</v>
      </c>
    </row>
    <row r="8" spans="4:19" ht="15" x14ac:dyDescent="0.25">
      <c r="D8" s="31" t="s">
        <v>3463</v>
      </c>
      <c r="E8" s="34">
        <v>2</v>
      </c>
      <c r="F8">
        <v>3</v>
      </c>
      <c r="G8" s="33">
        <v>5</v>
      </c>
    </row>
    <row r="9" spans="4:19" ht="15" x14ac:dyDescent="0.25">
      <c r="D9" s="31" t="s">
        <v>3464</v>
      </c>
      <c r="E9" s="34"/>
      <c r="G9" s="33"/>
    </row>
    <row r="10" spans="4:19" ht="15" x14ac:dyDescent="0.25">
      <c r="D10" s="37" t="s">
        <v>3465</v>
      </c>
      <c r="E10" s="35"/>
      <c r="F10" s="2"/>
      <c r="G10" s="36"/>
    </row>
    <row r="11" spans="4:19" ht="15" x14ac:dyDescent="0.25">
      <c r="E11" s="17"/>
    </row>
    <row r="12" spans="4:19" ht="15.75" x14ac:dyDescent="0.25">
      <c r="D12" s="18" t="s">
        <v>3466</v>
      </c>
      <c r="E12" s="17"/>
    </row>
    <row r="13" spans="4:19" ht="15" x14ac:dyDescent="0.2">
      <c r="E13" s="20">
        <v>2023</v>
      </c>
      <c r="F13" s="20">
        <v>2024</v>
      </c>
      <c r="G13" s="20">
        <v>2025</v>
      </c>
      <c r="H13" s="20">
        <v>2026</v>
      </c>
      <c r="I13" s="20">
        <v>2027</v>
      </c>
      <c r="J13" s="20">
        <v>2028</v>
      </c>
      <c r="K13" s="20">
        <v>2029</v>
      </c>
      <c r="L13" s="20">
        <v>2030</v>
      </c>
    </row>
    <row r="14" spans="4:19" x14ac:dyDescent="0.2">
      <c r="D14" s="15" t="s">
        <v>3467</v>
      </c>
      <c r="E14" s="29"/>
      <c r="F14" s="29"/>
      <c r="G14" s="29"/>
      <c r="H14" s="29"/>
      <c r="I14" s="29"/>
      <c r="J14" s="29"/>
      <c r="K14" s="29"/>
      <c r="L14" s="29"/>
    </row>
    <row r="15" spans="4:19" ht="28.5" x14ac:dyDescent="0.2">
      <c r="D15" s="24" t="s">
        <v>3468</v>
      </c>
      <c r="E15" s="29"/>
      <c r="F15" s="29"/>
      <c r="G15" s="29"/>
      <c r="H15" s="29"/>
      <c r="I15" s="29"/>
      <c r="J15" s="29"/>
      <c r="K15" s="29"/>
      <c r="L15" s="29"/>
    </row>
    <row r="16" spans="4:19" x14ac:dyDescent="0.2">
      <c r="D16" s="15" t="s">
        <v>3469</v>
      </c>
      <c r="E16" s="29"/>
      <c r="F16" s="29"/>
      <c r="G16" s="29"/>
      <c r="H16" s="29"/>
      <c r="I16" s="29"/>
      <c r="J16" s="29"/>
      <c r="K16" s="29"/>
      <c r="L16" s="29"/>
    </row>
    <row r="20" spans="3:20" ht="15.75" x14ac:dyDescent="0.25">
      <c r="I20" s="1275" t="s">
        <v>3470</v>
      </c>
      <c r="J20" s="1275"/>
      <c r="K20" s="1275"/>
      <c r="L20" s="1275"/>
      <c r="M20" s="1274" t="s">
        <v>3305</v>
      </c>
      <c r="N20" s="1274"/>
      <c r="O20" s="1274"/>
    </row>
    <row r="21" spans="3:20" ht="15.75" x14ac:dyDescent="0.25">
      <c r="D21" s="18" t="s">
        <v>3471</v>
      </c>
      <c r="I21" s="1277" t="s">
        <v>145</v>
      </c>
      <c r="J21" s="1277"/>
      <c r="K21" s="1277"/>
      <c r="L21" s="27" t="s">
        <v>3472</v>
      </c>
      <c r="M21" s="1277" t="s">
        <v>3473</v>
      </c>
      <c r="N21" s="1277"/>
      <c r="O21" s="1277"/>
      <c r="Q21" s="1273" t="s">
        <v>3474</v>
      </c>
      <c r="R21" s="1273"/>
      <c r="S21" s="1273"/>
    </row>
    <row r="22" spans="3:20" ht="28.5" x14ac:dyDescent="0.25">
      <c r="D22" s="4" t="s">
        <v>284</v>
      </c>
      <c r="F22" s="4" t="s">
        <v>3475</v>
      </c>
      <c r="G22" s="4"/>
      <c r="H22" s="4"/>
      <c r="I22" s="14" t="s">
        <v>3476</v>
      </c>
      <c r="J22" s="14" t="s">
        <v>3477</v>
      </c>
      <c r="K22" s="14" t="s">
        <v>3478</v>
      </c>
      <c r="L22" s="14" t="s">
        <v>3479</v>
      </c>
      <c r="M22" s="14" t="s">
        <v>3476</v>
      </c>
      <c r="N22" s="14" t="s">
        <v>3477</v>
      </c>
      <c r="O22" s="14" t="s">
        <v>3478</v>
      </c>
      <c r="Q22" s="13" t="s">
        <v>3480</v>
      </c>
      <c r="R22" s="13" t="s">
        <v>3481</v>
      </c>
      <c r="S22" s="13" t="s">
        <v>3482</v>
      </c>
      <c r="T22" s="23" t="s">
        <v>3</v>
      </c>
    </row>
    <row r="23" spans="3:20" ht="18" x14ac:dyDescent="0.25">
      <c r="C23">
        <v>1</v>
      </c>
      <c r="D23" t="s">
        <v>972</v>
      </c>
      <c r="E23" s="5" t="s">
        <v>3483</v>
      </c>
      <c r="F23" t="s">
        <v>3484</v>
      </c>
      <c r="I23" s="25">
        <v>8000</v>
      </c>
      <c r="J23" s="25">
        <v>11000</v>
      </c>
      <c r="K23" s="25">
        <v>14000</v>
      </c>
      <c r="L23" s="28">
        <v>-0.3</v>
      </c>
      <c r="M23" s="3"/>
      <c r="N23" s="3"/>
      <c r="O23" s="3"/>
    </row>
    <row r="24" spans="3:20" ht="18" x14ac:dyDescent="0.25">
      <c r="C24">
        <v>2</v>
      </c>
      <c r="D24" t="s">
        <v>972</v>
      </c>
      <c r="E24" s="5" t="s">
        <v>3483</v>
      </c>
      <c r="F24" t="s">
        <v>3485</v>
      </c>
      <c r="I24" s="25">
        <v>8000</v>
      </c>
      <c r="J24" s="25">
        <v>11000</v>
      </c>
      <c r="K24" s="25">
        <v>14000</v>
      </c>
      <c r="L24" s="25"/>
      <c r="M24" s="3"/>
      <c r="N24" s="3"/>
      <c r="O24" s="3"/>
    </row>
    <row r="25" spans="3:20" ht="18" x14ac:dyDescent="0.25">
      <c r="C25">
        <v>3</v>
      </c>
      <c r="D25" t="s">
        <v>972</v>
      </c>
      <c r="E25" s="5" t="s">
        <v>3483</v>
      </c>
      <c r="F25" t="s">
        <v>3486</v>
      </c>
      <c r="I25" s="25">
        <v>8000</v>
      </c>
      <c r="J25" s="25">
        <v>11000</v>
      </c>
      <c r="K25" s="25">
        <v>14000</v>
      </c>
      <c r="L25" s="25"/>
      <c r="M25" s="3"/>
      <c r="N25" s="3"/>
      <c r="O25" s="3"/>
    </row>
    <row r="26" spans="3:20" ht="18" x14ac:dyDescent="0.25">
      <c r="C26">
        <v>4</v>
      </c>
      <c r="D26" t="s">
        <v>972</v>
      </c>
      <c r="E26" s="5" t="s">
        <v>3483</v>
      </c>
      <c r="F26" t="s">
        <v>3487</v>
      </c>
      <c r="I26" s="25">
        <v>8000</v>
      </c>
      <c r="J26" s="25">
        <v>11000</v>
      </c>
      <c r="K26" s="25">
        <v>14000</v>
      </c>
      <c r="L26" s="25"/>
      <c r="M26" s="3"/>
      <c r="N26" s="3"/>
      <c r="O26" s="3"/>
    </row>
    <row r="27" spans="3:20" ht="18" x14ac:dyDescent="0.25">
      <c r="C27" s="2">
        <v>5</v>
      </c>
      <c r="D27" s="2" t="s">
        <v>972</v>
      </c>
      <c r="E27" s="6" t="s">
        <v>3483</v>
      </c>
      <c r="F27" s="2" t="s">
        <v>3488</v>
      </c>
      <c r="G27" s="2"/>
      <c r="H27" s="2"/>
      <c r="I27" s="26">
        <v>8000</v>
      </c>
      <c r="J27" s="26">
        <v>11000</v>
      </c>
      <c r="K27" s="26">
        <v>14000</v>
      </c>
      <c r="L27" s="26"/>
      <c r="M27" s="7"/>
      <c r="N27" s="7"/>
      <c r="O27" s="7"/>
      <c r="Q27" s="2"/>
      <c r="R27" s="2"/>
      <c r="S27" s="2"/>
      <c r="T27" s="2"/>
    </row>
    <row r="28" spans="3:20" ht="18" x14ac:dyDescent="0.25">
      <c r="C28">
        <v>6</v>
      </c>
      <c r="D28" t="s">
        <v>724</v>
      </c>
      <c r="E28" s="5" t="s">
        <v>3483</v>
      </c>
      <c r="F28" t="s">
        <v>3489</v>
      </c>
      <c r="I28" s="25"/>
      <c r="J28" s="25"/>
      <c r="K28" s="25"/>
      <c r="L28" s="25"/>
      <c r="M28" s="3"/>
      <c r="N28" s="3"/>
      <c r="O28" s="3"/>
    </row>
    <row r="29" spans="3:20" ht="18" x14ac:dyDescent="0.25">
      <c r="C29">
        <v>7</v>
      </c>
      <c r="D29" t="s">
        <v>724</v>
      </c>
      <c r="E29" s="5" t="s">
        <v>3483</v>
      </c>
      <c r="F29" t="s">
        <v>3486</v>
      </c>
      <c r="I29" s="25"/>
      <c r="J29" s="25"/>
      <c r="K29" s="25"/>
      <c r="L29" s="25"/>
      <c r="M29" s="3"/>
      <c r="N29" s="3"/>
      <c r="O29" s="3"/>
    </row>
    <row r="30" spans="3:20" ht="18" x14ac:dyDescent="0.25">
      <c r="C30">
        <v>8</v>
      </c>
      <c r="D30" t="s">
        <v>724</v>
      </c>
      <c r="E30" s="5" t="s">
        <v>3483</v>
      </c>
      <c r="F30" t="s">
        <v>3487</v>
      </c>
      <c r="I30" s="25"/>
      <c r="J30" s="25"/>
      <c r="K30" s="25"/>
      <c r="L30" s="25"/>
      <c r="M30" s="3"/>
      <c r="N30" s="3"/>
      <c r="O30" s="3"/>
    </row>
    <row r="31" spans="3:20" ht="18" x14ac:dyDescent="0.25">
      <c r="C31" s="2">
        <v>9</v>
      </c>
      <c r="D31" s="2" t="s">
        <v>724</v>
      </c>
      <c r="E31" s="6" t="s">
        <v>3483</v>
      </c>
      <c r="F31" s="2" t="s">
        <v>3488</v>
      </c>
      <c r="G31" s="2"/>
      <c r="H31" s="2"/>
      <c r="I31" s="26"/>
      <c r="J31" s="26"/>
      <c r="K31" s="26"/>
      <c r="L31" s="26"/>
      <c r="M31" s="7"/>
      <c r="N31" s="7"/>
      <c r="O31" s="7"/>
      <c r="Q31" s="2"/>
      <c r="R31" s="2"/>
      <c r="S31" s="2"/>
      <c r="T31" s="2"/>
    </row>
    <row r="32" spans="3:20" ht="18" x14ac:dyDescent="0.25">
      <c r="C32">
        <v>10</v>
      </c>
      <c r="D32" t="s">
        <v>3490</v>
      </c>
      <c r="E32" s="5" t="s">
        <v>3483</v>
      </c>
      <c r="F32" t="s">
        <v>3484</v>
      </c>
      <c r="I32" s="25"/>
      <c r="J32" s="25"/>
      <c r="K32" s="25"/>
      <c r="L32" s="25"/>
      <c r="M32" s="3"/>
      <c r="N32" s="3"/>
      <c r="O32" s="3"/>
    </row>
    <row r="33" spans="3:20" ht="18" x14ac:dyDescent="0.25">
      <c r="C33">
        <v>11</v>
      </c>
      <c r="D33" t="s">
        <v>3490</v>
      </c>
      <c r="E33" s="5" t="s">
        <v>3483</v>
      </c>
      <c r="F33" t="s">
        <v>3489</v>
      </c>
      <c r="I33" s="25"/>
      <c r="J33" s="25"/>
      <c r="K33" s="25"/>
      <c r="L33" s="25"/>
      <c r="M33" s="3"/>
      <c r="N33" s="3"/>
      <c r="O33" s="3"/>
    </row>
    <row r="34" spans="3:20" ht="18" x14ac:dyDescent="0.25">
      <c r="C34">
        <v>12</v>
      </c>
      <c r="D34" t="s">
        <v>3490</v>
      </c>
      <c r="E34" s="5" t="s">
        <v>3483</v>
      </c>
      <c r="F34" t="s">
        <v>3486</v>
      </c>
      <c r="I34" s="25"/>
      <c r="J34" s="25"/>
      <c r="K34" s="25"/>
      <c r="L34" s="25"/>
      <c r="M34" s="3"/>
      <c r="N34" s="3"/>
      <c r="O34" s="3"/>
    </row>
    <row r="35" spans="3:20" ht="18" x14ac:dyDescent="0.25">
      <c r="C35">
        <v>13</v>
      </c>
      <c r="D35" t="s">
        <v>3490</v>
      </c>
      <c r="E35" s="5" t="s">
        <v>3483</v>
      </c>
      <c r="F35" t="s">
        <v>3487</v>
      </c>
      <c r="I35" s="25"/>
      <c r="J35" s="25"/>
      <c r="K35" s="25"/>
      <c r="L35" s="25"/>
      <c r="M35" s="3"/>
      <c r="N35" s="3"/>
      <c r="O35" s="3"/>
    </row>
    <row r="36" spans="3:20" ht="18" x14ac:dyDescent="0.25">
      <c r="C36" s="2">
        <v>14</v>
      </c>
      <c r="D36" s="2" t="s">
        <v>3490</v>
      </c>
      <c r="E36" s="6" t="s">
        <v>3483</v>
      </c>
      <c r="F36" s="2" t="s">
        <v>3488</v>
      </c>
      <c r="G36" s="2"/>
      <c r="H36" s="2"/>
      <c r="I36" s="26"/>
      <c r="J36" s="26"/>
      <c r="K36" s="26"/>
      <c r="L36" s="26"/>
      <c r="M36" s="7"/>
      <c r="N36" s="7"/>
      <c r="O36" s="7"/>
      <c r="Q36" s="2"/>
      <c r="R36" s="2"/>
      <c r="S36" s="2"/>
      <c r="T36" s="2"/>
    </row>
    <row r="42" spans="3:20" ht="15" x14ac:dyDescent="0.2">
      <c r="E42" s="20">
        <v>2023</v>
      </c>
      <c r="F42" s="20">
        <v>2024</v>
      </c>
      <c r="G42" s="20">
        <v>2025</v>
      </c>
      <c r="H42" s="20">
        <v>2026</v>
      </c>
      <c r="I42" s="20">
        <v>2027</v>
      </c>
      <c r="J42" s="20">
        <v>2028</v>
      </c>
      <c r="K42" s="20">
        <v>2029</v>
      </c>
      <c r="L42" s="20">
        <v>2030</v>
      </c>
    </row>
    <row r="43" spans="3:20" x14ac:dyDescent="0.2">
      <c r="C43" s="1276" t="s">
        <v>3491</v>
      </c>
      <c r="D43" s="15" t="s">
        <v>3467</v>
      </c>
      <c r="E43" s="29"/>
      <c r="F43" s="29"/>
      <c r="G43" s="29"/>
      <c r="H43" s="29"/>
      <c r="I43" s="29"/>
      <c r="J43" s="29"/>
      <c r="K43" s="29"/>
      <c r="L43" s="29"/>
    </row>
    <row r="44" spans="3:20" ht="28.5" x14ac:dyDescent="0.2">
      <c r="C44" s="1276"/>
      <c r="D44" s="24" t="s">
        <v>3468</v>
      </c>
      <c r="E44" s="29"/>
      <c r="F44" s="29"/>
      <c r="G44" s="29"/>
      <c r="H44" s="29"/>
      <c r="I44" s="29"/>
      <c r="J44" s="29"/>
      <c r="K44" s="29"/>
      <c r="L44" s="29"/>
    </row>
    <row r="45" spans="3:20" x14ac:dyDescent="0.2">
      <c r="C45" s="1276"/>
      <c r="D45" s="15" t="s">
        <v>3469</v>
      </c>
      <c r="E45" s="29"/>
      <c r="F45" s="29"/>
      <c r="G45" s="29"/>
      <c r="H45" s="29"/>
      <c r="I45" s="29"/>
      <c r="J45" s="29"/>
      <c r="K45" s="29"/>
      <c r="L45" s="29"/>
    </row>
    <row r="46" spans="3:20" ht="6.95" customHeight="1" x14ac:dyDescent="0.2">
      <c r="C46" s="30"/>
    </row>
    <row r="47" spans="3:20" x14ac:dyDescent="0.2">
      <c r="C47" s="1276" t="s">
        <v>3492</v>
      </c>
      <c r="D47" s="15" t="s">
        <v>3467</v>
      </c>
      <c r="E47" s="29"/>
      <c r="F47" s="29"/>
      <c r="G47" s="29"/>
      <c r="H47" s="29"/>
      <c r="I47" s="29"/>
      <c r="J47" s="29"/>
      <c r="K47" s="29"/>
      <c r="L47" s="29"/>
    </row>
    <row r="48" spans="3:20" ht="28.5" x14ac:dyDescent="0.2">
      <c r="C48" s="1276"/>
      <c r="D48" s="24" t="s">
        <v>3468</v>
      </c>
      <c r="E48" s="29"/>
      <c r="F48" s="29"/>
      <c r="G48" s="29"/>
      <c r="H48" s="29"/>
      <c r="I48" s="29"/>
      <c r="J48" s="29"/>
      <c r="K48" s="29"/>
      <c r="L48" s="29"/>
    </row>
    <row r="49" spans="3:12" x14ac:dyDescent="0.2">
      <c r="C49" s="1276"/>
      <c r="D49" s="15" t="s">
        <v>3469</v>
      </c>
      <c r="E49" s="29"/>
      <c r="F49" s="29"/>
      <c r="G49" s="29"/>
      <c r="H49" s="29"/>
      <c r="I49" s="29"/>
      <c r="J49" s="29"/>
      <c r="K49" s="29"/>
      <c r="L49" s="29"/>
    </row>
    <row r="50" spans="3:12" ht="6.95" customHeight="1" x14ac:dyDescent="0.2">
      <c r="C50" s="30"/>
    </row>
    <row r="51" spans="3:12" x14ac:dyDescent="0.2">
      <c r="C51" s="1276" t="s">
        <v>3493</v>
      </c>
      <c r="D51" s="15" t="s">
        <v>3467</v>
      </c>
      <c r="E51" s="29"/>
      <c r="F51" s="29"/>
      <c r="G51" s="29"/>
      <c r="H51" s="29"/>
      <c r="I51" s="29"/>
      <c r="J51" s="29"/>
      <c r="K51" s="29"/>
      <c r="L51" s="29"/>
    </row>
    <row r="52" spans="3:12" ht="28.5" x14ac:dyDescent="0.2">
      <c r="C52" s="1276"/>
      <c r="D52" s="24" t="s">
        <v>3468</v>
      </c>
      <c r="E52" s="29"/>
      <c r="F52" s="29"/>
      <c r="G52" s="29"/>
      <c r="H52" s="29"/>
      <c r="I52" s="29"/>
      <c r="J52" s="29"/>
      <c r="K52" s="29"/>
      <c r="L52" s="29"/>
    </row>
    <row r="53" spans="3:12" x14ac:dyDescent="0.2">
      <c r="C53" s="1276"/>
      <c r="D53" s="15" t="s">
        <v>3469</v>
      </c>
      <c r="E53" s="29"/>
      <c r="F53" s="29"/>
      <c r="G53" s="29"/>
      <c r="H53" s="29"/>
      <c r="I53" s="29"/>
      <c r="J53" s="29"/>
      <c r="K53" s="29"/>
      <c r="L53" s="29"/>
    </row>
    <row r="54" spans="3:12" ht="6.95" customHeight="1" x14ac:dyDescent="0.2">
      <c r="C54" s="30"/>
    </row>
    <row r="55" spans="3:12" x14ac:dyDescent="0.2">
      <c r="C55" s="1276" t="s">
        <v>3494</v>
      </c>
      <c r="D55" s="15" t="s">
        <v>3467</v>
      </c>
      <c r="E55" s="29"/>
      <c r="F55" s="29"/>
      <c r="G55" s="29"/>
      <c r="H55" s="29"/>
      <c r="I55" s="29"/>
      <c r="J55" s="29"/>
      <c r="K55" s="29"/>
      <c r="L55" s="29"/>
    </row>
    <row r="56" spans="3:12" ht="28.5" x14ac:dyDescent="0.2">
      <c r="C56" s="1276"/>
      <c r="D56" s="24" t="s">
        <v>3468</v>
      </c>
      <c r="E56" s="29"/>
      <c r="F56" s="29"/>
      <c r="G56" s="29"/>
      <c r="H56" s="29"/>
      <c r="I56" s="29"/>
      <c r="J56" s="29"/>
      <c r="K56" s="29"/>
      <c r="L56" s="29"/>
    </row>
    <row r="57" spans="3:12" x14ac:dyDescent="0.2">
      <c r="C57" s="1276"/>
      <c r="D57" s="15" t="s">
        <v>3469</v>
      </c>
      <c r="E57" s="29"/>
      <c r="F57" s="29"/>
      <c r="G57" s="29"/>
      <c r="H57" s="29"/>
      <c r="I57" s="29"/>
      <c r="J57" s="29"/>
      <c r="K57" s="29"/>
      <c r="L57" s="29"/>
    </row>
    <row r="58" spans="3:12" ht="6.95" customHeight="1" x14ac:dyDescent="0.2">
      <c r="C58" s="30"/>
    </row>
    <row r="59" spans="3:12" x14ac:dyDescent="0.2">
      <c r="C59" s="1276" t="s">
        <v>3495</v>
      </c>
      <c r="D59" s="15" t="s">
        <v>3467</v>
      </c>
      <c r="E59" s="29"/>
      <c r="F59" s="29"/>
      <c r="G59" s="29"/>
      <c r="H59" s="29"/>
      <c r="I59" s="29"/>
      <c r="J59" s="29"/>
      <c r="K59" s="29"/>
      <c r="L59" s="29"/>
    </row>
    <row r="60" spans="3:12" ht="28.5" x14ac:dyDescent="0.2">
      <c r="C60" s="1276"/>
      <c r="D60" s="24" t="s">
        <v>3468</v>
      </c>
      <c r="E60" s="29"/>
      <c r="F60" s="29"/>
      <c r="G60" s="29"/>
      <c r="H60" s="29"/>
      <c r="I60" s="29"/>
      <c r="J60" s="29"/>
      <c r="K60" s="29"/>
      <c r="L60" s="29"/>
    </row>
    <row r="61" spans="3:12" x14ac:dyDescent="0.2">
      <c r="C61" s="1276"/>
      <c r="D61" s="15" t="s">
        <v>3469</v>
      </c>
      <c r="E61" s="29"/>
      <c r="F61" s="29"/>
      <c r="G61" s="29"/>
      <c r="H61" s="29"/>
      <c r="I61" s="29"/>
      <c r="J61" s="29"/>
      <c r="K61" s="29"/>
      <c r="L61" s="29"/>
    </row>
    <row r="62" spans="3:12" ht="6.95" customHeight="1" x14ac:dyDescent="0.2">
      <c r="C62" s="30"/>
    </row>
    <row r="63" spans="3:12" x14ac:dyDescent="0.2">
      <c r="C63" s="1276" t="s">
        <v>3496</v>
      </c>
      <c r="D63" s="15" t="s">
        <v>3467</v>
      </c>
      <c r="E63" s="29"/>
      <c r="F63" s="29"/>
      <c r="G63" s="29"/>
      <c r="H63" s="29"/>
      <c r="I63" s="29"/>
      <c r="J63" s="29"/>
      <c r="K63" s="29"/>
      <c r="L63" s="29"/>
    </row>
    <row r="64" spans="3:12" ht="28.5" x14ac:dyDescent="0.2">
      <c r="C64" s="1276"/>
      <c r="D64" s="24" t="s">
        <v>3468</v>
      </c>
      <c r="E64" s="29"/>
      <c r="F64" s="29"/>
      <c r="G64" s="29"/>
      <c r="H64" s="29"/>
      <c r="I64" s="29"/>
      <c r="J64" s="29"/>
      <c r="K64" s="29"/>
      <c r="L64" s="29"/>
    </row>
    <row r="65" spans="3:12" x14ac:dyDescent="0.2">
      <c r="C65" s="1276"/>
      <c r="D65" s="15" t="s">
        <v>3469</v>
      </c>
      <c r="E65" s="29"/>
      <c r="F65" s="29"/>
      <c r="G65" s="29"/>
      <c r="H65" s="29"/>
      <c r="I65" s="29"/>
      <c r="J65" s="29"/>
      <c r="K65" s="29"/>
      <c r="L65" s="29"/>
    </row>
  </sheetData>
  <mergeCells count="11">
    <mergeCell ref="C51:C53"/>
    <mergeCell ref="C55:C57"/>
    <mergeCell ref="C59:C61"/>
    <mergeCell ref="C63:C65"/>
    <mergeCell ref="M21:O21"/>
    <mergeCell ref="I21:K21"/>
    <mergeCell ref="Q21:S21"/>
    <mergeCell ref="M20:O20"/>
    <mergeCell ref="I20:L20"/>
    <mergeCell ref="C43:C45"/>
    <mergeCell ref="C47:C49"/>
  </mergeCells>
  <phoneticPr fontId="12" type="noConversion"/>
  <pageMargins left="0.7" right="0.7" top="0.75" bottom="0.75" header="0.3" footer="0.3"/>
  <pageSetup paperSize="9" orientation="portrait" verticalDpi="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F5E72-BC05-4988-9FD8-A727BD7D24BF}">
  <dimension ref="C2:S69"/>
  <sheetViews>
    <sheetView showGridLines="0" topLeftCell="C12" zoomScale="55" zoomScaleNormal="55" workbookViewId="0">
      <selection activeCell="V15" sqref="V15"/>
    </sheetView>
  </sheetViews>
  <sheetFormatPr baseColWidth="10" defaultColWidth="11" defaultRowHeight="14.25" x14ac:dyDescent="0.2"/>
  <cols>
    <col min="4" max="4" width="36" bestFit="1" customWidth="1"/>
    <col min="5" max="5" width="10.25" bestFit="1" customWidth="1"/>
    <col min="6" max="6" width="19" customWidth="1"/>
    <col min="7" max="7" width="20.25" customWidth="1"/>
    <col min="8" max="8" width="23.25" customWidth="1"/>
    <col min="9" max="13" width="21" customWidth="1"/>
    <col min="14" max="14" width="26.375" customWidth="1"/>
    <col min="15" max="15" width="21" customWidth="1"/>
    <col min="17" max="19" width="15.375" customWidth="1"/>
  </cols>
  <sheetData>
    <row r="2" spans="4:14" ht="18" x14ac:dyDescent="0.25">
      <c r="D2" s="43" t="s">
        <v>163</v>
      </c>
    </row>
    <row r="5" spans="4:14" ht="15" x14ac:dyDescent="0.25">
      <c r="D5" s="38" t="s">
        <v>3497</v>
      </c>
      <c r="E5" s="39" t="s">
        <v>3498</v>
      </c>
      <c r="F5" s="39" t="s">
        <v>3499</v>
      </c>
      <c r="G5" s="40" t="s">
        <v>3500</v>
      </c>
      <c r="H5" s="16"/>
      <c r="I5" s="16"/>
      <c r="J5" s="16"/>
      <c r="K5" s="16"/>
      <c r="L5" s="16"/>
      <c r="M5" s="16"/>
      <c r="N5" s="16"/>
    </row>
    <row r="6" spans="4:14" ht="15" x14ac:dyDescent="0.25">
      <c r="D6" s="31" t="s">
        <v>3269</v>
      </c>
      <c r="E6" s="32" t="s">
        <v>3270</v>
      </c>
      <c r="F6" s="32" t="s">
        <v>3270</v>
      </c>
      <c r="G6" s="44" t="s">
        <v>3270</v>
      </c>
      <c r="H6" s="16"/>
      <c r="I6" s="16"/>
      <c r="J6" s="16"/>
      <c r="K6" s="16"/>
      <c r="L6" s="16"/>
      <c r="M6" s="16"/>
      <c r="N6" s="16"/>
    </row>
    <row r="7" spans="4:14" ht="15" x14ac:dyDescent="0.25">
      <c r="D7" s="31" t="s">
        <v>3462</v>
      </c>
      <c r="E7" s="34">
        <v>70</v>
      </c>
      <c r="F7" s="1">
        <v>100</v>
      </c>
      <c r="G7" s="45">
        <v>150</v>
      </c>
    </row>
    <row r="8" spans="4:14" ht="15" x14ac:dyDescent="0.25">
      <c r="D8" s="31" t="s">
        <v>3463</v>
      </c>
      <c r="E8" s="34">
        <v>2</v>
      </c>
      <c r="G8" s="33"/>
    </row>
    <row r="9" spans="4:14" ht="15" x14ac:dyDescent="0.25">
      <c r="D9" s="31" t="s">
        <v>3464</v>
      </c>
      <c r="E9" s="34"/>
      <c r="G9" s="33"/>
    </row>
    <row r="10" spans="4:14" ht="15" x14ac:dyDescent="0.25">
      <c r="D10" s="37" t="s">
        <v>3465</v>
      </c>
      <c r="E10" s="35"/>
      <c r="F10" s="2"/>
      <c r="G10" s="36"/>
    </row>
    <row r="11" spans="4:14" ht="15" x14ac:dyDescent="0.25">
      <c r="E11" s="34"/>
    </row>
    <row r="12" spans="4:14" ht="15" x14ac:dyDescent="0.25">
      <c r="E12" s="34"/>
    </row>
    <row r="13" spans="4:14" ht="15.75" x14ac:dyDescent="0.25">
      <c r="D13" s="18" t="s">
        <v>3501</v>
      </c>
      <c r="E13" s="17"/>
    </row>
    <row r="14" spans="4:14" ht="15" x14ac:dyDescent="0.2">
      <c r="E14" s="20">
        <v>2023</v>
      </c>
      <c r="F14" s="20">
        <v>2024</v>
      </c>
      <c r="G14" s="20">
        <v>2025</v>
      </c>
      <c r="H14" s="20">
        <v>2026</v>
      </c>
      <c r="I14" s="20">
        <v>2027</v>
      </c>
      <c r="J14" s="20">
        <v>2028</v>
      </c>
      <c r="K14" s="20">
        <v>2029</v>
      </c>
      <c r="L14" s="20">
        <v>2030</v>
      </c>
    </row>
    <row r="15" spans="4:14" x14ac:dyDescent="0.2">
      <c r="D15" s="15" t="s">
        <v>3467</v>
      </c>
      <c r="E15" s="41"/>
      <c r="F15" s="41"/>
      <c r="G15" s="41"/>
      <c r="H15" s="41"/>
      <c r="I15" s="41"/>
      <c r="J15" s="41"/>
      <c r="K15" s="41"/>
      <c r="L15" s="41"/>
    </row>
    <row r="16" spans="4:14" x14ac:dyDescent="0.2">
      <c r="D16" s="15" t="s">
        <v>3468</v>
      </c>
      <c r="E16" s="41"/>
      <c r="F16" s="41"/>
      <c r="G16" s="41"/>
      <c r="H16" s="41"/>
      <c r="I16" s="41"/>
      <c r="J16" s="41"/>
      <c r="K16" s="41"/>
      <c r="L16" s="41"/>
    </row>
    <row r="17" spans="3:19" x14ac:dyDescent="0.2">
      <c r="D17" s="15" t="s">
        <v>3469</v>
      </c>
      <c r="E17" s="41"/>
      <c r="F17" s="41"/>
      <c r="G17" s="41"/>
      <c r="H17" s="41"/>
      <c r="I17" s="41"/>
      <c r="J17" s="41"/>
      <c r="K17" s="41"/>
      <c r="L17" s="41"/>
    </row>
    <row r="24" spans="3:19" ht="15.75" x14ac:dyDescent="0.25">
      <c r="D24" s="18" t="s">
        <v>3471</v>
      </c>
      <c r="I24" s="1275" t="s">
        <v>3470</v>
      </c>
      <c r="J24" s="1275"/>
      <c r="K24" s="1275"/>
      <c r="L24" s="1275"/>
      <c r="M24" s="1274" t="s">
        <v>3305</v>
      </c>
      <c r="N24" s="1274"/>
      <c r="O24" s="1274"/>
    </row>
    <row r="25" spans="3:19" ht="15" x14ac:dyDescent="0.25">
      <c r="D25" s="1"/>
      <c r="I25" s="1277" t="s">
        <v>145</v>
      </c>
      <c r="J25" s="1277"/>
      <c r="K25" s="1277"/>
      <c r="L25" s="27" t="s">
        <v>3472</v>
      </c>
      <c r="M25" s="1277" t="s">
        <v>3473</v>
      </c>
      <c r="N25" s="1277"/>
      <c r="O25" s="1277"/>
      <c r="Q25" s="1273" t="s">
        <v>3474</v>
      </c>
      <c r="R25" s="1273"/>
      <c r="S25" s="1273"/>
    </row>
    <row r="26" spans="3:19" ht="42.75" x14ac:dyDescent="0.25">
      <c r="D26" s="4" t="s">
        <v>284</v>
      </c>
      <c r="F26" s="4" t="s">
        <v>3475</v>
      </c>
      <c r="G26" s="4"/>
      <c r="H26" s="4"/>
      <c r="I26" s="14" t="s">
        <v>3502</v>
      </c>
      <c r="J26" s="14" t="s">
        <v>3503</v>
      </c>
      <c r="K26" s="14" t="s">
        <v>3504</v>
      </c>
      <c r="L26" s="14" t="s">
        <v>3479</v>
      </c>
      <c r="M26" s="14" t="s">
        <v>3502</v>
      </c>
      <c r="N26" s="14" t="s">
        <v>3503</v>
      </c>
      <c r="O26" s="14" t="s">
        <v>3504</v>
      </c>
      <c r="Q26" s="13" t="s">
        <v>3480</v>
      </c>
      <c r="R26" s="13" t="s">
        <v>3481</v>
      </c>
      <c r="S26" s="13" t="s">
        <v>3482</v>
      </c>
    </row>
    <row r="27" spans="3:19" ht="18" x14ac:dyDescent="0.25">
      <c r="C27">
        <v>1</v>
      </c>
      <c r="D27" t="s">
        <v>3505</v>
      </c>
      <c r="E27" s="5" t="s">
        <v>3483</v>
      </c>
      <c r="F27" t="s">
        <v>3484</v>
      </c>
      <c r="I27" s="25"/>
      <c r="J27" s="25"/>
      <c r="K27" s="25"/>
      <c r="L27" s="28"/>
      <c r="M27" s="3" t="e">
        <f>I27*$L$24*'D.1. Facteur d''émissions'!#REF!/1000</f>
        <v>#REF!</v>
      </c>
      <c r="N27" s="3" t="e">
        <f>J27*$L$24*'D.1. Facteur d''émissions'!#REF!/1000</f>
        <v>#REF!</v>
      </c>
      <c r="O27" s="3" t="e">
        <f>K27*$L$24*'D.1. Facteur d''émissions'!#REF!/1000</f>
        <v>#REF!</v>
      </c>
    </row>
    <row r="28" spans="3:19" ht="18" x14ac:dyDescent="0.25">
      <c r="C28">
        <v>2</v>
      </c>
      <c r="D28" t="s">
        <v>3505</v>
      </c>
      <c r="E28" s="5" t="s">
        <v>3483</v>
      </c>
      <c r="F28" t="s">
        <v>3489</v>
      </c>
      <c r="I28" s="25"/>
      <c r="J28" s="25"/>
      <c r="K28" s="25"/>
      <c r="L28" s="25"/>
      <c r="M28" s="3"/>
      <c r="N28" s="3"/>
      <c r="O28" s="3"/>
    </row>
    <row r="29" spans="3:19" ht="18" x14ac:dyDescent="0.25">
      <c r="C29">
        <v>3</v>
      </c>
      <c r="D29" t="s">
        <v>3505</v>
      </c>
      <c r="E29" s="5" t="s">
        <v>3483</v>
      </c>
      <c r="F29" t="s">
        <v>3486</v>
      </c>
      <c r="I29" s="25"/>
      <c r="J29" s="25"/>
      <c r="K29" s="25"/>
      <c r="L29" s="25"/>
      <c r="M29" s="3"/>
      <c r="N29" s="3"/>
      <c r="O29" s="3"/>
    </row>
    <row r="30" spans="3:19" ht="18" x14ac:dyDescent="0.25">
      <c r="C30">
        <v>4</v>
      </c>
      <c r="D30" t="s">
        <v>3505</v>
      </c>
      <c r="E30" s="5" t="s">
        <v>3483</v>
      </c>
      <c r="F30" t="s">
        <v>3487</v>
      </c>
      <c r="I30" s="25"/>
      <c r="J30" s="25"/>
      <c r="K30" s="25"/>
      <c r="L30" s="25"/>
      <c r="M30" s="3"/>
      <c r="N30" s="3"/>
      <c r="O30" s="3"/>
    </row>
    <row r="31" spans="3:19" ht="18" x14ac:dyDescent="0.25">
      <c r="C31" s="2">
        <v>5</v>
      </c>
      <c r="D31" s="2" t="s">
        <v>3505</v>
      </c>
      <c r="E31" s="6" t="s">
        <v>3483</v>
      </c>
      <c r="F31" s="2" t="s">
        <v>3488</v>
      </c>
      <c r="G31" s="2"/>
      <c r="H31" s="2"/>
      <c r="I31" s="26"/>
      <c r="J31" s="26"/>
      <c r="K31" s="26"/>
      <c r="L31" s="26"/>
      <c r="M31" s="7"/>
      <c r="N31" s="7"/>
      <c r="O31" s="7"/>
      <c r="Q31" s="2"/>
      <c r="R31" s="2"/>
      <c r="S31" s="2"/>
    </row>
    <row r="32" spans="3:19" ht="18" x14ac:dyDescent="0.25">
      <c r="C32">
        <v>6</v>
      </c>
      <c r="D32" t="s">
        <v>3506</v>
      </c>
      <c r="E32" s="5" t="s">
        <v>3483</v>
      </c>
      <c r="F32" t="s">
        <v>3507</v>
      </c>
      <c r="I32" s="25"/>
      <c r="J32" s="25"/>
      <c r="K32" s="25"/>
      <c r="L32" s="25"/>
      <c r="M32" s="3"/>
      <c r="N32" s="3"/>
      <c r="O32" s="3"/>
    </row>
    <row r="33" spans="3:19" ht="18" x14ac:dyDescent="0.25">
      <c r="C33">
        <v>7</v>
      </c>
      <c r="D33" t="s">
        <v>3506</v>
      </c>
      <c r="E33" s="5" t="s">
        <v>3483</v>
      </c>
      <c r="F33" t="s">
        <v>3486</v>
      </c>
      <c r="I33" s="25"/>
      <c r="J33" s="25"/>
      <c r="K33" s="25"/>
      <c r="L33" s="25"/>
      <c r="M33" s="3"/>
      <c r="N33" s="3"/>
      <c r="O33" s="3"/>
    </row>
    <row r="34" spans="3:19" ht="18" x14ac:dyDescent="0.25">
      <c r="C34">
        <v>8</v>
      </c>
      <c r="D34" t="s">
        <v>3506</v>
      </c>
      <c r="E34" s="5" t="s">
        <v>3483</v>
      </c>
      <c r="F34" t="s">
        <v>3487</v>
      </c>
      <c r="I34" s="25"/>
      <c r="J34" s="25"/>
      <c r="K34" s="25"/>
      <c r="L34" s="25"/>
      <c r="M34" s="3"/>
      <c r="N34" s="3"/>
      <c r="O34" s="3"/>
    </row>
    <row r="35" spans="3:19" ht="18" x14ac:dyDescent="0.25">
      <c r="C35" s="2">
        <v>9</v>
      </c>
      <c r="D35" s="2" t="s">
        <v>3506</v>
      </c>
      <c r="E35" s="6" t="s">
        <v>3483</v>
      </c>
      <c r="F35" s="2" t="s">
        <v>3488</v>
      </c>
      <c r="G35" s="2"/>
      <c r="H35" s="2"/>
      <c r="I35" s="26"/>
      <c r="J35" s="26"/>
      <c r="K35" s="26"/>
      <c r="L35" s="26"/>
      <c r="M35" s="7"/>
      <c r="N35" s="7"/>
      <c r="O35" s="7"/>
      <c r="Q35" s="2"/>
      <c r="R35" s="2"/>
      <c r="S35" s="2"/>
    </row>
    <row r="36" spans="3:19" ht="18" x14ac:dyDescent="0.25">
      <c r="C36">
        <v>10</v>
      </c>
      <c r="D36" t="s">
        <v>3490</v>
      </c>
      <c r="E36" s="5" t="s">
        <v>3483</v>
      </c>
      <c r="F36" t="s">
        <v>3484</v>
      </c>
      <c r="I36" s="25"/>
      <c r="J36" s="25"/>
      <c r="K36" s="25"/>
      <c r="L36" s="25"/>
      <c r="M36" s="3"/>
      <c r="N36" s="3"/>
      <c r="O36" s="3"/>
    </row>
    <row r="37" spans="3:19" ht="18" x14ac:dyDescent="0.25">
      <c r="C37">
        <v>11</v>
      </c>
      <c r="D37" t="s">
        <v>3490</v>
      </c>
      <c r="E37" s="5" t="s">
        <v>3483</v>
      </c>
      <c r="F37" t="s">
        <v>3489</v>
      </c>
      <c r="I37" s="25"/>
      <c r="J37" s="25"/>
      <c r="K37" s="25"/>
      <c r="L37" s="25"/>
      <c r="M37" s="3"/>
      <c r="N37" s="3"/>
      <c r="O37" s="3"/>
    </row>
    <row r="38" spans="3:19" ht="18" x14ac:dyDescent="0.25">
      <c r="C38">
        <v>12</v>
      </c>
      <c r="D38" t="s">
        <v>3490</v>
      </c>
      <c r="E38" s="5" t="s">
        <v>3483</v>
      </c>
      <c r="F38" t="s">
        <v>3486</v>
      </c>
      <c r="I38" s="25"/>
      <c r="J38" s="25"/>
      <c r="K38" s="25"/>
      <c r="L38" s="25"/>
      <c r="M38" s="3"/>
      <c r="N38" s="3"/>
      <c r="O38" s="3"/>
    </row>
    <row r="39" spans="3:19" ht="18" x14ac:dyDescent="0.25">
      <c r="C39">
        <v>13</v>
      </c>
      <c r="D39" t="s">
        <v>3490</v>
      </c>
      <c r="E39" s="5" t="s">
        <v>3483</v>
      </c>
      <c r="F39" t="s">
        <v>3487</v>
      </c>
      <c r="I39" s="25"/>
      <c r="J39" s="25"/>
      <c r="K39" s="25"/>
      <c r="L39" s="25"/>
      <c r="M39" s="3"/>
      <c r="N39" s="3"/>
      <c r="O39" s="3"/>
    </row>
    <row r="40" spans="3:19" ht="18" x14ac:dyDescent="0.25">
      <c r="C40" s="2">
        <v>14</v>
      </c>
      <c r="D40" s="2" t="s">
        <v>3490</v>
      </c>
      <c r="E40" s="6" t="s">
        <v>3483</v>
      </c>
      <c r="F40" s="2" t="s">
        <v>3488</v>
      </c>
      <c r="G40" s="2"/>
      <c r="H40" s="2"/>
      <c r="I40" s="26"/>
      <c r="J40" s="26"/>
      <c r="K40" s="26"/>
      <c r="L40" s="26"/>
      <c r="M40" s="7"/>
      <c r="N40" s="7"/>
      <c r="O40" s="7"/>
      <c r="Q40" s="2"/>
      <c r="R40" s="2"/>
      <c r="S40" s="2"/>
    </row>
    <row r="46" spans="3:19" ht="15" x14ac:dyDescent="0.2">
      <c r="E46" s="20">
        <v>2023</v>
      </c>
      <c r="F46" s="20">
        <v>2024</v>
      </c>
      <c r="G46" s="20">
        <v>2025</v>
      </c>
      <c r="H46" s="20">
        <v>2026</v>
      </c>
      <c r="I46" s="20">
        <v>2027</v>
      </c>
      <c r="J46" s="20">
        <v>2028</v>
      </c>
      <c r="K46" s="20">
        <v>2029</v>
      </c>
      <c r="L46" s="20">
        <v>2030</v>
      </c>
    </row>
    <row r="47" spans="3:19" x14ac:dyDescent="0.2">
      <c r="C47" s="1276" t="s">
        <v>3491</v>
      </c>
      <c r="D47" s="15" t="s">
        <v>3467</v>
      </c>
      <c r="E47" s="29"/>
      <c r="F47" s="29"/>
      <c r="G47" s="29"/>
      <c r="H47" s="29"/>
      <c r="I47" s="29"/>
      <c r="J47" s="29"/>
      <c r="K47" s="29"/>
      <c r="L47" s="29"/>
    </row>
    <row r="48" spans="3:19" x14ac:dyDescent="0.2">
      <c r="C48" s="1276"/>
      <c r="D48" s="24" t="s">
        <v>3468</v>
      </c>
      <c r="E48" s="29"/>
      <c r="F48" s="29"/>
      <c r="G48" s="29"/>
      <c r="H48" s="29"/>
      <c r="I48" s="29"/>
      <c r="J48" s="29"/>
      <c r="K48" s="29"/>
      <c r="L48" s="29"/>
    </row>
    <row r="49" spans="3:12" x14ac:dyDescent="0.2">
      <c r="C49" s="1276"/>
      <c r="D49" s="15" t="s">
        <v>3469</v>
      </c>
      <c r="E49" s="29"/>
      <c r="F49" s="29"/>
      <c r="G49" s="29"/>
      <c r="H49" s="29"/>
      <c r="I49" s="29"/>
      <c r="J49" s="29"/>
      <c r="K49" s="29"/>
      <c r="L49" s="29"/>
    </row>
    <row r="50" spans="3:12" x14ac:dyDescent="0.2">
      <c r="C50" s="30"/>
    </row>
    <row r="51" spans="3:12" x14ac:dyDescent="0.2">
      <c r="C51" s="1276" t="s">
        <v>3492</v>
      </c>
      <c r="D51" s="15" t="s">
        <v>3467</v>
      </c>
      <c r="E51" s="29"/>
      <c r="F51" s="29"/>
      <c r="G51" s="29"/>
      <c r="H51" s="29"/>
      <c r="I51" s="29"/>
      <c r="J51" s="29"/>
      <c r="K51" s="29"/>
      <c r="L51" s="29"/>
    </row>
    <row r="52" spans="3:12" x14ac:dyDescent="0.2">
      <c r="C52" s="1276"/>
      <c r="D52" s="24" t="s">
        <v>3468</v>
      </c>
      <c r="E52" s="29"/>
      <c r="F52" s="29"/>
      <c r="G52" s="29"/>
      <c r="H52" s="29"/>
      <c r="I52" s="29"/>
      <c r="J52" s="29"/>
      <c r="K52" s="29"/>
      <c r="L52" s="29"/>
    </row>
    <row r="53" spans="3:12" x14ac:dyDescent="0.2">
      <c r="C53" s="1276"/>
      <c r="D53" s="15" t="s">
        <v>3469</v>
      </c>
      <c r="E53" s="29"/>
      <c r="F53" s="29"/>
      <c r="G53" s="29"/>
      <c r="H53" s="29"/>
      <c r="I53" s="29"/>
      <c r="J53" s="29"/>
      <c r="K53" s="29"/>
      <c r="L53" s="29"/>
    </row>
    <row r="54" spans="3:12" x14ac:dyDescent="0.2">
      <c r="C54" s="30"/>
    </row>
    <row r="55" spans="3:12" x14ac:dyDescent="0.2">
      <c r="C55" s="1276" t="s">
        <v>3493</v>
      </c>
      <c r="D55" s="15" t="s">
        <v>3467</v>
      </c>
      <c r="E55" s="29"/>
      <c r="F55" s="29"/>
      <c r="G55" s="29"/>
      <c r="H55" s="29"/>
      <c r="I55" s="29"/>
      <c r="J55" s="29"/>
      <c r="K55" s="29"/>
      <c r="L55" s="29"/>
    </row>
    <row r="56" spans="3:12" x14ac:dyDescent="0.2">
      <c r="C56" s="1276"/>
      <c r="D56" s="24" t="s">
        <v>3468</v>
      </c>
      <c r="E56" s="29"/>
      <c r="F56" s="29"/>
      <c r="G56" s="29"/>
      <c r="H56" s="29"/>
      <c r="I56" s="29"/>
      <c r="J56" s="29"/>
      <c r="K56" s="29"/>
      <c r="L56" s="29"/>
    </row>
    <row r="57" spans="3:12" x14ac:dyDescent="0.2">
      <c r="C57" s="1276"/>
      <c r="D57" s="15" t="s">
        <v>3469</v>
      </c>
      <c r="E57" s="29"/>
      <c r="F57" s="29"/>
      <c r="G57" s="29"/>
      <c r="H57" s="29"/>
      <c r="I57" s="29"/>
      <c r="J57" s="29"/>
      <c r="K57" s="29"/>
      <c r="L57" s="29"/>
    </row>
    <row r="58" spans="3:12" x14ac:dyDescent="0.2">
      <c r="C58" s="30"/>
    </row>
    <row r="59" spans="3:12" x14ac:dyDescent="0.2">
      <c r="C59" s="1276" t="s">
        <v>3494</v>
      </c>
      <c r="D59" s="15" t="s">
        <v>3467</v>
      </c>
      <c r="E59" s="29"/>
      <c r="F59" s="29"/>
      <c r="G59" s="29"/>
      <c r="H59" s="29"/>
      <c r="I59" s="29"/>
      <c r="J59" s="29"/>
      <c r="K59" s="29"/>
      <c r="L59" s="29"/>
    </row>
    <row r="60" spans="3:12" x14ac:dyDescent="0.2">
      <c r="C60" s="1276"/>
      <c r="D60" s="24" t="s">
        <v>3468</v>
      </c>
      <c r="E60" s="29"/>
      <c r="F60" s="29"/>
      <c r="G60" s="29"/>
      <c r="H60" s="29"/>
      <c r="I60" s="29"/>
      <c r="J60" s="29"/>
      <c r="K60" s="29"/>
      <c r="L60" s="29"/>
    </row>
    <row r="61" spans="3:12" x14ac:dyDescent="0.2">
      <c r="C61" s="1276"/>
      <c r="D61" s="15" t="s">
        <v>3469</v>
      </c>
      <c r="E61" s="29"/>
      <c r="F61" s="29"/>
      <c r="G61" s="29"/>
      <c r="H61" s="29"/>
      <c r="I61" s="29"/>
      <c r="J61" s="29"/>
      <c r="K61" s="29"/>
      <c r="L61" s="29"/>
    </row>
    <row r="62" spans="3:12" x14ac:dyDescent="0.2">
      <c r="C62" s="30"/>
    </row>
    <row r="63" spans="3:12" x14ac:dyDescent="0.2">
      <c r="C63" s="1276" t="s">
        <v>3495</v>
      </c>
      <c r="D63" s="15" t="s">
        <v>3467</v>
      </c>
      <c r="E63" s="29"/>
      <c r="F63" s="29"/>
      <c r="G63" s="29"/>
      <c r="H63" s="29"/>
      <c r="I63" s="29"/>
      <c r="J63" s="29"/>
      <c r="K63" s="29"/>
      <c r="L63" s="29"/>
    </row>
    <row r="64" spans="3:12" x14ac:dyDescent="0.2">
      <c r="C64" s="1276"/>
      <c r="D64" s="24" t="s">
        <v>3468</v>
      </c>
      <c r="E64" s="29"/>
      <c r="F64" s="29"/>
      <c r="G64" s="29"/>
      <c r="H64" s="29"/>
      <c r="I64" s="29"/>
      <c r="J64" s="29"/>
      <c r="K64" s="29"/>
      <c r="L64" s="29"/>
    </row>
    <row r="65" spans="3:12" x14ac:dyDescent="0.2">
      <c r="C65" s="1276"/>
      <c r="D65" s="15" t="s">
        <v>3469</v>
      </c>
      <c r="E65" s="29"/>
      <c r="F65" s="29"/>
      <c r="G65" s="29"/>
      <c r="H65" s="29"/>
      <c r="I65" s="29"/>
      <c r="J65" s="29"/>
      <c r="K65" s="29"/>
      <c r="L65" s="29"/>
    </row>
    <row r="66" spans="3:12" x14ac:dyDescent="0.2">
      <c r="C66" s="30"/>
    </row>
    <row r="67" spans="3:12" x14ac:dyDescent="0.2">
      <c r="C67" s="1276" t="s">
        <v>3496</v>
      </c>
      <c r="D67" s="15" t="s">
        <v>3467</v>
      </c>
      <c r="E67" s="29"/>
      <c r="F67" s="29"/>
      <c r="G67" s="29"/>
      <c r="H67" s="29"/>
      <c r="I67" s="29"/>
      <c r="J67" s="29"/>
      <c r="K67" s="29"/>
      <c r="L67" s="29"/>
    </row>
    <row r="68" spans="3:12" x14ac:dyDescent="0.2">
      <c r="C68" s="1276"/>
      <c r="D68" s="24" t="s">
        <v>3468</v>
      </c>
      <c r="E68" s="29"/>
      <c r="F68" s="29"/>
      <c r="G68" s="29"/>
      <c r="H68" s="29"/>
      <c r="I68" s="29"/>
      <c r="J68" s="29"/>
      <c r="K68" s="29"/>
      <c r="L68" s="29"/>
    </row>
    <row r="69" spans="3:12" x14ac:dyDescent="0.2">
      <c r="C69" s="1276"/>
      <c r="D69" s="15" t="s">
        <v>3469</v>
      </c>
      <c r="E69" s="29"/>
      <c r="F69" s="29"/>
      <c r="G69" s="29"/>
      <c r="H69" s="29"/>
      <c r="I69" s="29"/>
      <c r="J69" s="29"/>
      <c r="K69" s="29"/>
      <c r="L69" s="29"/>
    </row>
  </sheetData>
  <mergeCells count="11">
    <mergeCell ref="Q25:S25"/>
    <mergeCell ref="C67:C69"/>
    <mergeCell ref="I24:L24"/>
    <mergeCell ref="M24:O24"/>
    <mergeCell ref="I25:K25"/>
    <mergeCell ref="M25:O25"/>
    <mergeCell ref="C47:C49"/>
    <mergeCell ref="C51:C53"/>
    <mergeCell ref="C55:C57"/>
    <mergeCell ref="C59:C61"/>
    <mergeCell ref="C63:C65"/>
  </mergeCells>
  <phoneticPr fontId="12"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79948-5EE1-4070-A320-CA9BC69B3AF2}">
  <dimension ref="C2:R62"/>
  <sheetViews>
    <sheetView showGridLines="0" zoomScale="55" zoomScaleNormal="55" workbookViewId="0">
      <selection activeCell="E4" sqref="E4"/>
    </sheetView>
  </sheetViews>
  <sheetFormatPr baseColWidth="10" defaultColWidth="11" defaultRowHeight="14.25" x14ac:dyDescent="0.2"/>
  <cols>
    <col min="4" max="4" width="30.875" customWidth="1"/>
    <col min="7" max="7" width="49.625" customWidth="1"/>
    <col min="8" max="8" width="21.75" customWidth="1"/>
    <col min="9" max="9" width="20.875" customWidth="1"/>
    <col min="10" max="10" width="20.375" customWidth="1"/>
    <col min="11" max="11" width="20.125" customWidth="1"/>
    <col min="12" max="12" width="15.875" customWidth="1"/>
    <col min="13" max="13" width="26.5" customWidth="1"/>
    <col min="14" max="14" width="16.125" customWidth="1"/>
    <col min="16" max="18" width="23.625" customWidth="1"/>
  </cols>
  <sheetData>
    <row r="2" spans="4:12" ht="18" x14ac:dyDescent="0.25">
      <c r="D2" s="43" t="s">
        <v>170</v>
      </c>
    </row>
    <row r="4" spans="4:12" ht="15" x14ac:dyDescent="0.25">
      <c r="D4" s="38" t="s">
        <v>3497</v>
      </c>
      <c r="E4" s="39" t="s">
        <v>3498</v>
      </c>
      <c r="F4" s="39" t="s">
        <v>3499</v>
      </c>
      <c r="G4" s="40" t="s">
        <v>3500</v>
      </c>
    </row>
    <row r="5" spans="4:12" ht="15" x14ac:dyDescent="0.25">
      <c r="D5" s="31" t="s">
        <v>3269</v>
      </c>
      <c r="E5" s="32" t="s">
        <v>3270</v>
      </c>
      <c r="G5" s="33"/>
    </row>
    <row r="6" spans="4:12" ht="15" x14ac:dyDescent="0.25">
      <c r="D6" s="31" t="s">
        <v>3462</v>
      </c>
      <c r="E6" s="34">
        <v>70</v>
      </c>
      <c r="G6" s="33"/>
    </row>
    <row r="7" spans="4:12" ht="15" x14ac:dyDescent="0.25">
      <c r="D7" s="31" t="s">
        <v>3463</v>
      </c>
      <c r="E7" s="34">
        <v>2</v>
      </c>
      <c r="G7" s="33"/>
    </row>
    <row r="8" spans="4:12" ht="15" x14ac:dyDescent="0.25">
      <c r="D8" s="31" t="s">
        <v>3464</v>
      </c>
      <c r="E8" s="34"/>
      <c r="G8" s="33"/>
    </row>
    <row r="9" spans="4:12" ht="15" x14ac:dyDescent="0.25">
      <c r="D9" s="37" t="s">
        <v>3465</v>
      </c>
      <c r="E9" s="35"/>
      <c r="F9" s="2"/>
      <c r="G9" s="36"/>
    </row>
    <row r="10" spans="4:12" ht="15" x14ac:dyDescent="0.25">
      <c r="E10" s="17"/>
    </row>
    <row r="11" spans="4:12" ht="15.75" x14ac:dyDescent="0.25">
      <c r="D11" s="18" t="s">
        <v>3501</v>
      </c>
      <c r="E11" s="17"/>
    </row>
    <row r="12" spans="4:12" x14ac:dyDescent="0.2">
      <c r="E12" s="11">
        <v>2023</v>
      </c>
      <c r="F12" s="11">
        <v>2024</v>
      </c>
      <c r="G12" s="11">
        <v>2025</v>
      </c>
      <c r="H12" s="11">
        <v>2026</v>
      </c>
      <c r="I12" s="11">
        <v>2027</v>
      </c>
      <c r="J12" s="11">
        <v>2028</v>
      </c>
      <c r="K12" s="11">
        <v>2029</v>
      </c>
      <c r="L12" s="11">
        <v>2030</v>
      </c>
    </row>
    <row r="13" spans="4:12" x14ac:dyDescent="0.2">
      <c r="D13" s="15" t="s">
        <v>3508</v>
      </c>
      <c r="E13" s="42"/>
      <c r="F13" s="42"/>
      <c r="G13" s="42"/>
      <c r="H13" s="42"/>
      <c r="I13" s="42"/>
      <c r="J13" s="42"/>
      <c r="K13" s="42"/>
      <c r="L13" s="42"/>
    </row>
    <row r="14" spans="4:12" ht="28.5" x14ac:dyDescent="0.2">
      <c r="D14" s="24" t="s">
        <v>3468</v>
      </c>
      <c r="E14" s="42"/>
      <c r="F14" s="42"/>
      <c r="G14" s="42"/>
      <c r="H14" s="42"/>
      <c r="I14" s="42"/>
      <c r="J14" s="42"/>
      <c r="K14" s="42"/>
      <c r="L14" s="42"/>
    </row>
    <row r="15" spans="4:12" x14ac:dyDescent="0.2">
      <c r="D15" s="15" t="s">
        <v>3469</v>
      </c>
      <c r="E15" s="42"/>
      <c r="F15" s="42"/>
      <c r="G15" s="42"/>
      <c r="H15" s="42"/>
      <c r="I15" s="42"/>
      <c r="J15" s="42"/>
      <c r="K15" s="42"/>
      <c r="L15" s="42"/>
    </row>
    <row r="18" spans="3:18" ht="15.75" x14ac:dyDescent="0.25">
      <c r="D18" s="18" t="s">
        <v>3471</v>
      </c>
      <c r="H18" s="1275" t="s">
        <v>3470</v>
      </c>
      <c r="I18" s="1275"/>
      <c r="J18" s="1275"/>
      <c r="K18" s="1275"/>
      <c r="L18" s="1274" t="s">
        <v>3305</v>
      </c>
      <c r="M18" s="1274"/>
      <c r="N18" s="1274"/>
    </row>
    <row r="19" spans="3:18" ht="15" x14ac:dyDescent="0.25">
      <c r="D19" s="1"/>
      <c r="H19" s="1277" t="s">
        <v>145</v>
      </c>
      <c r="I19" s="1277"/>
      <c r="J19" s="1277"/>
      <c r="K19" s="27" t="s">
        <v>3472</v>
      </c>
      <c r="L19" s="1277" t="s">
        <v>3473</v>
      </c>
      <c r="M19" s="1277"/>
      <c r="N19" s="1277"/>
      <c r="P19" s="1273" t="s">
        <v>3474</v>
      </c>
      <c r="Q19" s="1273"/>
      <c r="R19" s="1273"/>
    </row>
    <row r="20" spans="3:18" ht="42.75" x14ac:dyDescent="0.25">
      <c r="D20" s="4" t="s">
        <v>284</v>
      </c>
      <c r="F20" s="4" t="s">
        <v>3475</v>
      </c>
      <c r="G20" s="4"/>
      <c r="H20" s="14" t="s">
        <v>3502</v>
      </c>
      <c r="I20" s="14" t="s">
        <v>3503</v>
      </c>
      <c r="J20" s="14" t="s">
        <v>3504</v>
      </c>
      <c r="K20" s="14" t="s">
        <v>3479</v>
      </c>
      <c r="L20" s="14" t="s">
        <v>3502</v>
      </c>
      <c r="M20" s="14" t="s">
        <v>3503</v>
      </c>
      <c r="N20" s="14" t="s">
        <v>3504</v>
      </c>
      <c r="P20" s="13" t="s">
        <v>3480</v>
      </c>
      <c r="Q20" s="13" t="s">
        <v>3481</v>
      </c>
      <c r="R20" s="13" t="s">
        <v>3482</v>
      </c>
    </row>
    <row r="21" spans="3:18" ht="18" x14ac:dyDescent="0.25">
      <c r="C21">
        <v>1</v>
      </c>
      <c r="D21" t="s">
        <v>972</v>
      </c>
      <c r="E21" s="5" t="s">
        <v>3483</v>
      </c>
      <c r="F21" t="s">
        <v>3509</v>
      </c>
      <c r="H21" s="25"/>
      <c r="I21" s="25"/>
      <c r="J21" s="25"/>
      <c r="K21" s="28"/>
      <c r="L21" s="3" t="e">
        <f>H21*$L$24*'D.1. Facteur d''émissions'!#REF!/1000</f>
        <v>#REF!</v>
      </c>
      <c r="M21" s="3" t="e">
        <f>I21*$L$24*'D.1. Facteur d''émissions'!#REF!/1000</f>
        <v>#REF!</v>
      </c>
      <c r="N21" s="3" t="e">
        <f>J21*$L$24*'D.1. Facteur d''émissions'!#REF!/1000</f>
        <v>#REF!</v>
      </c>
    </row>
    <row r="22" spans="3:18" ht="18" x14ac:dyDescent="0.25">
      <c r="C22">
        <v>2</v>
      </c>
      <c r="D22" t="s">
        <v>972</v>
      </c>
      <c r="E22" s="5" t="s">
        <v>3483</v>
      </c>
      <c r="F22" t="s">
        <v>3510</v>
      </c>
      <c r="H22" s="25"/>
      <c r="I22" s="25"/>
      <c r="J22" s="25"/>
      <c r="K22" s="25"/>
      <c r="L22" s="3"/>
      <c r="M22" s="3"/>
      <c r="N22" s="3"/>
    </row>
    <row r="23" spans="3:18" ht="18" x14ac:dyDescent="0.25">
      <c r="C23">
        <v>3</v>
      </c>
      <c r="D23" t="s">
        <v>972</v>
      </c>
      <c r="E23" s="5" t="s">
        <v>3483</v>
      </c>
      <c r="F23" t="s">
        <v>3511</v>
      </c>
      <c r="H23" s="25"/>
      <c r="I23" s="25"/>
      <c r="J23" s="25"/>
      <c r="K23" s="25"/>
      <c r="L23" s="3"/>
      <c r="M23" s="3"/>
      <c r="N23" s="3"/>
    </row>
    <row r="24" spans="3:18" ht="18" x14ac:dyDescent="0.25">
      <c r="C24">
        <v>4</v>
      </c>
      <c r="D24" t="s">
        <v>972</v>
      </c>
      <c r="E24" s="5" t="s">
        <v>3483</v>
      </c>
      <c r="F24" t="s">
        <v>3487</v>
      </c>
      <c r="H24" s="25"/>
      <c r="I24" s="25"/>
      <c r="J24" s="25"/>
      <c r="K24" s="25"/>
      <c r="L24" s="3"/>
      <c r="M24" s="3"/>
      <c r="N24" s="3"/>
    </row>
    <row r="25" spans="3:18" ht="18" x14ac:dyDescent="0.25">
      <c r="C25" s="2">
        <v>5</v>
      </c>
      <c r="D25" s="2" t="s">
        <v>972</v>
      </c>
      <c r="E25" s="6" t="s">
        <v>3483</v>
      </c>
      <c r="F25" s="2" t="s">
        <v>3488</v>
      </c>
      <c r="G25" s="2"/>
      <c r="H25" s="26"/>
      <c r="I25" s="26"/>
      <c r="J25" s="26"/>
      <c r="K25" s="26"/>
      <c r="L25" s="7"/>
      <c r="M25" s="7"/>
      <c r="N25" s="7"/>
      <c r="P25" s="2"/>
      <c r="Q25" s="2"/>
      <c r="R25" s="2"/>
    </row>
    <row r="26" spans="3:18" ht="18" x14ac:dyDescent="0.25">
      <c r="C26">
        <v>6</v>
      </c>
      <c r="D26" t="s">
        <v>3512</v>
      </c>
      <c r="E26" s="5" t="s">
        <v>3483</v>
      </c>
      <c r="F26" t="s">
        <v>3513</v>
      </c>
      <c r="H26" s="25"/>
      <c r="I26" s="25"/>
      <c r="J26" s="25"/>
      <c r="K26" s="25"/>
      <c r="L26" s="3"/>
      <c r="M26" s="3"/>
      <c r="N26" s="3"/>
    </row>
    <row r="27" spans="3:18" ht="18" x14ac:dyDescent="0.25">
      <c r="C27">
        <v>7</v>
      </c>
      <c r="D27" t="s">
        <v>3512</v>
      </c>
      <c r="E27" s="5" t="s">
        <v>3483</v>
      </c>
      <c r="F27" t="s">
        <v>3511</v>
      </c>
      <c r="H27" s="25"/>
      <c r="I27" s="25"/>
      <c r="J27" s="25"/>
      <c r="K27" s="25"/>
      <c r="L27" s="3"/>
      <c r="M27" s="3"/>
      <c r="N27" s="3"/>
    </row>
    <row r="28" spans="3:18" ht="18" x14ac:dyDescent="0.25">
      <c r="C28">
        <v>8</v>
      </c>
      <c r="D28" t="s">
        <v>3512</v>
      </c>
      <c r="E28" s="5" t="s">
        <v>3483</v>
      </c>
      <c r="F28" t="s">
        <v>3487</v>
      </c>
      <c r="H28" s="25"/>
      <c r="I28" s="25"/>
      <c r="J28" s="25"/>
      <c r="K28" s="25"/>
      <c r="L28" s="3"/>
      <c r="M28" s="3"/>
      <c r="N28" s="3"/>
    </row>
    <row r="29" spans="3:18" ht="18" x14ac:dyDescent="0.25">
      <c r="C29" s="2">
        <v>9</v>
      </c>
      <c r="D29" s="2" t="s">
        <v>3512</v>
      </c>
      <c r="E29" s="6" t="s">
        <v>3483</v>
      </c>
      <c r="F29" s="2" t="s">
        <v>3488</v>
      </c>
      <c r="G29" s="2"/>
      <c r="H29" s="26"/>
      <c r="I29" s="26"/>
      <c r="J29" s="26"/>
      <c r="K29" s="26"/>
      <c r="L29" s="7"/>
      <c r="M29" s="7"/>
      <c r="N29" s="7"/>
      <c r="P29" s="2"/>
      <c r="Q29" s="2"/>
      <c r="R29" s="2"/>
    </row>
    <row r="30" spans="3:18" ht="18" x14ac:dyDescent="0.25">
      <c r="C30">
        <v>10</v>
      </c>
      <c r="D30" t="s">
        <v>3490</v>
      </c>
      <c r="E30" s="5" t="s">
        <v>3483</v>
      </c>
      <c r="F30" t="s">
        <v>3509</v>
      </c>
      <c r="H30" s="25"/>
      <c r="I30" s="25"/>
      <c r="J30" s="25"/>
      <c r="K30" s="25"/>
      <c r="L30" s="3"/>
      <c r="M30" s="3"/>
      <c r="N30" s="3"/>
    </row>
    <row r="31" spans="3:18" ht="18" x14ac:dyDescent="0.25">
      <c r="C31">
        <v>11</v>
      </c>
      <c r="D31" t="s">
        <v>3490</v>
      </c>
      <c r="E31" s="5" t="s">
        <v>3483</v>
      </c>
      <c r="F31" t="s">
        <v>3513</v>
      </c>
      <c r="H31" s="25"/>
      <c r="I31" s="25"/>
      <c r="J31" s="25"/>
      <c r="K31" s="25"/>
      <c r="L31" s="3"/>
      <c r="M31" s="3"/>
      <c r="N31" s="3"/>
    </row>
    <row r="32" spans="3:18" ht="18" x14ac:dyDescent="0.25">
      <c r="C32">
        <v>12</v>
      </c>
      <c r="D32" t="s">
        <v>3490</v>
      </c>
      <c r="E32" s="5" t="s">
        <v>3483</v>
      </c>
      <c r="F32" t="s">
        <v>3511</v>
      </c>
      <c r="H32" s="25"/>
      <c r="I32" s="25"/>
      <c r="J32" s="25"/>
      <c r="K32" s="25"/>
      <c r="L32" s="3"/>
      <c r="M32" s="3"/>
      <c r="N32" s="3"/>
    </row>
    <row r="33" spans="3:18" ht="18" x14ac:dyDescent="0.25">
      <c r="C33">
        <v>13</v>
      </c>
      <c r="D33" t="s">
        <v>3490</v>
      </c>
      <c r="E33" s="5" t="s">
        <v>3483</v>
      </c>
      <c r="F33" t="s">
        <v>3487</v>
      </c>
      <c r="H33" s="25"/>
      <c r="I33" s="25"/>
      <c r="J33" s="25"/>
      <c r="K33" s="25"/>
      <c r="L33" s="3"/>
      <c r="M33" s="3"/>
      <c r="N33" s="3"/>
    </row>
    <row r="34" spans="3:18" ht="18" x14ac:dyDescent="0.25">
      <c r="C34" s="2">
        <v>14</v>
      </c>
      <c r="D34" s="2" t="s">
        <v>3490</v>
      </c>
      <c r="E34" s="6" t="s">
        <v>3483</v>
      </c>
      <c r="F34" s="2" t="s">
        <v>3488</v>
      </c>
      <c r="G34" s="2"/>
      <c r="H34" s="26"/>
      <c r="I34" s="26"/>
      <c r="J34" s="26"/>
      <c r="K34" s="26"/>
      <c r="L34" s="7"/>
      <c r="M34" s="7"/>
      <c r="N34" s="7"/>
      <c r="P34" s="2"/>
      <c r="Q34" s="2"/>
      <c r="R34" s="2"/>
    </row>
    <row r="39" spans="3:18" ht="15" x14ac:dyDescent="0.2">
      <c r="E39" s="20">
        <v>2023</v>
      </c>
      <c r="F39" s="20">
        <v>2024</v>
      </c>
      <c r="G39" s="20">
        <v>2025</v>
      </c>
      <c r="H39" s="20">
        <v>2026</v>
      </c>
      <c r="I39" s="20">
        <v>2027</v>
      </c>
      <c r="J39" s="20">
        <v>2028</v>
      </c>
      <c r="K39" s="20">
        <v>2029</v>
      </c>
      <c r="L39" s="20">
        <v>2030</v>
      </c>
    </row>
    <row r="40" spans="3:18" x14ac:dyDescent="0.2">
      <c r="C40" s="1276" t="s">
        <v>3491</v>
      </c>
      <c r="D40" s="15" t="s">
        <v>3467</v>
      </c>
      <c r="E40" s="29"/>
      <c r="F40" s="29"/>
      <c r="G40" s="29"/>
      <c r="H40" s="29"/>
      <c r="I40" s="29"/>
      <c r="J40" s="29"/>
      <c r="K40" s="29"/>
      <c r="L40" s="29"/>
    </row>
    <row r="41" spans="3:18" ht="28.5" x14ac:dyDescent="0.2">
      <c r="C41" s="1276"/>
      <c r="D41" s="24" t="s">
        <v>3468</v>
      </c>
      <c r="E41" s="29"/>
      <c r="F41" s="29"/>
      <c r="G41" s="29"/>
      <c r="H41" s="29"/>
      <c r="I41" s="29"/>
      <c r="J41" s="29"/>
      <c r="K41" s="29"/>
      <c r="L41" s="29"/>
    </row>
    <row r="42" spans="3:18" x14ac:dyDescent="0.2">
      <c r="C42" s="1276"/>
      <c r="D42" s="15" t="s">
        <v>3469</v>
      </c>
      <c r="E42" s="29"/>
      <c r="F42" s="29"/>
      <c r="G42" s="29"/>
      <c r="H42" s="29"/>
      <c r="I42" s="29"/>
      <c r="J42" s="29"/>
      <c r="K42" s="29"/>
      <c r="L42" s="29"/>
    </row>
    <row r="43" spans="3:18" x14ac:dyDescent="0.2">
      <c r="C43" s="30"/>
    </row>
    <row r="44" spans="3:18" x14ac:dyDescent="0.2">
      <c r="C44" s="1276" t="s">
        <v>3492</v>
      </c>
      <c r="D44" s="15" t="s">
        <v>3467</v>
      </c>
      <c r="E44" s="29"/>
      <c r="F44" s="29"/>
      <c r="G44" s="29"/>
      <c r="H44" s="29"/>
      <c r="I44" s="29"/>
      <c r="J44" s="29"/>
      <c r="K44" s="29"/>
      <c r="L44" s="29"/>
    </row>
    <row r="45" spans="3:18" ht="28.5" x14ac:dyDescent="0.2">
      <c r="C45" s="1276"/>
      <c r="D45" s="24" t="s">
        <v>3468</v>
      </c>
      <c r="E45" s="29"/>
      <c r="F45" s="29"/>
      <c r="G45" s="29"/>
      <c r="H45" s="29"/>
      <c r="I45" s="29"/>
      <c r="J45" s="29"/>
      <c r="K45" s="29"/>
      <c r="L45" s="29"/>
    </row>
    <row r="46" spans="3:18" x14ac:dyDescent="0.2">
      <c r="C46" s="1276"/>
      <c r="D46" s="15" t="s">
        <v>3469</v>
      </c>
      <c r="E46" s="29"/>
      <c r="F46" s="29"/>
      <c r="G46" s="29"/>
      <c r="H46" s="29"/>
      <c r="I46" s="29"/>
      <c r="J46" s="29"/>
      <c r="K46" s="29"/>
      <c r="L46" s="29"/>
    </row>
    <row r="47" spans="3:18" x14ac:dyDescent="0.2">
      <c r="C47" s="30"/>
    </row>
    <row r="48" spans="3:18" x14ac:dyDescent="0.2">
      <c r="C48" s="1276" t="s">
        <v>3493</v>
      </c>
      <c r="D48" s="15" t="s">
        <v>3467</v>
      </c>
      <c r="E48" s="29"/>
      <c r="F48" s="29"/>
      <c r="G48" s="29"/>
      <c r="H48" s="29"/>
      <c r="I48" s="29"/>
      <c r="J48" s="29"/>
      <c r="K48" s="29"/>
      <c r="L48" s="29"/>
    </row>
    <row r="49" spans="3:12" ht="28.5" x14ac:dyDescent="0.2">
      <c r="C49" s="1276"/>
      <c r="D49" s="24" t="s">
        <v>3468</v>
      </c>
      <c r="E49" s="29"/>
      <c r="F49" s="29"/>
      <c r="G49" s="29"/>
      <c r="H49" s="29"/>
      <c r="I49" s="29"/>
      <c r="J49" s="29"/>
      <c r="K49" s="29"/>
      <c r="L49" s="29"/>
    </row>
    <row r="50" spans="3:12" x14ac:dyDescent="0.2">
      <c r="C50" s="1276"/>
      <c r="D50" s="15" t="s">
        <v>3469</v>
      </c>
      <c r="E50" s="29"/>
      <c r="F50" s="29"/>
      <c r="G50" s="29"/>
      <c r="H50" s="29"/>
      <c r="I50" s="29"/>
      <c r="J50" s="29"/>
      <c r="K50" s="29"/>
      <c r="L50" s="29"/>
    </row>
    <row r="51" spans="3:12" x14ac:dyDescent="0.2">
      <c r="C51" s="30"/>
    </row>
    <row r="52" spans="3:12" x14ac:dyDescent="0.2">
      <c r="C52" s="1276" t="s">
        <v>3494</v>
      </c>
      <c r="D52" s="15" t="s">
        <v>3467</v>
      </c>
      <c r="E52" s="29"/>
      <c r="F52" s="29"/>
      <c r="G52" s="29"/>
      <c r="H52" s="29"/>
      <c r="I52" s="29"/>
      <c r="J52" s="29"/>
      <c r="K52" s="29"/>
      <c r="L52" s="29"/>
    </row>
    <row r="53" spans="3:12" ht="28.5" x14ac:dyDescent="0.2">
      <c r="C53" s="1276"/>
      <c r="D53" s="24" t="s">
        <v>3468</v>
      </c>
      <c r="E53" s="29"/>
      <c r="F53" s="29"/>
      <c r="G53" s="29"/>
      <c r="H53" s="29"/>
      <c r="I53" s="29"/>
      <c r="J53" s="29"/>
      <c r="K53" s="29"/>
      <c r="L53" s="29"/>
    </row>
    <row r="54" spans="3:12" x14ac:dyDescent="0.2">
      <c r="C54" s="1276"/>
      <c r="D54" s="15" t="s">
        <v>3469</v>
      </c>
      <c r="E54" s="29"/>
      <c r="F54" s="29"/>
      <c r="G54" s="29"/>
      <c r="H54" s="29"/>
      <c r="I54" s="29"/>
      <c r="J54" s="29"/>
      <c r="K54" s="29"/>
      <c r="L54" s="29"/>
    </row>
    <row r="55" spans="3:12" x14ac:dyDescent="0.2">
      <c r="C55" s="30"/>
    </row>
    <row r="56" spans="3:12" x14ac:dyDescent="0.2">
      <c r="C56" s="1276" t="s">
        <v>3495</v>
      </c>
      <c r="D56" s="15" t="s">
        <v>3467</v>
      </c>
      <c r="E56" s="29"/>
      <c r="F56" s="29"/>
      <c r="G56" s="29"/>
      <c r="H56" s="29"/>
      <c r="I56" s="29"/>
      <c r="J56" s="29"/>
      <c r="K56" s="29"/>
      <c r="L56" s="29"/>
    </row>
    <row r="57" spans="3:12" ht="28.5" x14ac:dyDescent="0.2">
      <c r="C57" s="1276"/>
      <c r="D57" s="24" t="s">
        <v>3468</v>
      </c>
      <c r="E57" s="29"/>
      <c r="F57" s="29"/>
      <c r="G57" s="29"/>
      <c r="H57" s="29"/>
      <c r="I57" s="29"/>
      <c r="J57" s="29"/>
      <c r="K57" s="29"/>
      <c r="L57" s="29"/>
    </row>
    <row r="58" spans="3:12" x14ac:dyDescent="0.2">
      <c r="C58" s="1276"/>
      <c r="D58" s="15" t="s">
        <v>3469</v>
      </c>
      <c r="E58" s="29"/>
      <c r="F58" s="29"/>
      <c r="G58" s="29"/>
      <c r="H58" s="29"/>
      <c r="I58" s="29"/>
      <c r="J58" s="29"/>
      <c r="K58" s="29"/>
      <c r="L58" s="29"/>
    </row>
    <row r="59" spans="3:12" x14ac:dyDescent="0.2">
      <c r="C59" s="30"/>
    </row>
    <row r="60" spans="3:12" x14ac:dyDescent="0.2">
      <c r="C60" s="1276" t="s">
        <v>3496</v>
      </c>
      <c r="D60" s="15" t="s">
        <v>3467</v>
      </c>
      <c r="E60" s="29"/>
      <c r="F60" s="29"/>
      <c r="G60" s="29"/>
      <c r="H60" s="29"/>
      <c r="I60" s="29"/>
      <c r="J60" s="29"/>
      <c r="K60" s="29"/>
      <c r="L60" s="29"/>
    </row>
    <row r="61" spans="3:12" ht="28.5" x14ac:dyDescent="0.2">
      <c r="C61" s="1276"/>
      <c r="D61" s="24" t="s">
        <v>3468</v>
      </c>
      <c r="E61" s="29"/>
      <c r="F61" s="29"/>
      <c r="G61" s="29"/>
      <c r="H61" s="29"/>
      <c r="I61" s="29"/>
      <c r="J61" s="29"/>
      <c r="K61" s="29"/>
      <c r="L61" s="29"/>
    </row>
    <row r="62" spans="3:12" x14ac:dyDescent="0.2">
      <c r="C62" s="1276"/>
      <c r="D62" s="15" t="s">
        <v>3469</v>
      </c>
      <c r="E62" s="29"/>
      <c r="F62" s="29"/>
      <c r="G62" s="29"/>
      <c r="H62" s="29"/>
      <c r="I62" s="29"/>
      <c r="J62" s="29"/>
      <c r="K62" s="29"/>
      <c r="L62" s="29"/>
    </row>
  </sheetData>
  <mergeCells count="11">
    <mergeCell ref="P19:R19"/>
    <mergeCell ref="C44:C46"/>
    <mergeCell ref="C48:C50"/>
    <mergeCell ref="C52:C54"/>
    <mergeCell ref="C56:C58"/>
    <mergeCell ref="C40:C42"/>
    <mergeCell ref="H18:K18"/>
    <mergeCell ref="L18:N18"/>
    <mergeCell ref="H19:J19"/>
    <mergeCell ref="L19:N19"/>
    <mergeCell ref="C60:C62"/>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D44D-0570-4F18-9FAA-2670E0ABD671}">
  <dimension ref="C2:M64"/>
  <sheetViews>
    <sheetView showGridLines="0" zoomScale="55" zoomScaleNormal="115" workbookViewId="0">
      <selection activeCell="E4" sqref="E4"/>
    </sheetView>
  </sheetViews>
  <sheetFormatPr baseColWidth="10" defaultColWidth="11" defaultRowHeight="14.25" x14ac:dyDescent="0.2"/>
  <cols>
    <col min="4" max="4" width="29.125" customWidth="1"/>
    <col min="6" max="6" width="29.875" customWidth="1"/>
    <col min="7" max="7" width="24.375" customWidth="1"/>
    <col min="8" max="8" width="25.375" bestFit="1" customWidth="1"/>
    <col min="9" max="9" width="25.375" customWidth="1"/>
    <col min="10" max="10" width="25" customWidth="1"/>
    <col min="11" max="11" width="24.625" customWidth="1"/>
    <col min="12" max="12" width="12.875" bestFit="1" customWidth="1"/>
    <col min="13" max="13" width="22.125" customWidth="1"/>
    <col min="14" max="14" width="16.875" customWidth="1"/>
  </cols>
  <sheetData>
    <row r="2" spans="4:12" ht="18" x14ac:dyDescent="0.25">
      <c r="D2" s="43" t="s">
        <v>165</v>
      </c>
    </row>
    <row r="4" spans="4:12" ht="15" x14ac:dyDescent="0.25">
      <c r="D4" s="38" t="s">
        <v>3514</v>
      </c>
      <c r="E4" s="39" t="s">
        <v>3498</v>
      </c>
      <c r="F4" s="39" t="s">
        <v>3499</v>
      </c>
      <c r="G4" s="40" t="s">
        <v>3500</v>
      </c>
    </row>
    <row r="5" spans="4:12" ht="15" x14ac:dyDescent="0.25">
      <c r="D5" s="31" t="s">
        <v>3269</v>
      </c>
      <c r="E5" s="32"/>
      <c r="G5" s="33"/>
    </row>
    <row r="6" spans="4:12" ht="15" x14ac:dyDescent="0.25">
      <c r="D6" s="31" t="s">
        <v>3462</v>
      </c>
      <c r="E6" s="34"/>
      <c r="G6" s="33"/>
    </row>
    <row r="7" spans="4:12" ht="15" x14ac:dyDescent="0.25">
      <c r="D7" s="31" t="s">
        <v>3464</v>
      </c>
      <c r="E7" s="34"/>
      <c r="G7" s="33"/>
    </row>
    <row r="8" spans="4:12" ht="15" x14ac:dyDescent="0.25">
      <c r="D8" s="37" t="s">
        <v>3465</v>
      </c>
      <c r="E8" s="35"/>
      <c r="F8" s="2"/>
      <c r="G8" s="36"/>
    </row>
    <row r="9" spans="4:12" ht="15" x14ac:dyDescent="0.25">
      <c r="E9" s="34"/>
    </row>
    <row r="10" spans="4:12" ht="15" x14ac:dyDescent="0.25">
      <c r="E10" s="34"/>
    </row>
    <row r="11" spans="4:12" ht="15" x14ac:dyDescent="0.25">
      <c r="E11" s="34"/>
    </row>
    <row r="12" spans="4:12" ht="15.75" x14ac:dyDescent="0.25">
      <c r="D12" s="18" t="s">
        <v>3501</v>
      </c>
      <c r="E12" s="17"/>
    </row>
    <row r="13" spans="4:12" x14ac:dyDescent="0.2">
      <c r="E13" s="11">
        <v>2023</v>
      </c>
      <c r="F13" s="11">
        <v>2024</v>
      </c>
      <c r="G13" s="11">
        <v>2025</v>
      </c>
      <c r="H13" s="11">
        <v>2026</v>
      </c>
      <c r="I13" s="11">
        <v>2027</v>
      </c>
      <c r="J13" s="11">
        <v>2028</v>
      </c>
      <c r="K13" s="11">
        <v>2029</v>
      </c>
      <c r="L13" s="11">
        <v>2030</v>
      </c>
    </row>
    <row r="14" spans="4:12" x14ac:dyDescent="0.2">
      <c r="D14" s="15" t="s">
        <v>3467</v>
      </c>
      <c r="E14" s="41"/>
      <c r="F14" s="42">
        <v>350000</v>
      </c>
      <c r="G14" s="41"/>
      <c r="H14" s="41"/>
      <c r="I14" s="41"/>
      <c r="J14" s="41"/>
      <c r="K14" s="41"/>
      <c r="L14" s="41"/>
    </row>
    <row r="15" spans="4:12" x14ac:dyDescent="0.2">
      <c r="D15" s="15" t="s">
        <v>3468</v>
      </c>
      <c r="E15" s="41"/>
      <c r="F15" s="41"/>
      <c r="G15" s="41"/>
      <c r="H15" s="41"/>
      <c r="I15" s="41"/>
      <c r="J15" s="41"/>
      <c r="K15" s="41"/>
      <c r="L15" s="41"/>
    </row>
    <row r="16" spans="4:12" x14ac:dyDescent="0.2">
      <c r="D16" s="15" t="s">
        <v>3515</v>
      </c>
      <c r="E16" s="41"/>
      <c r="F16" s="41"/>
      <c r="G16" s="41"/>
      <c r="H16" s="41"/>
      <c r="I16" s="41"/>
      <c r="J16" s="41"/>
      <c r="K16" s="41"/>
      <c r="L16" s="41"/>
    </row>
    <row r="21" spans="3:13" ht="15.75" x14ac:dyDescent="0.25">
      <c r="D21" s="18" t="s">
        <v>3471</v>
      </c>
      <c r="G21" s="1275" t="s">
        <v>3470</v>
      </c>
      <c r="H21" s="1275"/>
      <c r="I21" s="1275"/>
      <c r="J21" s="1275"/>
      <c r="K21" s="1274" t="s">
        <v>3305</v>
      </c>
      <c r="L21" s="1274"/>
      <c r="M21" s="1274"/>
    </row>
    <row r="22" spans="3:13" ht="15" x14ac:dyDescent="0.25">
      <c r="D22" s="12" t="s">
        <v>284</v>
      </c>
      <c r="E22" s="11"/>
      <c r="F22" s="12" t="s">
        <v>3475</v>
      </c>
      <c r="G22" s="1277" t="s">
        <v>145</v>
      </c>
      <c r="H22" s="1277"/>
      <c r="I22" s="1277"/>
      <c r="J22" s="27" t="s">
        <v>3472</v>
      </c>
      <c r="K22" s="1277" t="s">
        <v>3473</v>
      </c>
      <c r="L22" s="1277"/>
      <c r="M22" s="1277"/>
    </row>
    <row r="23" spans="3:13" ht="42.75" x14ac:dyDescent="0.25">
      <c r="C23">
        <v>1</v>
      </c>
      <c r="D23" t="s">
        <v>972</v>
      </c>
      <c r="E23" s="5" t="s">
        <v>3483</v>
      </c>
      <c r="F23" t="s">
        <v>3516</v>
      </c>
      <c r="G23" s="14" t="s">
        <v>3517</v>
      </c>
      <c r="H23" s="14" t="s">
        <v>3518</v>
      </c>
      <c r="I23" s="14" t="s">
        <v>3519</v>
      </c>
      <c r="J23" s="14" t="s">
        <v>3479</v>
      </c>
      <c r="K23" s="14" t="s">
        <v>3517</v>
      </c>
      <c r="L23" s="14" t="s">
        <v>3518</v>
      </c>
      <c r="M23" s="14" t="s">
        <v>3519</v>
      </c>
    </row>
    <row r="24" spans="3:13" ht="18" x14ac:dyDescent="0.25">
      <c r="C24">
        <v>2</v>
      </c>
      <c r="D24" t="s">
        <v>972</v>
      </c>
      <c r="E24" s="5" t="s">
        <v>3483</v>
      </c>
      <c r="F24" t="s">
        <v>3520</v>
      </c>
      <c r="G24" s="25"/>
      <c r="H24" s="25"/>
      <c r="I24" s="25"/>
      <c r="J24" s="28"/>
      <c r="K24" s="3" t="e">
        <f>G24*$L$31*'D.1. Facteur d''émissions'!#REF!/1000</f>
        <v>#REF!</v>
      </c>
      <c r="L24" s="3" t="e">
        <f>H24*$L$31*'D.1. Facteur d''émissions'!#REF!/1000</f>
        <v>#REF!</v>
      </c>
      <c r="M24" s="3" t="e">
        <f>I24*$L$31*'D.1. Facteur d''émissions'!#REF!/1000</f>
        <v>#REF!</v>
      </c>
    </row>
    <row r="25" spans="3:13" ht="18" x14ac:dyDescent="0.25">
      <c r="C25">
        <v>3</v>
      </c>
      <c r="D25" t="s">
        <v>972</v>
      </c>
      <c r="E25" s="5" t="s">
        <v>3483</v>
      </c>
      <c r="F25" t="s">
        <v>3487</v>
      </c>
      <c r="G25" s="25"/>
      <c r="H25" s="25"/>
      <c r="I25" s="25"/>
      <c r="J25" s="25"/>
      <c r="K25" s="3"/>
      <c r="L25" s="3"/>
      <c r="M25" s="3"/>
    </row>
    <row r="26" spans="3:13" ht="18" x14ac:dyDescent="0.25">
      <c r="C26">
        <v>4</v>
      </c>
      <c r="D26" t="s">
        <v>972</v>
      </c>
      <c r="E26" s="5" t="s">
        <v>3483</v>
      </c>
      <c r="F26" t="s">
        <v>3488</v>
      </c>
      <c r="G26" s="25"/>
      <c r="H26" s="25"/>
      <c r="I26" s="25"/>
      <c r="J26" s="25"/>
      <c r="K26" s="3"/>
      <c r="L26" s="3"/>
      <c r="M26" s="3"/>
    </row>
    <row r="27" spans="3:13" ht="18" x14ac:dyDescent="0.25">
      <c r="C27" s="2">
        <v>5</v>
      </c>
      <c r="D27" s="2" t="s">
        <v>972</v>
      </c>
      <c r="E27" s="6" t="s">
        <v>3483</v>
      </c>
      <c r="F27" s="2" t="s">
        <v>195</v>
      </c>
      <c r="G27" s="26"/>
      <c r="H27" s="26"/>
      <c r="I27" s="26"/>
      <c r="J27" s="26"/>
      <c r="K27" s="7"/>
      <c r="L27" s="7"/>
      <c r="M27" s="7"/>
    </row>
    <row r="28" spans="3:13" ht="18" x14ac:dyDescent="0.25">
      <c r="C28">
        <v>6</v>
      </c>
      <c r="D28" t="s">
        <v>724</v>
      </c>
      <c r="E28" s="5" t="s">
        <v>3483</v>
      </c>
      <c r="F28" t="s">
        <v>727</v>
      </c>
      <c r="G28" s="25"/>
      <c r="H28" s="25"/>
      <c r="I28" s="25"/>
      <c r="J28" s="25"/>
      <c r="K28" s="3"/>
      <c r="L28" s="3"/>
      <c r="M28" s="3"/>
    </row>
    <row r="29" spans="3:13" ht="18" x14ac:dyDescent="0.25">
      <c r="C29">
        <v>7</v>
      </c>
      <c r="D29" t="s">
        <v>724</v>
      </c>
      <c r="E29" s="5" t="s">
        <v>3483</v>
      </c>
      <c r="F29" t="s">
        <v>3487</v>
      </c>
      <c r="G29" s="25"/>
      <c r="H29" s="25"/>
      <c r="I29" s="25"/>
      <c r="J29" s="25"/>
      <c r="K29" s="3"/>
      <c r="L29" s="3"/>
      <c r="M29" s="3"/>
    </row>
    <row r="30" spans="3:13" ht="18" x14ac:dyDescent="0.25">
      <c r="C30">
        <v>8</v>
      </c>
      <c r="D30" t="s">
        <v>724</v>
      </c>
      <c r="E30" s="5" t="s">
        <v>3483</v>
      </c>
      <c r="F30" t="s">
        <v>3488</v>
      </c>
      <c r="G30" s="25"/>
      <c r="H30" s="25"/>
      <c r="I30" s="25"/>
      <c r="J30" s="25"/>
      <c r="K30" s="3"/>
      <c r="L30" s="3"/>
      <c r="M30" s="3"/>
    </row>
    <row r="31" spans="3:13" ht="18" x14ac:dyDescent="0.25">
      <c r="C31" s="2">
        <v>9</v>
      </c>
      <c r="D31" s="2" t="s">
        <v>724</v>
      </c>
      <c r="E31" s="6" t="s">
        <v>3483</v>
      </c>
      <c r="F31" s="2" t="s">
        <v>195</v>
      </c>
      <c r="G31" s="26"/>
      <c r="H31" s="26"/>
      <c r="I31" s="26"/>
      <c r="J31" s="26"/>
      <c r="K31" s="7"/>
      <c r="L31" s="7"/>
      <c r="M31" s="7"/>
    </row>
    <row r="32" spans="3:13" ht="18" x14ac:dyDescent="0.25">
      <c r="C32">
        <v>10</v>
      </c>
      <c r="D32" t="s">
        <v>3490</v>
      </c>
      <c r="E32" s="5" t="s">
        <v>3483</v>
      </c>
      <c r="F32" t="s">
        <v>3516</v>
      </c>
      <c r="G32" s="25"/>
      <c r="H32" s="25"/>
      <c r="I32" s="25"/>
      <c r="J32" s="25"/>
      <c r="K32" s="3"/>
      <c r="L32" s="3"/>
      <c r="M32" s="3"/>
    </row>
    <row r="33" spans="3:13" ht="18" x14ac:dyDescent="0.25">
      <c r="C33">
        <v>11</v>
      </c>
      <c r="D33" t="s">
        <v>3490</v>
      </c>
      <c r="E33" s="5" t="s">
        <v>3483</v>
      </c>
      <c r="F33" t="s">
        <v>727</v>
      </c>
      <c r="G33" s="25"/>
      <c r="H33" s="25"/>
      <c r="I33" s="25"/>
      <c r="J33" s="25"/>
      <c r="K33" s="3"/>
      <c r="L33" s="3"/>
      <c r="M33" s="3"/>
    </row>
    <row r="34" spans="3:13" ht="18" x14ac:dyDescent="0.25">
      <c r="C34">
        <v>12</v>
      </c>
      <c r="D34" t="s">
        <v>3490</v>
      </c>
      <c r="E34" s="5" t="s">
        <v>3483</v>
      </c>
      <c r="F34" t="s">
        <v>3487</v>
      </c>
      <c r="G34" s="25"/>
      <c r="H34" s="25"/>
      <c r="I34" s="25"/>
      <c r="J34" s="25"/>
      <c r="K34" s="3"/>
      <c r="L34" s="3"/>
      <c r="M34" s="3"/>
    </row>
    <row r="35" spans="3:13" ht="18" x14ac:dyDescent="0.25">
      <c r="C35">
        <v>13</v>
      </c>
      <c r="D35" t="s">
        <v>3490</v>
      </c>
      <c r="E35" s="5" t="s">
        <v>3483</v>
      </c>
      <c r="F35" t="s">
        <v>3488</v>
      </c>
      <c r="G35" s="25"/>
      <c r="H35" s="25"/>
      <c r="I35" s="25"/>
      <c r="J35" s="25"/>
      <c r="K35" s="3"/>
      <c r="L35" s="3"/>
      <c r="M35" s="3"/>
    </row>
    <row r="36" spans="3:13" ht="18" x14ac:dyDescent="0.25">
      <c r="C36" s="2">
        <v>14</v>
      </c>
      <c r="D36" s="2" t="s">
        <v>3490</v>
      </c>
      <c r="E36" s="6" t="s">
        <v>3483</v>
      </c>
      <c r="F36" s="2" t="s">
        <v>195</v>
      </c>
      <c r="G36" s="26"/>
      <c r="H36" s="26"/>
      <c r="I36" s="26"/>
      <c r="J36" s="26"/>
      <c r="K36" s="7"/>
      <c r="L36" s="7"/>
      <c r="M36" s="7"/>
    </row>
    <row r="41" spans="3:13" ht="15" x14ac:dyDescent="0.2">
      <c r="E41" s="20">
        <v>2023</v>
      </c>
      <c r="F41" s="20">
        <v>2024</v>
      </c>
      <c r="G41" s="20">
        <v>2025</v>
      </c>
      <c r="H41" s="20">
        <v>2026</v>
      </c>
      <c r="I41" s="20">
        <v>2027</v>
      </c>
      <c r="J41" s="20">
        <v>2028</v>
      </c>
      <c r="K41" s="20">
        <v>2029</v>
      </c>
      <c r="L41" s="20">
        <v>2030</v>
      </c>
    </row>
    <row r="42" spans="3:13" x14ac:dyDescent="0.2">
      <c r="C42" s="1276" t="s">
        <v>3491</v>
      </c>
      <c r="D42" s="15" t="s">
        <v>3467</v>
      </c>
      <c r="E42" s="29"/>
      <c r="F42" s="29"/>
      <c r="G42" s="29"/>
      <c r="H42" s="29"/>
      <c r="I42" s="29"/>
      <c r="J42" s="29"/>
      <c r="K42" s="29"/>
      <c r="L42" s="29"/>
    </row>
    <row r="43" spans="3:13" ht="28.5" x14ac:dyDescent="0.2">
      <c r="C43" s="1276"/>
      <c r="D43" s="24" t="s">
        <v>3468</v>
      </c>
      <c r="E43" s="29"/>
      <c r="F43" s="29"/>
      <c r="G43" s="29"/>
      <c r="H43" s="29"/>
      <c r="I43" s="29"/>
      <c r="J43" s="29"/>
      <c r="K43" s="29"/>
      <c r="L43" s="29"/>
    </row>
    <row r="44" spans="3:13" x14ac:dyDescent="0.2">
      <c r="C44" s="1276"/>
      <c r="D44" s="15" t="s">
        <v>3469</v>
      </c>
      <c r="E44" s="29"/>
      <c r="F44" s="29"/>
      <c r="G44" s="29"/>
      <c r="H44" s="29"/>
      <c r="I44" s="29"/>
      <c r="J44" s="29"/>
      <c r="K44" s="29"/>
      <c r="L44" s="29"/>
    </row>
    <row r="45" spans="3:13" x14ac:dyDescent="0.2">
      <c r="C45" s="30"/>
    </row>
    <row r="46" spans="3:13" x14ac:dyDescent="0.2">
      <c r="C46" s="1276" t="s">
        <v>3492</v>
      </c>
      <c r="D46" s="15" t="s">
        <v>3467</v>
      </c>
      <c r="E46" s="29"/>
      <c r="F46" s="29"/>
      <c r="G46" s="29"/>
      <c r="H46" s="29"/>
      <c r="I46" s="29"/>
      <c r="J46" s="29"/>
      <c r="K46" s="29"/>
      <c r="L46" s="29"/>
    </row>
    <row r="47" spans="3:13" ht="28.5" x14ac:dyDescent="0.2">
      <c r="C47" s="1276"/>
      <c r="D47" s="24" t="s">
        <v>3468</v>
      </c>
      <c r="E47" s="29"/>
      <c r="F47" s="29"/>
      <c r="G47" s="29"/>
      <c r="H47" s="29"/>
      <c r="I47" s="29"/>
      <c r="J47" s="29"/>
      <c r="K47" s="29"/>
      <c r="L47" s="29"/>
    </row>
    <row r="48" spans="3:13" x14ac:dyDescent="0.2">
      <c r="C48" s="1276"/>
      <c r="D48" s="15" t="s">
        <v>3469</v>
      </c>
      <c r="E48" s="29"/>
      <c r="F48" s="29"/>
      <c r="G48" s="29"/>
      <c r="H48" s="29"/>
      <c r="I48" s="29"/>
      <c r="J48" s="29"/>
      <c r="K48" s="29"/>
      <c r="L48" s="29"/>
    </row>
    <row r="49" spans="3:12" x14ac:dyDescent="0.2">
      <c r="C49" s="30"/>
    </row>
    <row r="50" spans="3:12" x14ac:dyDescent="0.2">
      <c r="C50" s="1276" t="s">
        <v>3493</v>
      </c>
      <c r="D50" s="15" t="s">
        <v>3467</v>
      </c>
      <c r="E50" s="29"/>
      <c r="F50" s="29"/>
      <c r="G50" s="29"/>
      <c r="H50" s="29"/>
      <c r="I50" s="29"/>
      <c r="J50" s="29"/>
      <c r="K50" s="29"/>
      <c r="L50" s="29"/>
    </row>
    <row r="51" spans="3:12" ht="28.5" x14ac:dyDescent="0.2">
      <c r="C51" s="1276"/>
      <c r="D51" s="24" t="s">
        <v>3468</v>
      </c>
      <c r="E51" s="29"/>
      <c r="F51" s="29"/>
      <c r="G51" s="29"/>
      <c r="H51" s="29"/>
      <c r="I51" s="29"/>
      <c r="J51" s="29"/>
      <c r="K51" s="29"/>
      <c r="L51" s="29"/>
    </row>
    <row r="52" spans="3:12" x14ac:dyDescent="0.2">
      <c r="C52" s="1276"/>
      <c r="D52" s="15" t="s">
        <v>3469</v>
      </c>
      <c r="E52" s="29"/>
      <c r="F52" s="29"/>
      <c r="G52" s="29"/>
      <c r="H52" s="29"/>
      <c r="I52" s="29"/>
      <c r="J52" s="29"/>
      <c r="K52" s="29"/>
      <c r="L52" s="29"/>
    </row>
    <row r="53" spans="3:12" x14ac:dyDescent="0.2">
      <c r="C53" s="30"/>
    </row>
    <row r="54" spans="3:12" x14ac:dyDescent="0.2">
      <c r="C54" s="1276" t="s">
        <v>3494</v>
      </c>
      <c r="D54" s="15" t="s">
        <v>3467</v>
      </c>
      <c r="E54" s="29"/>
      <c r="F54" s="29"/>
      <c r="G54" s="29"/>
      <c r="H54" s="29"/>
      <c r="I54" s="29"/>
      <c r="J54" s="29"/>
      <c r="K54" s="29"/>
      <c r="L54" s="29"/>
    </row>
    <row r="55" spans="3:12" ht="28.5" x14ac:dyDescent="0.2">
      <c r="C55" s="1276"/>
      <c r="D55" s="24" t="s">
        <v>3468</v>
      </c>
      <c r="E55" s="29"/>
      <c r="F55" s="29"/>
      <c r="G55" s="29"/>
      <c r="H55" s="29"/>
      <c r="I55" s="29"/>
      <c r="J55" s="29"/>
      <c r="K55" s="29"/>
      <c r="L55" s="29"/>
    </row>
    <row r="56" spans="3:12" x14ac:dyDescent="0.2">
      <c r="C56" s="1276"/>
      <c r="D56" s="15" t="s">
        <v>3469</v>
      </c>
      <c r="E56" s="29"/>
      <c r="F56" s="29"/>
      <c r="G56" s="29"/>
      <c r="H56" s="29"/>
      <c r="I56" s="29"/>
      <c r="J56" s="29"/>
      <c r="K56" s="29"/>
      <c r="L56" s="29"/>
    </row>
    <row r="57" spans="3:12" x14ac:dyDescent="0.2">
      <c r="C57" s="30"/>
    </row>
    <row r="58" spans="3:12" x14ac:dyDescent="0.2">
      <c r="C58" s="1276" t="s">
        <v>3495</v>
      </c>
      <c r="D58" s="15" t="s">
        <v>3467</v>
      </c>
      <c r="E58" s="29"/>
      <c r="F58" s="29"/>
      <c r="G58" s="29"/>
      <c r="H58" s="29"/>
      <c r="I58" s="29"/>
      <c r="J58" s="29"/>
      <c r="K58" s="29"/>
      <c r="L58" s="29"/>
    </row>
    <row r="59" spans="3:12" ht="28.5" x14ac:dyDescent="0.2">
      <c r="C59" s="1276"/>
      <c r="D59" s="24" t="s">
        <v>3468</v>
      </c>
      <c r="E59" s="29"/>
      <c r="F59" s="29"/>
      <c r="G59" s="29"/>
      <c r="H59" s="29"/>
      <c r="I59" s="29"/>
      <c r="J59" s="29"/>
      <c r="K59" s="29"/>
      <c r="L59" s="29"/>
    </row>
    <row r="60" spans="3:12" x14ac:dyDescent="0.2">
      <c r="C60" s="1276"/>
      <c r="D60" s="15" t="s">
        <v>3469</v>
      </c>
      <c r="E60" s="29"/>
      <c r="F60" s="29"/>
      <c r="G60" s="29"/>
      <c r="H60" s="29"/>
      <c r="I60" s="29"/>
      <c r="J60" s="29"/>
      <c r="K60" s="29"/>
      <c r="L60" s="29"/>
    </row>
    <row r="61" spans="3:12" x14ac:dyDescent="0.2">
      <c r="C61" s="30"/>
    </row>
    <row r="62" spans="3:12" x14ac:dyDescent="0.2">
      <c r="C62" s="1276" t="s">
        <v>3496</v>
      </c>
      <c r="D62" s="15" t="s">
        <v>3467</v>
      </c>
      <c r="E62" s="29"/>
      <c r="F62" s="29"/>
      <c r="G62" s="29"/>
      <c r="H62" s="29"/>
      <c r="I62" s="29"/>
      <c r="J62" s="29"/>
      <c r="K62" s="29"/>
      <c r="L62" s="29"/>
    </row>
    <row r="63" spans="3:12" ht="28.5" x14ac:dyDescent="0.2">
      <c r="C63" s="1276"/>
      <c r="D63" s="24" t="s">
        <v>3468</v>
      </c>
      <c r="E63" s="29"/>
      <c r="F63" s="29"/>
      <c r="G63" s="29"/>
      <c r="H63" s="29"/>
      <c r="I63" s="29"/>
      <c r="J63" s="29"/>
      <c r="K63" s="29"/>
      <c r="L63" s="29"/>
    </row>
    <row r="64" spans="3:12" x14ac:dyDescent="0.2">
      <c r="C64" s="1276"/>
      <c r="D64" s="15" t="s">
        <v>3469</v>
      </c>
      <c r="E64" s="29"/>
      <c r="F64" s="29"/>
      <c r="G64" s="29"/>
      <c r="H64" s="29"/>
      <c r="I64" s="29"/>
      <c r="J64" s="29"/>
      <c r="K64" s="29"/>
      <c r="L64" s="29"/>
    </row>
  </sheetData>
  <mergeCells count="10">
    <mergeCell ref="C50:C52"/>
    <mergeCell ref="C54:C56"/>
    <mergeCell ref="C58:C60"/>
    <mergeCell ref="C62:C64"/>
    <mergeCell ref="G21:J21"/>
    <mergeCell ref="K21:M21"/>
    <mergeCell ref="G22:I22"/>
    <mergeCell ref="K22:M22"/>
    <mergeCell ref="C42:C44"/>
    <mergeCell ref="C46:C48"/>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7701-C85D-499E-AA49-09D4FD2EF6FE}">
  <dimension ref="C5:L27"/>
  <sheetViews>
    <sheetView showGridLines="0" topLeftCell="B1" zoomScale="69" zoomScaleNormal="115" workbookViewId="0">
      <selection activeCell="E4" sqref="E4"/>
    </sheetView>
  </sheetViews>
  <sheetFormatPr baseColWidth="10" defaultColWidth="11" defaultRowHeight="14.25" x14ac:dyDescent="0.2"/>
  <cols>
    <col min="4" max="4" width="29.875" customWidth="1"/>
    <col min="6" max="6" width="18.125" customWidth="1"/>
    <col min="7" max="7" width="20.125" customWidth="1"/>
    <col min="8" max="8" width="22.625" customWidth="1"/>
    <col min="9" max="9" width="27.875" customWidth="1"/>
    <col min="10" max="10" width="21.875" customWidth="1"/>
    <col min="11" max="11" width="23.625" customWidth="1"/>
    <col min="13" max="13" width="26" customWidth="1"/>
  </cols>
  <sheetData>
    <row r="5" spans="3:12" ht="15.75" x14ac:dyDescent="0.25">
      <c r="D5" s="18" t="s">
        <v>3501</v>
      </c>
      <c r="E5" s="17"/>
    </row>
    <row r="6" spans="3:12" x14ac:dyDescent="0.2">
      <c r="E6" s="11">
        <v>2023</v>
      </c>
      <c r="F6" s="11">
        <v>2024</v>
      </c>
      <c r="G6" s="11">
        <v>2025</v>
      </c>
      <c r="H6" s="11">
        <v>2026</v>
      </c>
      <c r="I6" s="11">
        <v>2027</v>
      </c>
      <c r="J6" s="11">
        <v>2028</v>
      </c>
      <c r="K6" s="11">
        <v>2029</v>
      </c>
      <c r="L6" s="11">
        <v>2030</v>
      </c>
    </row>
    <row r="7" spans="3:12" x14ac:dyDescent="0.2">
      <c r="D7" s="15" t="s">
        <v>3521</v>
      </c>
      <c r="E7" s="21"/>
      <c r="F7" s="21">
        <v>32000</v>
      </c>
      <c r="G7" s="15"/>
      <c r="H7" s="15"/>
      <c r="I7" s="15"/>
      <c r="J7" s="15"/>
      <c r="K7" s="15"/>
      <c r="L7" s="15"/>
    </row>
    <row r="8" spans="3:12" ht="28.5" x14ac:dyDescent="0.2">
      <c r="D8" s="24" t="s">
        <v>3468</v>
      </c>
      <c r="E8" s="21"/>
      <c r="F8" s="21">
        <v>48000</v>
      </c>
      <c r="G8" s="15"/>
      <c r="H8" s="15"/>
      <c r="I8" s="15"/>
      <c r="J8" s="15"/>
      <c r="K8" s="15"/>
      <c r="L8" s="15"/>
    </row>
    <row r="9" spans="3:12" x14ac:dyDescent="0.2">
      <c r="D9" s="15" t="s">
        <v>3469</v>
      </c>
      <c r="E9" s="21"/>
      <c r="F9" s="21"/>
      <c r="G9" s="15"/>
      <c r="H9" s="15"/>
      <c r="I9" s="15"/>
      <c r="J9" s="15"/>
      <c r="K9" s="15"/>
      <c r="L9" s="15"/>
    </row>
    <row r="14" spans="3:12" ht="15.75" x14ac:dyDescent="0.25">
      <c r="D14" s="18" t="s">
        <v>3471</v>
      </c>
    </row>
    <row r="15" spans="3:12" ht="30" x14ac:dyDescent="0.2">
      <c r="D15" s="12" t="s">
        <v>284</v>
      </c>
      <c r="E15" s="11"/>
      <c r="F15" s="12" t="s">
        <v>3475</v>
      </c>
      <c r="G15" s="10"/>
      <c r="H15" s="14" t="s">
        <v>3522</v>
      </c>
      <c r="I15" s="14" t="s">
        <v>3479</v>
      </c>
      <c r="J15" s="13" t="s">
        <v>3523</v>
      </c>
      <c r="K15" s="19" t="s">
        <v>3473</v>
      </c>
      <c r="L15" s="22" t="s">
        <v>3</v>
      </c>
    </row>
    <row r="16" spans="3:12" ht="18" x14ac:dyDescent="0.25">
      <c r="C16">
        <v>1</v>
      </c>
      <c r="D16" t="s">
        <v>3524</v>
      </c>
      <c r="E16" s="5" t="s">
        <v>3483</v>
      </c>
      <c r="F16" t="s">
        <v>3525</v>
      </c>
      <c r="I16" s="8"/>
    </row>
    <row r="17" spans="3:12" ht="18" x14ac:dyDescent="0.25">
      <c r="C17">
        <v>2</v>
      </c>
      <c r="D17" t="s">
        <v>3524</v>
      </c>
      <c r="E17" s="5" t="s">
        <v>3483</v>
      </c>
      <c r="F17" t="s">
        <v>3526</v>
      </c>
      <c r="I17" s="8"/>
    </row>
    <row r="18" spans="3:12" ht="18" x14ac:dyDescent="0.25">
      <c r="C18">
        <v>3</v>
      </c>
      <c r="D18" s="2" t="s">
        <v>3524</v>
      </c>
      <c r="E18" s="6" t="s">
        <v>3483</v>
      </c>
      <c r="F18" s="2" t="s">
        <v>3527</v>
      </c>
      <c r="G18" s="2"/>
      <c r="H18" s="2"/>
      <c r="I18" s="9"/>
      <c r="J18" s="2"/>
      <c r="K18" s="2"/>
      <c r="L18" s="2"/>
    </row>
    <row r="19" spans="3:12" ht="18" x14ac:dyDescent="0.25">
      <c r="C19">
        <v>4</v>
      </c>
      <c r="D19" t="s">
        <v>3528</v>
      </c>
      <c r="E19" s="5" t="s">
        <v>3483</v>
      </c>
      <c r="F19" t="s">
        <v>3529</v>
      </c>
      <c r="I19" s="3"/>
    </row>
    <row r="20" spans="3:12" ht="18" x14ac:dyDescent="0.25">
      <c r="C20">
        <v>5</v>
      </c>
      <c r="D20" t="s">
        <v>3528</v>
      </c>
      <c r="E20" s="5" t="s">
        <v>3483</v>
      </c>
      <c r="F20" t="s">
        <v>3530</v>
      </c>
      <c r="I20" s="3"/>
    </row>
    <row r="21" spans="3:12" ht="18" x14ac:dyDescent="0.25">
      <c r="C21">
        <v>6</v>
      </c>
      <c r="D21" t="s">
        <v>3528</v>
      </c>
      <c r="E21" s="5" t="s">
        <v>3483</v>
      </c>
      <c r="F21" t="s">
        <v>3531</v>
      </c>
      <c r="I21" s="3"/>
    </row>
    <row r="22" spans="3:12" ht="18" x14ac:dyDescent="0.25">
      <c r="C22">
        <v>7</v>
      </c>
      <c r="D22" s="2"/>
      <c r="E22" s="6" t="s">
        <v>3483</v>
      </c>
      <c r="F22" s="2"/>
      <c r="G22" s="2"/>
      <c r="H22" s="2"/>
      <c r="I22" s="7"/>
      <c r="J22" s="2"/>
      <c r="K22" s="2"/>
      <c r="L22" s="2"/>
    </row>
    <row r="23" spans="3:12" ht="18" x14ac:dyDescent="0.25">
      <c r="C23">
        <v>8</v>
      </c>
      <c r="E23" s="5" t="s">
        <v>3483</v>
      </c>
      <c r="I23" s="3"/>
    </row>
    <row r="24" spans="3:12" ht="18" x14ac:dyDescent="0.25">
      <c r="C24">
        <v>9</v>
      </c>
      <c r="E24" s="5" t="s">
        <v>3483</v>
      </c>
      <c r="I24" s="3"/>
    </row>
    <row r="25" spans="3:12" ht="18" x14ac:dyDescent="0.25">
      <c r="C25">
        <v>10</v>
      </c>
      <c r="E25" s="5" t="s">
        <v>3483</v>
      </c>
      <c r="I25" s="3"/>
    </row>
    <row r="26" spans="3:12" ht="18" x14ac:dyDescent="0.25">
      <c r="C26">
        <v>11</v>
      </c>
      <c r="E26" s="5" t="s">
        <v>3483</v>
      </c>
      <c r="I26" s="3"/>
    </row>
    <row r="27" spans="3:12" ht="18" x14ac:dyDescent="0.25">
      <c r="C27">
        <v>12</v>
      </c>
      <c r="D27" s="2"/>
      <c r="E27" s="6" t="s">
        <v>3483</v>
      </c>
      <c r="F27" s="2"/>
      <c r="G27" s="2"/>
      <c r="H27" s="2"/>
      <c r="I27" s="7"/>
      <c r="J27" s="2"/>
      <c r="K27" s="2"/>
      <c r="L27" s="2"/>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955F9-A9A4-4E50-A558-C3E100E4DF4D}">
  <sheetPr>
    <tabColor theme="0" tint="-0.249977111117893"/>
  </sheetPr>
  <dimension ref="A1"/>
  <sheetViews>
    <sheetView workbookViewId="0"/>
  </sheetViews>
  <sheetFormatPr baseColWidth="10" defaultColWidth="11" defaultRowHeight="14.2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433960cb-d79a-4302-87f2-cdc71c0d625b" xsi:nil="true"/>
    <Commentaires xmlns="410ce69e-a878-4028-a472-ef0f53926bff" xsi:nil="true"/>
    <lcf76f155ced4ddcb4097134ff3c332f xmlns="410ce69e-a878-4028-a472-ef0f53926bff">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3DC27E29419774FBC53AC5D4B20FE1E" ma:contentTypeVersion="15" ma:contentTypeDescription="Crée un document." ma:contentTypeScope="" ma:versionID="786ac24e8fe4639a0961014a8707d625">
  <xsd:schema xmlns:xsd="http://www.w3.org/2001/XMLSchema" xmlns:xs="http://www.w3.org/2001/XMLSchema" xmlns:p="http://schemas.microsoft.com/office/2006/metadata/properties" xmlns:ns2="410ce69e-a878-4028-a472-ef0f53926bff" xmlns:ns3="433960cb-d79a-4302-87f2-cdc71c0d625b" targetNamespace="http://schemas.microsoft.com/office/2006/metadata/properties" ma:root="true" ma:fieldsID="1a31223fbaad9a58d43a1a96e656b2e1" ns2:_="" ns3:_="">
    <xsd:import namespace="410ce69e-a878-4028-a472-ef0f53926bff"/>
    <xsd:import namespace="433960cb-d79a-4302-87f2-cdc71c0d625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aires" minOccurs="0"/>
                <xsd:element ref="ns2:MediaServiceSearchPropertie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10ce69e-a878-4028-a472-ef0f53926b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Balises d’images" ma:readOnly="false" ma:fieldId="{5cf76f15-5ced-4ddc-b409-7134ff3c332f}" ma:taxonomyMulti="true" ma:sspId="ff804446-778a-44e9-9973-97875d116571"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Commentaires" ma:index="19" nillable="true" ma:displayName="Commentaires" ma:format="Dropdown" ma:internalName="Commentaires">
      <xsd:simpleType>
        <xsd:restriction base="dms:Text">
          <xsd:maxLength value="255"/>
        </xsd:restriction>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DateTaken" ma:index="21" nillable="true" ma:displayName="MediaServiceDateTaken" ma:hidden="true" ma:indexed="true" ma:internalName="MediaServiceDateTake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433960cb-d79a-4302-87f2-cdc71c0d625b" elementFormDefault="qualified">
    <xsd:import namespace="http://schemas.microsoft.com/office/2006/documentManagement/types"/>
    <xsd:import namespace="http://schemas.microsoft.com/office/infopath/2007/PartnerControls"/>
    <xsd:element name="SharedWithUsers" ma:index="11"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Partagé avec détails" ma:internalName="SharedWithDetails" ma:readOnly="true">
      <xsd:simpleType>
        <xsd:restriction base="dms:Note">
          <xsd:maxLength value="255"/>
        </xsd:restriction>
      </xsd:simpleType>
    </xsd:element>
    <xsd:element name="TaxCatchAll" ma:index="15" nillable="true" ma:displayName="Taxonomy Catch All Column" ma:hidden="true" ma:list="{574a3c95-cc86-4168-a527-47b6a4979649}" ma:internalName="TaxCatchAll" ma:showField="CatchAllData" ma:web="433960cb-d79a-4302-87f2-cdc71c0d625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090966A-CEA6-4E89-9CBF-9F1CD5D93EF8}">
  <ds:schemaRefs>
    <ds:schemaRef ds:uri="http://www.w3.org/XML/1998/namespace"/>
    <ds:schemaRef ds:uri="410ce69e-a878-4028-a472-ef0f53926bff"/>
    <ds:schemaRef ds:uri="http://schemas.microsoft.com/office/2006/documentManagement/types"/>
    <ds:schemaRef ds:uri="http://purl.org/dc/elements/1.1/"/>
    <ds:schemaRef ds:uri="http://schemas.openxmlformats.org/package/2006/metadata/core-properties"/>
    <ds:schemaRef ds:uri="433960cb-d79a-4302-87f2-cdc71c0d625b"/>
    <ds:schemaRef ds:uri="http://purl.org/dc/dcmitype/"/>
    <ds:schemaRef ds:uri="http://schemas.microsoft.com/office/2006/metadata/properties"/>
    <ds:schemaRef ds:uri="http://purl.org/dc/terms/"/>
    <ds:schemaRef ds:uri="http://schemas.microsoft.com/office/infopath/2007/PartnerControls"/>
  </ds:schemaRefs>
</ds:datastoreItem>
</file>

<file path=customXml/itemProps2.xml><?xml version="1.0" encoding="utf-8"?>
<ds:datastoreItem xmlns:ds="http://schemas.openxmlformats.org/officeDocument/2006/customXml" ds:itemID="{9BC8A5A8-DE9F-48AC-B691-A827879CB49B}">
  <ds:schemaRefs>
    <ds:schemaRef ds:uri="http://schemas.microsoft.com/sharepoint/v3/contenttype/forms"/>
  </ds:schemaRefs>
</ds:datastoreItem>
</file>

<file path=customXml/itemProps3.xml><?xml version="1.0" encoding="utf-8"?>
<ds:datastoreItem xmlns:ds="http://schemas.openxmlformats.org/officeDocument/2006/customXml" ds:itemID="{06B16B35-CAC0-496B-A795-17561A88A5C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10ce69e-a878-4028-a472-ef0f53926bff"/>
    <ds:schemaRef ds:uri="433960cb-d79a-4302-87f2-cdc71c0d625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61</vt:i4>
      </vt:variant>
      <vt:variant>
        <vt:lpstr>Plages nommées</vt:lpstr>
      </vt:variant>
      <vt:variant>
        <vt:i4>1</vt:i4>
      </vt:variant>
    </vt:vector>
  </HeadingPairs>
  <TitlesOfParts>
    <vt:vector size="62" baseType="lpstr">
      <vt:lpstr>Sources</vt:lpstr>
      <vt:lpstr>OLD -SOURCES</vt:lpstr>
      <vt:lpstr>Introduction</vt:lpstr>
      <vt:lpstr>SOMMAIRE</vt:lpstr>
      <vt:lpstr>Chiffres clés Pilier 3</vt:lpstr>
      <vt:lpstr>1. DONNEES CONVENTIONNELLES</vt:lpstr>
      <vt:lpstr>A. Consommation</vt:lpstr>
      <vt:lpstr>0. Zones climatiques</vt:lpstr>
      <vt:lpstr>A.1. Conso_bâtiment_EF H2</vt:lpstr>
      <vt:lpstr>Conso_bâtiment_EP</vt:lpstr>
      <vt:lpstr>Clients 360 (2)</vt:lpstr>
      <vt:lpstr>A.1. Conso_bâtiment_EF H1</vt:lpstr>
      <vt:lpstr>A.1. Conso_bâtiment_EF H3</vt:lpstr>
      <vt:lpstr>A.2. Performances_Bâtiment H2</vt:lpstr>
      <vt:lpstr>1.2 bis Perf relatives PCS</vt:lpstr>
      <vt:lpstr>A.2. Performances_Bâtiment H1</vt:lpstr>
      <vt:lpstr>A.2. Performances_Bâtiment H3</vt:lpstr>
      <vt:lpstr>A.3. Conso_chaudière_indus</vt:lpstr>
      <vt:lpstr>A.4 Performances_Industrie</vt:lpstr>
      <vt:lpstr>Tableau techno EE et decarb</vt:lpstr>
      <vt:lpstr>A.5 Km_Conso_Mobilité</vt:lpstr>
      <vt:lpstr>Annexe - DPE</vt:lpstr>
      <vt:lpstr>B. Rénovation (en cours)</vt:lpstr>
      <vt:lpstr>B.1 Rénovation(chauffage+bâti)</vt:lpstr>
      <vt:lpstr>Coûts d'investissement</vt:lpstr>
      <vt:lpstr>Données outil décarbo</vt:lpstr>
      <vt:lpstr>C. Coûts financiers</vt:lpstr>
      <vt:lpstr>C.1 Facteurs éco - coûts</vt:lpstr>
      <vt:lpstr>C.2 Facteurs éco - aides</vt:lpstr>
      <vt:lpstr>D. Poids carbone</vt:lpstr>
      <vt:lpstr>D.1. Facteur d'émissions</vt:lpstr>
      <vt:lpstr>D.2. Equivalents ADEME</vt:lpstr>
      <vt:lpstr>2. DONNEES PROSPECTIVES</vt:lpstr>
      <vt:lpstr>Evolutions du marché gaz</vt:lpstr>
      <vt:lpstr>1.5.1 Evol du marché élec</vt:lpstr>
      <vt:lpstr>Ouvrir pour détail par régions&gt;</vt:lpstr>
      <vt:lpstr>Equipements de chauffage</vt:lpstr>
      <vt:lpstr>Solutions techniques TI</vt:lpstr>
      <vt:lpstr>Solutions techniques Res</vt:lpstr>
      <vt:lpstr>Hypothèses Présage</vt:lpstr>
      <vt:lpstr>Arbre de décision</vt:lpstr>
      <vt:lpstr>Maison</vt:lpstr>
      <vt:lpstr>Appartement individuel</vt:lpstr>
      <vt:lpstr>Appartement collectif</vt:lpstr>
      <vt:lpstr>Bâtiment tertiaire</vt:lpstr>
      <vt:lpstr>Cas moyens</vt:lpstr>
      <vt:lpstr>3. SCENARIOS</vt:lpstr>
      <vt:lpstr>3.1 Affaires CO2 - Clients 360</vt:lpstr>
      <vt:lpstr>3.2 Outil carbone</vt:lpstr>
      <vt:lpstr>Correspondance département</vt:lpstr>
      <vt:lpstr>Gains CO2 B2C par zone</vt:lpstr>
      <vt:lpstr>Feuil1</vt:lpstr>
      <vt:lpstr>OLD Outil - Argumentaire € CO2</vt:lpstr>
      <vt:lpstr>Argumentaires CO2-€</vt:lpstr>
      <vt:lpstr>TEST</vt:lpstr>
      <vt:lpstr>1. Maison indiv</vt:lpstr>
      <vt:lpstr>2. Appartement chauffage indiv</vt:lpstr>
      <vt:lpstr>3. Appartement chauffage coll</vt:lpstr>
      <vt:lpstr>4. Bâtiment tertiaire</vt:lpstr>
      <vt:lpstr>5. Site industriel</vt:lpstr>
      <vt:lpstr>6. Mobilité</vt:lpstr>
      <vt:lpstr>H1_chauffage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 Alaïs (GRDF)</dc:creator>
  <cp:keywords/>
  <dc:description/>
  <cp:lastModifiedBy>ORTOLLAND Dorian (GRDF)</cp:lastModifiedBy>
  <cp:revision/>
  <dcterms:created xsi:type="dcterms:W3CDTF">2025-02-06T17:07:11Z</dcterms:created>
  <dcterms:modified xsi:type="dcterms:W3CDTF">2025-09-30T08:51:30Z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0x01010013DC27E29419774FBC53AC5D4B20FE1E</vt:lpwstr>
  </property>
  <property fmtid="{D5CDD505-2E9C-101B-9397-08002B2CF9AE}" pid="3" name="MediaServiceImageTags">
    <vt:lpwstr/>
  </property>
</Properties>
</file>