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/>
  </bookViews>
  <sheets>
    <sheet name="Graphs" sheetId="26" r:id="rId1"/>
    <sheet name="GK Calcs" sheetId="27" r:id="rId2"/>
    <sheet name="Hood" sheetId="2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7" l="1"/>
  <c r="M33" i="27"/>
  <c r="G8" i="27" l="1"/>
  <c r="G7" i="27"/>
  <c r="H8" i="27"/>
  <c r="H7" i="27"/>
  <c r="E20" i="27"/>
  <c r="E21" i="27"/>
  <c r="E23" i="27"/>
  <c r="E24" i="27"/>
  <c r="C24" i="27"/>
  <c r="C21" i="27"/>
  <c r="B24" i="27"/>
  <c r="B12" i="27"/>
  <c r="C23" i="27"/>
  <c r="C20" i="27"/>
  <c r="B23" i="27"/>
  <c r="B11" i="27"/>
  <c r="B21" i="27"/>
  <c r="B20" i="27"/>
  <c r="B17" i="27"/>
  <c r="C12" i="27"/>
  <c r="B18" i="27"/>
  <c r="B15" i="27"/>
  <c r="B14" i="27"/>
  <c r="C11" i="27"/>
  <c r="C18" i="27" l="1"/>
  <c r="C17" i="27"/>
  <c r="D17" i="27" s="1"/>
  <c r="E17" i="27" s="1"/>
  <c r="E14" i="27"/>
  <c r="C15" i="27"/>
  <c r="D15" i="27" s="1"/>
  <c r="C14" i="27"/>
  <c r="D12" i="27"/>
  <c r="E18" i="27" s="1"/>
  <c r="D24" i="27"/>
  <c r="D23" i="27"/>
  <c r="D21" i="27"/>
  <c r="D20" i="27"/>
  <c r="D14" i="27"/>
  <c r="D11" i="27"/>
  <c r="E15" i="27" l="1"/>
  <c r="D18" i="27"/>
  <c r="AN29" i="25"/>
  <c r="AV29" i="25" l="1"/>
  <c r="BF29" i="25"/>
  <c r="AJ33" i="25" l="1"/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V34" i="26"/>
  <c r="V33" i="26"/>
  <c r="AB32" i="26"/>
  <c r="Z32" i="26"/>
  <c r="X32" i="26"/>
  <c r="V32" i="26"/>
  <c r="AN30" i="26" s="1"/>
  <c r="L32" i="26"/>
  <c r="I32" i="26"/>
  <c r="AH31" i="26"/>
  <c r="AB31" i="26"/>
  <c r="Z31" i="26"/>
  <c r="X31" i="26"/>
  <c r="V31" i="26"/>
  <c r="AH30" i="26"/>
  <c r="AB30" i="26"/>
  <c r="Z30" i="26"/>
  <c r="Y30" i="26"/>
  <c r="X30" i="26"/>
  <c r="V30" i="26"/>
  <c r="X29" i="26" s="1"/>
  <c r="AB29" i="26"/>
  <c r="AP36" i="26" s="1"/>
  <c r="Z29" i="26"/>
  <c r="AJ30" i="26" s="1"/>
  <c r="Y29" i="26"/>
  <c r="V29" i="26"/>
  <c r="BF30" i="26" s="1"/>
  <c r="I28" i="26"/>
  <c r="B28" i="26"/>
  <c r="AN53" i="26" l="1"/>
  <c r="AP53" i="26" s="1"/>
  <c r="AN39" i="26"/>
  <c r="AP39" i="26" s="1"/>
  <c r="AJ33" i="26"/>
  <c r="AJ35" i="26" s="1"/>
  <c r="AN74" i="26"/>
  <c r="BF59" i="26"/>
  <c r="AN62" i="26"/>
  <c r="AP62" i="26" s="1"/>
  <c r="AN60" i="26"/>
  <c r="AP60" i="26" s="1"/>
  <c r="AN61" i="26"/>
  <c r="AP61" i="26" s="1"/>
  <c r="AN83" i="26"/>
  <c r="AN79" i="26"/>
  <c r="AP79" i="26" s="1"/>
  <c r="AX79" i="26" s="1"/>
  <c r="BF79" i="26"/>
  <c r="BF69" i="26"/>
  <c r="BF49" i="26"/>
  <c r="AN50" i="26"/>
  <c r="AP50" i="26" s="1"/>
  <c r="AN49" i="26"/>
  <c r="AP49" i="26" s="1"/>
  <c r="AN54" i="26"/>
  <c r="AP54" i="26" s="1"/>
  <c r="BF29" i="26"/>
  <c r="AN33" i="26"/>
  <c r="AP33" i="26" s="1"/>
  <c r="AN31" i="26"/>
  <c r="AP31" i="26" s="1"/>
  <c r="AN29" i="26"/>
  <c r="AP29" i="26" s="1"/>
  <c r="AN34" i="26"/>
  <c r="AP34" i="26" s="1"/>
  <c r="AJ69" i="26"/>
  <c r="AJ71" i="26" s="1"/>
  <c r="AJ73" i="26"/>
  <c r="AJ70" i="26"/>
  <c r="AN41" i="26"/>
  <c r="AP41" i="26" s="1"/>
  <c r="AN43" i="26"/>
  <c r="AP43" i="26" s="1"/>
  <c r="AJ43" i="26"/>
  <c r="AJ45" i="26" s="1"/>
  <c r="AJ42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J52" i="26"/>
  <c r="BF39" i="26"/>
  <c r="AJ41" i="26"/>
  <c r="AN44" i="26"/>
  <c r="AP74" i="26"/>
  <c r="AX74" i="26" s="1"/>
  <c r="AJ29" i="26"/>
  <c r="AP30" i="26"/>
  <c r="AJ32" i="26"/>
  <c r="AN40" i="26"/>
  <c r="X49" i="26"/>
  <c r="AJ53" i="26"/>
  <c r="AZ73" i="26"/>
  <c r="AZ70" i="26"/>
  <c r="AZ74" i="26"/>
  <c r="AZ72" i="26"/>
  <c r="AN42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H31" i="25"/>
  <c r="AH30" i="25"/>
  <c r="AJ34" i="26" l="1"/>
  <c r="AJ75" i="26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AB30" i="25"/>
  <c r="Z30" i="25"/>
  <c r="Y30" i="25"/>
  <c r="X30" i="25"/>
  <c r="V30" i="25"/>
  <c r="AB29" i="25"/>
  <c r="AP36" i="25" s="1"/>
  <c r="Z29" i="25"/>
  <c r="AJ30" i="25" s="1"/>
  <c r="AJ35" i="25" s="1"/>
  <c r="Y29" i="25"/>
  <c r="V29" i="25"/>
  <c r="I28" i="25"/>
  <c r="B28" i="25"/>
  <c r="AZ29" i="25" l="1"/>
  <c r="BF30" i="25"/>
  <c r="AJ29" i="25"/>
  <c r="AJ34" i="25" s="1"/>
  <c r="AJ32" i="25"/>
  <c r="AJ36" i="25" s="1"/>
  <c r="AL32" i="26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AJ31" i="25" s="1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P29" i="25"/>
  <c r="AX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L63" i="26"/>
  <c r="AL64" i="26" s="1"/>
  <c r="AL62" i="26"/>
  <c r="AL35" i="26"/>
  <c r="AJ86" i="25"/>
  <c r="AJ76" i="25"/>
  <c r="AJ66" i="25"/>
  <c r="AJ56" i="25"/>
  <c r="AJ46" i="25"/>
  <c r="F117" i="25"/>
  <c r="CQ149" i="25" s="1"/>
  <c r="CR147" i="25"/>
  <c r="F97" i="25"/>
  <c r="CQ147" i="25" s="1"/>
  <c r="AV44" i="26" l="1"/>
  <c r="AX44" i="26" s="1"/>
  <c r="AV42" i="26"/>
  <c r="AZ42" i="26" s="1"/>
  <c r="AV43" i="26"/>
  <c r="AZ43" i="26" s="1"/>
  <c r="AV40" i="26"/>
  <c r="AX40" i="26" s="1"/>
  <c r="AV39" i="26"/>
  <c r="AX39" i="26" s="1"/>
  <c r="AV41" i="26"/>
  <c r="AX41" i="26" s="1"/>
  <c r="AV34" i="26"/>
  <c r="AV32" i="26"/>
  <c r="AV29" i="26"/>
  <c r="AV31" i="26"/>
  <c r="AV30" i="26"/>
  <c r="AV33" i="26"/>
  <c r="AL65" i="26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L55" i="26"/>
  <c r="AR29" i="26"/>
  <c r="AT31" i="26"/>
  <c r="AR32" i="26"/>
  <c r="AT34" i="26"/>
  <c r="AR31" i="26"/>
  <c r="AT33" i="26"/>
  <c r="AT29" i="26"/>
  <c r="AT30" i="26"/>
  <c r="AR33" i="26"/>
  <c r="AR30" i="26"/>
  <c r="AR34" i="26"/>
  <c r="AT32" i="26"/>
  <c r="AL82" i="26"/>
  <c r="AL83" i="26"/>
  <c r="AL84" i="26" s="1"/>
  <c r="AL30" i="25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X42" i="26" l="1"/>
  <c r="AZ41" i="26"/>
  <c r="BB41" i="26" s="1"/>
  <c r="BN41" i="26" s="1"/>
  <c r="AX43" i="26"/>
  <c r="AZ40" i="26"/>
  <c r="BB40" i="26" s="1"/>
  <c r="BN40" i="26" s="1"/>
  <c r="AZ44" i="26"/>
  <c r="AZ39" i="26"/>
  <c r="BB39" i="26" s="1"/>
  <c r="BN39" i="26" s="1"/>
  <c r="AZ30" i="26"/>
  <c r="AX30" i="26"/>
  <c r="BD30" i="26" s="1"/>
  <c r="AZ34" i="26"/>
  <c r="BB34" i="26" s="1"/>
  <c r="AX34" i="26"/>
  <c r="BD34" i="26" s="1"/>
  <c r="AZ29" i="26"/>
  <c r="BB29" i="26" s="1"/>
  <c r="AX29" i="26"/>
  <c r="BD29" i="26" s="1"/>
  <c r="AZ31" i="26"/>
  <c r="BB31" i="26" s="1"/>
  <c r="AX31" i="26"/>
  <c r="BD31" i="26" s="1"/>
  <c r="BB30" i="26"/>
  <c r="BH30" i="26" s="1"/>
  <c r="AZ33" i="26"/>
  <c r="BB33" i="26" s="1"/>
  <c r="AX33" i="26"/>
  <c r="BD33" i="26" s="1"/>
  <c r="AZ32" i="26"/>
  <c r="BB32" i="26" s="1"/>
  <c r="AX32" i="26"/>
  <c r="BD32" i="26" s="1"/>
  <c r="AT59" i="26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D39" i="26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AX63" i="26"/>
  <c r="AZ63" i="26"/>
  <c r="AX60" i="26"/>
  <c r="AZ60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AX59" i="26"/>
  <c r="AZ61" i="26"/>
  <c r="AX61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H41" i="26" l="1"/>
  <c r="BJ41" i="26" s="1"/>
  <c r="BL41" i="26" s="1"/>
  <c r="E41" i="26" s="1"/>
  <c r="F41" i="26" s="1"/>
  <c r="BN30" i="26"/>
  <c r="BB59" i="26"/>
  <c r="BH59" i="26" s="1"/>
  <c r="BN32" i="26"/>
  <c r="BH32" i="26"/>
  <c r="BJ32" i="26" s="1"/>
  <c r="BL32" i="26" s="1"/>
  <c r="BN29" i="26"/>
  <c r="BH29" i="26"/>
  <c r="BJ29" i="26" s="1"/>
  <c r="BL29" i="26" s="1"/>
  <c r="BH34" i="26"/>
  <c r="BJ34" i="26" s="1"/>
  <c r="BL34" i="26" s="1"/>
  <c r="BN34" i="26"/>
  <c r="BN33" i="26"/>
  <c r="BH33" i="26"/>
  <c r="BJ33" i="26" s="1"/>
  <c r="BL33" i="26" s="1"/>
  <c r="E33" i="26" s="1"/>
  <c r="F33" i="26" s="1"/>
  <c r="BN31" i="26"/>
  <c r="BH31" i="26"/>
  <c r="BJ31" i="26" s="1"/>
  <c r="BL31" i="26" s="1"/>
  <c r="BJ30" i="26"/>
  <c r="BL30" i="26" s="1"/>
  <c r="BP30" i="26" s="1"/>
  <c r="BD63" i="26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AZ51" i="26"/>
  <c r="BB51" i="26" s="1"/>
  <c r="AX51" i="26"/>
  <c r="BD51" i="26" s="1"/>
  <c r="AZ54" i="26"/>
  <c r="BB54" i="26" s="1"/>
  <c r="AX54" i="26"/>
  <c r="BD54" i="26" s="1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AZ53" i="26"/>
  <c r="BB53" i="26" s="1"/>
  <c r="AX53" i="26"/>
  <c r="BD53" i="26" s="1"/>
  <c r="E32" i="26"/>
  <c r="F32" i="26" s="1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5" i="25" s="1"/>
  <c r="AL33" i="25"/>
  <c r="AL34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BN59" i="26" l="1"/>
  <c r="BP31" i="26"/>
  <c r="BP32" i="26"/>
  <c r="E29" i="26"/>
  <c r="F29" i="26" s="1"/>
  <c r="BP29" i="26"/>
  <c r="BP33" i="26"/>
  <c r="E30" i="26"/>
  <c r="F30" i="26" s="1"/>
  <c r="BJ63" i="26"/>
  <c r="BL63" i="26" s="1"/>
  <c r="AR29" i="25"/>
  <c r="BD29" i="25" s="1"/>
  <c r="AT29" i="25"/>
  <c r="BB29" i="25" s="1"/>
  <c r="BH29" i="25" s="1"/>
  <c r="AT34" i="25"/>
  <c r="BN64" i="26"/>
  <c r="BH62" i="26"/>
  <c r="BJ62" i="26" s="1"/>
  <c r="BL62" i="26" s="1"/>
  <c r="BP62" i="26" s="1"/>
  <c r="BJ59" i="26"/>
  <c r="BL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32" i="25"/>
  <c r="AT33" i="25"/>
  <c r="AR34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P59" i="26" l="1"/>
  <c r="BR29" i="26"/>
  <c r="BR30" i="26" s="1"/>
  <c r="E36" i="26" s="1"/>
  <c r="CR141" i="26" s="1"/>
  <c r="BP63" i="26"/>
  <c r="BJ29" i="25"/>
  <c r="BL29" i="25" s="1"/>
  <c r="BN29" i="25"/>
  <c r="AR32" i="25"/>
  <c r="AR31" i="25"/>
  <c r="AT30" i="25"/>
  <c r="AT31" i="25"/>
  <c r="AT32" i="25"/>
  <c r="AR33" i="25"/>
  <c r="AR30" i="25"/>
  <c r="BP64" i="26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AZ30" i="25"/>
  <c r="BB30" i="25" s="1"/>
  <c r="BH30" i="25" s="1"/>
  <c r="AX30" i="25"/>
  <c r="AZ32" i="25"/>
  <c r="AX32" i="25"/>
  <c r="AZ34" i="25"/>
  <c r="BB34" i="25" s="1"/>
  <c r="AX34" i="25"/>
  <c r="BD34" i="25" s="1"/>
  <c r="AZ31" i="25"/>
  <c r="AX31" i="25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F36" i="26" l="1"/>
  <c r="CQ141" i="26" s="1"/>
  <c r="BB31" i="25"/>
  <c r="BH31" i="25" s="1"/>
  <c r="BD32" i="25"/>
  <c r="BB32" i="25"/>
  <c r="BH32" i="25" s="1"/>
  <c r="BD33" i="25"/>
  <c r="BD31" i="25"/>
  <c r="BD30" i="25"/>
  <c r="BJ30" i="25" s="1"/>
  <c r="BL30" i="25" s="1"/>
  <c r="BR59" i="26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P29" i="25"/>
  <c r="BH34" i="25"/>
  <c r="BJ34" i="25" s="1"/>
  <c r="BL34" i="25" s="1"/>
  <c r="BN34" i="25"/>
  <c r="BH33" i="25"/>
  <c r="BN33" i="25"/>
  <c r="BN32" i="25"/>
  <c r="BN31" i="25"/>
  <c r="BN30" i="25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F66" i="26" l="1"/>
  <c r="CQ144" i="26" s="1"/>
  <c r="BJ32" i="25"/>
  <c r="BL32" i="25" s="1"/>
  <c r="BP34" i="25"/>
  <c r="BJ33" i="25"/>
  <c r="BL33" i="25" s="1"/>
  <c r="BP33" i="25" s="1"/>
  <c r="BJ31" i="25"/>
  <c r="BL31" i="25" s="1"/>
  <c r="E31" i="25" s="1"/>
  <c r="F31" i="25" s="1"/>
  <c r="E29" i="25"/>
  <c r="F29" i="25" s="1"/>
  <c r="E30" i="25"/>
  <c r="F30" i="25" s="1"/>
  <c r="E32" i="25"/>
  <c r="F32" i="25" s="1"/>
  <c r="BP30" i="25"/>
  <c r="AH100" i="26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4" i="25"/>
  <c r="F34" i="25" s="1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BP31" i="25" l="1"/>
  <c r="BR29" i="25" s="1"/>
  <c r="BR30" i="25" s="1"/>
  <c r="E36" i="25" s="1"/>
  <c r="F36" i="25" s="1"/>
  <c r="CQ141" i="25" s="1"/>
  <c r="E33" i="25"/>
  <c r="F33" i="25" s="1"/>
  <c r="CR148" i="26"/>
  <c r="F97" i="26"/>
  <c r="CQ147" i="26" s="1"/>
  <c r="CR147" i="26"/>
  <c r="F117" i="26"/>
  <c r="CQ149" i="26" s="1"/>
  <c r="CR144" i="25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<sst xmlns="http://schemas.openxmlformats.org/spreadsheetml/2006/main" count="1784" uniqueCount="180">
  <si>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</si>
  <si>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</si>
  <si>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</si>
  <si>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</si>
  <si>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</si>
  <si>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</si>
  <si>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</si>
  <si>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</si>
  <si>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</si>
  <si>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</si>
  <si>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</si>
  <si>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</si>
  <si>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</si>
  <si>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</si>
  <si>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</si>
  <si>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</si>
  <si>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</si>
  <si>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</si>
  <si>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</si>
  <si>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</si>
  <si>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</si>
  <si>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</si>
  <si>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</si>
  <si>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</si>
  <si>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</si>
  <si>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</si>
  <si>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</si>
  <si>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</si>
  <si>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</si>
  <si>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</si>
  <si>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</si>
  <si>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</si>
  <si>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</si>
  <si>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</si>
  <si>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</si>
  <si>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</si>
  <si>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</si>
  <si>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</si>
  <si>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</si>
  <si>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</si>
  <si>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</si>
  <si>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</si>
  <si>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</si>
  <si>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</si>
  <si>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</si>
  <si>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</si>
  <si>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</si>
  <si>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</si>
  <si>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</si>
  <si>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</si>
  <si>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</si>
  <si>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</si>
  <si>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</si>
  <si>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</si>
  <si>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</si>
  <si>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</si>
  <si>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</si>
  <si>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</si>
  <si>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</si>
  <si>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</si>
  <si>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</si>
  <si>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</si>
  <si>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</si>
  <si>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</si>
  <si>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</si>
  <si>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</si>
  <si>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</si>
  <si>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</si>
  <si>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</si>
  <si>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</si>
  <si>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</si>
  <si>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</si>
  <si>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</si>
  <si>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</si>
  <si>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</si>
  <si>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</si>
  <si>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</si>
  <si>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</si>
  <si>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</si>
  <si>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</si>
  <si>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</si>
  <si>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</si>
  <si>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</si>
  <si>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</si>
  <si>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</si>
  <si>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</si>
  <si>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</si>
  <si>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</si>
  <si>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</si>
  <si>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</si>
  <si>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</si>
  <si>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</si>
  <si>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</si>
  <si>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</si>
  <si>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</si>
  <si>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</si>
  <si>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</si>
  <si>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</si>
  <si>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</si>
  <si>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</si>
  <si>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</si>
  <si>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</si>
  <si>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</si>
  <si>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</si>
  <si>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</si>
  <si>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</si>
  <si>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</si>
  <si>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</si>
  <si>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</si>
  <si>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</si>
  <si>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</si>
  <si>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</si>
  <si>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</si>
  <si>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</si>
  <si>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</si>
  <si>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</si>
  <si>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</si>
  <si>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</si>
  <si>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</si>
  <si>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</si>
  <si>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</si>
  <si>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</si>
  <si>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</si>
  <si>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</si>
  <si>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</si>
  <si>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</si>
  <si>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</si>
  <si>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</si>
  <si>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Chaplain</t>
  </si>
  <si>
    <t>1x Falchion (Hybrid)</t>
  </si>
  <si>
    <t>1x SB</t>
  </si>
  <si>
    <t>1x SB (RF)</t>
  </si>
  <si>
    <t>1x Psilencer</t>
  </si>
  <si>
    <t>1x Psilencer w/ Draigo &amp; Strategem</t>
  </si>
  <si>
    <t>1x SB (RF) w/ Draigo &amp; Strategem</t>
  </si>
  <si>
    <t>5-man squad w/ Ancient</t>
  </si>
  <si>
    <t>5-man squad w/ GM</t>
  </si>
  <si>
    <t>5-man squad w/ Draigo</t>
  </si>
  <si>
    <t>5-man squad w/ Chaplain</t>
  </si>
  <si>
    <t>Shooting</t>
  </si>
  <si>
    <t>Fight</t>
  </si>
  <si>
    <t>5-man squad (RF) w/ Ancient</t>
  </si>
  <si>
    <t>5-man squad (RF) w/ GM</t>
  </si>
  <si>
    <t>5-man squad (RF) w/ Draigo</t>
  </si>
  <si>
    <t>5-man squad (RF) w/ Chaplain</t>
  </si>
  <si>
    <t>1x Fist</t>
  </si>
  <si>
    <t>5-man squad (RF)</t>
  </si>
  <si>
    <t>5-man squad</t>
  </si>
  <si>
    <t>Total</t>
  </si>
  <si>
    <t>Delta</t>
  </si>
  <si>
    <t>w/ GM</t>
  </si>
  <si>
    <t>w/ Draigo</t>
  </si>
  <si>
    <t>SBs</t>
  </si>
  <si>
    <t>Draigo</t>
  </si>
  <si>
    <t>D6</t>
  </si>
  <si>
    <t>Melta</t>
  </si>
  <si>
    <t>Assault #2</t>
  </si>
  <si>
    <t>Assault #1</t>
  </si>
  <si>
    <t>Fly Stuff</t>
  </si>
  <si>
    <t>TOTAL</t>
  </si>
  <si>
    <t>Smite</t>
  </si>
  <si>
    <t>SB</t>
  </si>
  <si>
    <t>BC+Banner Combo</t>
  </si>
  <si>
    <t>Smite #1</t>
  </si>
  <si>
    <t>Purge</t>
  </si>
  <si>
    <t>Draigo SB</t>
  </si>
  <si>
    <t>Upgrade</t>
  </si>
  <si>
    <t>Hunter Killer</t>
  </si>
  <si>
    <t>Land Raider</t>
  </si>
  <si>
    <t>Dreadnought</t>
  </si>
  <si>
    <t>Stormhawk Interceptor</t>
  </si>
  <si>
    <t>Interceptor</t>
  </si>
  <si>
    <t>Las-Talon</t>
  </si>
  <si>
    <t>Callidus</t>
  </si>
  <si>
    <t>Eversor</t>
  </si>
  <si>
    <t>Twin Las</t>
  </si>
  <si>
    <t>Twin Multi Melta</t>
  </si>
  <si>
    <t>2D6 pick highest</t>
  </si>
  <si>
    <t>2x Stormstrike</t>
  </si>
  <si>
    <t>2x H. Bolters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</si>
</sst>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0" fillId="0" borderId="0" xfId="0" applyFont="1"/>
    <xf numFmtId="0" fontId="1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 vertical="top" wrapText="1"/>
    </xf>
    <xf numFmtId="0" fontId="5" fillId="4" borderId="0" xfId="4" applyFont="1" applyBorder="1" applyAlignment="1">
      <alignment horizontal="center" vertical="center" wrapText="1"/>
    </xf>
    <xf numFmtId="0" fontId="5" fillId="4" borderId="11" xfId="4" applyFont="1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Graphs!$I$30</c:f>
              <c:strCache>
                <c:ptCount val="1"/>
                <c:pt idx="0">
                  <c:v>Twin Las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Graphs!$I$40</c:f>
              <c:strCache>
                <c:ptCount val="1"/>
                <c:pt idx="0">
                  <c:v>Twin Multi Melta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Graphs!$I$50</c:f>
              <c:strCache>
                <c:ptCount val="1"/>
                <c:pt idx="0">
                  <c:v>2x Stormstrike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Graphs!$I$60</c:f>
              <c:strCache>
                <c:ptCount val="1"/>
                <c:pt idx="0">
                  <c:v>2x H. Bolters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Graphs!$I$70</c:f>
              <c:strCache>
                <c:ptCount val="1"/>
                <c:pt idx="0">
                  <c:v>Las-Talon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Graphs!$I$80</c:f>
              <c:strCache>
                <c:ptCount val="1"/>
                <c:pt idx="0">
                  <c:v>Hunter Killer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Graphs!$I$90</c:f>
              <c:strCache>
                <c:ptCount val="1"/>
                <c:pt idx="0">
                  <c:v>Interceptor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Graphs!$F$90:$F$95</c:f>
              <c:numCache>
                <c:formatCode>General</c:formatCode>
                <c:ptCount val="6"/>
                <c:pt idx="0">
                  <c:v>5.4164655033680481E-2</c:v>
                </c:pt>
                <c:pt idx="1">
                  <c:v>5.0854081890705109E-2</c:v>
                </c:pt>
                <c:pt idx="2">
                  <c:v>3.935903625537393E-2</c:v>
                </c:pt>
                <c:pt idx="3">
                  <c:v>3.935903625537393E-2</c:v>
                </c:pt>
                <c:pt idx="4">
                  <c:v>3.935903625537393E-2</c:v>
                </c:pt>
                <c:pt idx="5">
                  <c:v>3.0277950203462304E-2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Graphs!$I$100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Graphs!$I$110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82072"/>
        <c:axId val="466995424"/>
      </c:scatterChart>
      <c:valAx>
        <c:axId val="44568207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95424"/>
        <c:crosses val="autoZero"/>
        <c:crossBetween val="midCat"/>
        <c:majorUnit val="1"/>
        <c:minorUnit val="1"/>
      </c:valAx>
      <c:valAx>
        <c:axId val="466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Graphs!$I$30</c:f>
              <c:strCache>
                <c:ptCount val="1"/>
                <c:pt idx="0">
                  <c:v>Twin Las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Graphs!$E$29:$E$34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Graphs!$I$40</c:f>
              <c:strCache>
                <c:ptCount val="1"/>
                <c:pt idx="0">
                  <c:v>Twin Multi Melta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Graphs!$I$50</c:f>
              <c:strCache>
                <c:ptCount val="1"/>
                <c:pt idx="0">
                  <c:v>2x Stormstrike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Graphs!$I$60</c:f>
              <c:strCache>
                <c:ptCount val="1"/>
                <c:pt idx="0">
                  <c:v>2x H. Bolters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Graphs!$I$70</c:f>
              <c:strCache>
                <c:ptCount val="1"/>
                <c:pt idx="0">
                  <c:v>Las-Talon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Graphs!$I$80</c:f>
              <c:strCache>
                <c:ptCount val="1"/>
                <c:pt idx="0">
                  <c:v>Hunter Killer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Graphs!$I$90</c:f>
              <c:strCache>
                <c:ptCount val="1"/>
                <c:pt idx="0">
                  <c:v>Interceptor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Graphs!$E$90:$E$95</c:f>
              <c:numCache>
                <c:formatCode>General</c:formatCode>
                <c:ptCount val="6"/>
                <c:pt idx="0">
                  <c:v>19.390946502057613</c:v>
                </c:pt>
                <c:pt idx="1">
                  <c:v>18.205761316872429</c:v>
                </c:pt>
                <c:pt idx="2">
                  <c:v>14.090534979423868</c:v>
                </c:pt>
                <c:pt idx="3">
                  <c:v>14.090534979423868</c:v>
                </c:pt>
                <c:pt idx="4">
                  <c:v>14.090534979423868</c:v>
                </c:pt>
                <c:pt idx="5">
                  <c:v>10.839506172839505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Graphs!$I$100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Graphs!$I$110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Graphs!$E$110:$E$115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02088"/>
        <c:axId val="467000128"/>
      </c:scatterChart>
      <c:valAx>
        <c:axId val="4670020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0128"/>
        <c:crosses val="autoZero"/>
        <c:crossBetween val="midCat"/>
        <c:majorUnit val="1"/>
        <c:minorUnit val="1"/>
      </c:valAx>
      <c:valAx>
        <c:axId val="467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checked="Checked" fmlaLink="$AF$35" lockText="1" noThreeD="1"/>
</file>

<file path=xl/ctrlProps/ctrlProp124.xml><?xml version="1.0" encoding="utf-8"?>
<formControlPr xmlns="http://schemas.microsoft.com/office/spreadsheetml/2009/9/main" objectType="CheckBox" checked="Checked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checked="Checked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checked="Checked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checked="Checked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checked="Checked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checked="Checked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fmlaLink="$AF$46" lockText="1" noThreeD="1"/>
</file>

<file path=xl/ctrlProps/ctrlProp84.xml><?xml version="1.0" encoding="utf-8"?>
<formControlPr xmlns="http://schemas.microsoft.com/office/spreadsheetml/2009/9/main" objectType="CheckBox" fmlaLink="$AF$36" lockText="1" noThreeD="1"/>
</file>

<file path=xl/ctrlProps/ctrlProp85.xml><?xml version="1.0" encoding="utf-8"?>
<formControlPr xmlns="http://schemas.microsoft.com/office/spreadsheetml/2009/9/main" objectType="CheckBox" checked="Checked" fmlaLink="$AH$29" lockText="1" noThreeD="1"/>
</file>

<file path=xl/ctrlProps/ctrlProp86.xml><?xml version="1.0" encoding="utf-8"?>
<formControlPr xmlns="http://schemas.microsoft.com/office/spreadsheetml/2009/9/main" objectType="CheckBox" checked="Checked" fmlaLink="$AH$39" lockText="1" noThreeD="1"/>
</file>

<file path=xl/ctrlProps/ctrlProp87.xml><?xml version="1.0" encoding="utf-8"?>
<formControlPr xmlns="http://schemas.microsoft.com/office/spreadsheetml/2009/9/main" objectType="CheckBox" checked="Checked" fmlaLink="$AH$49" lockText="1" noThreeD="1"/>
</file>

<file path=xl/ctrlProps/ctrlProp88.xml><?xml version="1.0" encoding="utf-8"?>
<formControlPr xmlns="http://schemas.microsoft.com/office/spreadsheetml/2009/9/main" objectType="CheckBox" checked="Checked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="" xmlns:a16="http://schemas.microsoft.com/office/drawing/2014/main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="" xmlns:a16="http://schemas.microsoft.com/office/drawing/2014/main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="" xmlns:a16="http://schemas.microsoft.com/office/drawing/2014/main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="" xmlns:a16="http://schemas.microsoft.com/office/drawing/2014/main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="" xmlns:a16="http://schemas.microsoft.com/office/drawing/2014/main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="" xmlns:a16="http://schemas.microsoft.com/office/drawing/2014/main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="" xmlns:a16="http://schemas.microsoft.com/office/drawing/2014/main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="" xmlns:a16="http://schemas.microsoft.com/office/drawing/2014/main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="" xmlns:a16="http://schemas.microsoft.com/office/drawing/2014/main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="" xmlns:a16="http://schemas.microsoft.com/office/drawing/2014/main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="" xmlns:a16="http://schemas.microsoft.com/office/drawing/2014/main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="" xmlns:a16="http://schemas.microsoft.com/office/drawing/2014/main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="" xmlns:a16="http://schemas.microsoft.com/office/drawing/2014/main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="" xmlns:a16="http://schemas.microsoft.com/office/drawing/2014/main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="" xmlns:a16="http://schemas.microsoft.com/office/drawing/2014/main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="" xmlns:a16="http://schemas.microsoft.com/office/drawing/2014/main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="" xmlns:a16="http://schemas.microsoft.com/office/drawing/2014/main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="" xmlns:a16="http://schemas.microsoft.com/office/drawing/2014/main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="" xmlns:a16="http://schemas.microsoft.com/office/drawing/2014/main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="" xmlns:a16="http://schemas.microsoft.com/office/drawing/2014/main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="" xmlns:a16="http://schemas.microsoft.com/office/drawing/2014/main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="" xmlns:a16="http://schemas.microsoft.com/office/drawing/2014/main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="" xmlns:a16="http://schemas.microsoft.com/office/drawing/2014/main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="" xmlns:a16="http://schemas.microsoft.com/office/drawing/2014/main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="" xmlns:a16="http://schemas.microsoft.com/office/drawing/2014/main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="" xmlns:a16="http://schemas.microsoft.com/office/drawing/2014/main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="" xmlns:a16="http://schemas.microsoft.com/office/drawing/2014/main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="" xmlns:a16="http://schemas.microsoft.com/office/drawing/2014/main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="" xmlns:a16="http://schemas.microsoft.com/office/drawing/2014/main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="" xmlns:a16="http://schemas.microsoft.com/office/drawing/2014/main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="" xmlns:a16="http://schemas.microsoft.com/office/drawing/2014/main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="" xmlns:a16="http://schemas.microsoft.com/office/drawing/2014/main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="" xmlns:a16="http://schemas.microsoft.com/office/drawing/2014/main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="" xmlns:a16="http://schemas.microsoft.com/office/drawing/2014/main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="" xmlns:a16="http://schemas.microsoft.com/office/drawing/2014/main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="" xmlns:a16="http://schemas.microsoft.com/office/drawing/2014/main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="" xmlns:a16="http://schemas.microsoft.com/office/drawing/2014/main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="" xmlns:a16="http://schemas.microsoft.com/office/drawing/2014/main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="" xmlns:a16="http://schemas.microsoft.com/office/drawing/2014/main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="" xmlns:a16="http://schemas.microsoft.com/office/drawing/2014/main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="" xmlns:a16="http://schemas.microsoft.com/office/drawing/2014/main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="" xmlns:a16="http://schemas.microsoft.com/office/drawing/2014/main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="" xmlns:a16="http://schemas.microsoft.com/office/drawing/2014/main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="" xmlns:a16="http://schemas.microsoft.com/office/drawing/2014/main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="" xmlns:a16="http://schemas.microsoft.com/office/drawing/2014/main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="" xmlns:a16="http://schemas.microsoft.com/office/drawing/2014/main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="" xmlns:a16="http://schemas.microsoft.com/office/drawing/2014/main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="" xmlns:a16="http://schemas.microsoft.com/office/drawing/2014/main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="" xmlns:a16="http://schemas.microsoft.com/office/drawing/2014/main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="" xmlns:a16="http://schemas.microsoft.com/office/drawing/2014/main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="" xmlns:a16="http://schemas.microsoft.com/office/drawing/2014/main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="" xmlns:a16="http://schemas.microsoft.com/office/drawing/2014/main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="" xmlns:a16="http://schemas.microsoft.com/office/drawing/2014/main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="" xmlns:a16="http://schemas.microsoft.com/office/drawing/2014/main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="" xmlns:a16="http://schemas.microsoft.com/office/drawing/2014/main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="" xmlns:a16="http://schemas.microsoft.com/office/drawing/2014/main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="" xmlns:a16="http://schemas.microsoft.com/office/drawing/2014/main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="" xmlns:a16="http://schemas.microsoft.com/office/drawing/2014/main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="" xmlns:a16="http://schemas.microsoft.com/office/drawing/2014/main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="" xmlns:a16="http://schemas.microsoft.com/office/drawing/2014/main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="" xmlns:a16="http://schemas.microsoft.com/office/drawing/2014/main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="" xmlns:a16="http://schemas.microsoft.com/office/drawing/2014/main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="" xmlns:a16="http://schemas.microsoft.com/office/drawing/2014/main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="" xmlns:a16="http://schemas.microsoft.com/office/drawing/2014/main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="" xmlns:a16="http://schemas.microsoft.com/office/drawing/2014/main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="" xmlns:a16="http://schemas.microsoft.com/office/drawing/2014/main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="" xmlns:a16="http://schemas.microsoft.com/office/drawing/2014/main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="" xmlns:a16="http://schemas.microsoft.com/office/drawing/2014/main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="" xmlns:a16="http://schemas.microsoft.com/office/drawing/2014/main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="" xmlns:a16="http://schemas.microsoft.com/office/drawing/2014/main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="" xmlns:a16="http://schemas.microsoft.com/office/drawing/2014/main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="" xmlns:a16="http://schemas.microsoft.com/office/drawing/2014/main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="" xmlns:a16="http://schemas.microsoft.com/office/drawing/2014/main" id="{8E500886-741B-46CC-9E45-5B9F6D62FB3F}"/>
            </a:ext>
          </a:extLst>
        </xdr:cNvPr>
        <xdr:cNvGrpSpPr/>
      </xdr:nvGrpSpPr>
      <xdr:grpSpPr>
        <a:xfrm>
          <a:off x="9922622" y="137797"/>
          <a:ext cx="10811894" cy="11017340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="" xmlns:a16="http://schemas.microsoft.com/office/drawing/2014/main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="" xmlns:a16="http://schemas.microsoft.com/office/drawing/2014/main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="" xmlns:a16="http://schemas.microsoft.com/office/drawing/2014/main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="" xmlns:a16="http://schemas.microsoft.com/office/drawing/2014/main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="" xmlns:a16="http://schemas.microsoft.com/office/drawing/2014/main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="" xmlns:a16="http://schemas.microsoft.com/office/drawing/2014/main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="" xmlns:a16="http://schemas.microsoft.com/office/drawing/2014/main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="" xmlns:a16="http://schemas.microsoft.com/office/drawing/2014/main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="" xmlns:a16="http://schemas.microsoft.com/office/drawing/2014/main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="" xmlns:a16="http://schemas.microsoft.com/office/drawing/2014/main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="" xmlns:a16="http://schemas.microsoft.com/office/drawing/2014/main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="" xmlns:a16="http://schemas.microsoft.com/office/drawing/2014/main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="" xmlns:a16="http://schemas.microsoft.com/office/drawing/2014/main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="" xmlns:a16="http://schemas.microsoft.com/office/drawing/2014/main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="" xmlns:a16="http://schemas.microsoft.com/office/drawing/2014/main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="" xmlns:a16="http://schemas.microsoft.com/office/drawing/2014/main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="" xmlns:a16="http://schemas.microsoft.com/office/drawing/2014/main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="" xmlns:a16="http://schemas.microsoft.com/office/drawing/2014/main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="" xmlns:a16="http://schemas.microsoft.com/office/drawing/2014/main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="" xmlns:a16="http://schemas.microsoft.com/office/drawing/2014/main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="" xmlns:a16="http://schemas.microsoft.com/office/drawing/2014/main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="" xmlns:a16="http://schemas.microsoft.com/office/drawing/2014/main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="" xmlns:a16="http://schemas.microsoft.com/office/drawing/2014/main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="" xmlns:a16="http://schemas.microsoft.com/office/drawing/2014/main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="" xmlns:a16="http://schemas.microsoft.com/office/drawing/2014/main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="" xmlns:a16="http://schemas.microsoft.com/office/drawing/2014/main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="" xmlns:a16="http://schemas.microsoft.com/office/drawing/2014/main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="" xmlns:a16="http://schemas.microsoft.com/office/drawing/2014/main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="" xmlns:a16="http://schemas.microsoft.com/office/drawing/2014/main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="" xmlns:a16="http://schemas.microsoft.com/office/drawing/2014/main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="" xmlns:a16="http://schemas.microsoft.com/office/drawing/2014/main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="" xmlns:a16="http://schemas.microsoft.com/office/drawing/2014/main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="" xmlns:a16="http://schemas.microsoft.com/office/drawing/2014/main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="" xmlns:a16="http://schemas.microsoft.com/office/drawing/2014/main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="" xmlns:a16="http://schemas.microsoft.com/office/drawing/2014/main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=""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=""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=""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=""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=""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=""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=""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=""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=""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=""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=""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=""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=""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=""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=""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=""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=""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=""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=""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=""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=""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=""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=""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=""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=""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=""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=""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=""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=""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=""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=""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=""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=""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=""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=""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=""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=""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=""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=""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=""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=""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=""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=""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=""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=""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=""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=""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=""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=""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=""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=""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=""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=""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=""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=""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=""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=""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=""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=""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=""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=""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=""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=""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=""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=""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=""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=""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=""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=""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=""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=""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=""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=""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=""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=""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=""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=""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=""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=""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=""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=""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=""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=""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=""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=""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=""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=""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=""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=""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=""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=""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=""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=""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=""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=""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=""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=""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=""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=""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=""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=""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=""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=""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=""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=""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=""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=""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52" zoomScale="85" zoomScaleNormal="85" workbookViewId="0">
      <pane xSplit="20" topLeftCell="U1" activePane="topRight" state="frozen"/>
      <selection activeCell="A27" sqref="A27"/>
      <selection pane="topRight" activeCell="J105" sqref="J105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13"/>
      <c r="W17" s="213"/>
      <c r="X17" s="213"/>
      <c r="Y17" s="213"/>
      <c r="Z17" s="213"/>
      <c r="AA17" s="213"/>
      <c r="AB17" s="213"/>
      <c r="AC17" s="213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13"/>
      <c r="W25" s="213"/>
      <c r="X25" s="213"/>
      <c r="Y25" s="213"/>
      <c r="Z25" s="213"/>
      <c r="AA25" s="213"/>
      <c r="AB25" s="213"/>
      <c r="AC25" s="213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4" t="str">
        <f>IF(I30="","",I30)</f>
        <v>Twin Las</v>
      </c>
      <c r="C28" s="214"/>
      <c r="D28" s="6"/>
      <c r="E28" s="15" t="s">
        <v>11</v>
      </c>
      <c r="F28" s="6" t="s">
        <v>7</v>
      </c>
      <c r="G28" s="216"/>
      <c r="H28" s="82"/>
      <c r="I28" s="218" t="str">
        <f>IF(I30="","",I30)</f>
        <v>Twin Las</v>
      </c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83"/>
      <c r="V28" s="219" t="s">
        <v>15</v>
      </c>
      <c r="W28" s="220"/>
      <c r="X28" s="220"/>
      <c r="Y28" s="220"/>
      <c r="Z28" s="220"/>
      <c r="AA28" s="220"/>
      <c r="AB28" s="220"/>
      <c r="AC28" s="220"/>
      <c r="AD28" s="220" t="s">
        <v>21</v>
      </c>
      <c r="AE28" s="220"/>
      <c r="AF28" s="220"/>
      <c r="AG28" s="220"/>
      <c r="AH28" s="200"/>
      <c r="AI28" s="200"/>
      <c r="AJ28" s="220" t="s">
        <v>73</v>
      </c>
      <c r="AK28" s="220"/>
      <c r="AL28" s="220"/>
      <c r="AM28" s="220"/>
      <c r="AN28" s="220"/>
      <c r="AO28" s="220" t="s">
        <v>74</v>
      </c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00"/>
      <c r="BG28" s="200"/>
      <c r="BH28" s="220" t="s">
        <v>75</v>
      </c>
      <c r="BI28" s="220"/>
      <c r="BJ28" s="220"/>
      <c r="BK28" s="220"/>
      <c r="BL28" s="220"/>
      <c r="BM28" s="220"/>
      <c r="BN28" s="220"/>
      <c r="BO28" s="220"/>
      <c r="BP28" s="220"/>
      <c r="BQ28" s="220"/>
      <c r="BR28" s="220" t="s">
        <v>76</v>
      </c>
      <c r="BS28" s="226"/>
      <c r="CR28" s="93"/>
    </row>
    <row r="29" spans="1:165" ht="15" customHeight="1">
      <c r="A29" s="121"/>
      <c r="B29" s="215"/>
      <c r="C29" s="215"/>
      <c r="D29" s="54" t="s">
        <v>1</v>
      </c>
      <c r="E29" s="164" t="e">
        <f>IF(AND(AD29,AF36),BL29+BN29,NA())</f>
        <v>#N/A</v>
      </c>
      <c r="F29" s="30" t="e">
        <f>IFERROR(E29/P30,NA())</f>
        <v>#N/A</v>
      </c>
      <c r="G29" s="217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1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0.83333333333333337</v>
      </c>
      <c r="AO29" s="20" t="s">
        <v>90</v>
      </c>
      <c r="AP29" s="20">
        <f>IF((AN29+X30)&gt;5/6,5/6,AN29+X30)</f>
        <v>0.83333333333333337</v>
      </c>
      <c r="AQ29" s="20" t="s">
        <v>96</v>
      </c>
      <c r="AR29" s="21">
        <f>IF(AND(AF32,X30&gt;=0),AL35*AN29,AL35*AP29)</f>
        <v>1.4814814814814814</v>
      </c>
      <c r="AS29" s="225" t="s">
        <v>121</v>
      </c>
      <c r="AT29" s="203">
        <f>IF(AND(AN29&lt;AP36,AF32),AB29*AL35,AP36*AL35)</f>
        <v>0</v>
      </c>
      <c r="AU29" s="225" t="s">
        <v>109</v>
      </c>
      <c r="AV29" s="20">
        <f>IF(AF32,AL35-(AL35*AN29),IF(AF31,(1/6)*AL35,0))</f>
        <v>0</v>
      </c>
      <c r="AW29" s="225" t="s">
        <v>60</v>
      </c>
      <c r="AX29" s="20">
        <f t="shared" ref="AX29:AX34" si="0">AV29*AP29</f>
        <v>0</v>
      </c>
      <c r="AY29" s="225" t="s">
        <v>122</v>
      </c>
      <c r="AZ29" s="20">
        <f>AV29*AP36</f>
        <v>0</v>
      </c>
      <c r="BA29" s="225" t="s">
        <v>110</v>
      </c>
      <c r="BB29" s="203">
        <f t="shared" ref="BB29:BB34" si="1">AT29+AZ29</f>
        <v>0</v>
      </c>
      <c r="BC29" s="225" t="s">
        <v>117</v>
      </c>
      <c r="BD29" s="20">
        <f t="shared" ref="BD29:BD34" si="2">SUM(AR29,AX29)</f>
        <v>1.4814814814814814</v>
      </c>
      <c r="BE29" s="225" t="s">
        <v>63</v>
      </c>
      <c r="BF29" s="203">
        <f>IF((1-(V29+V33))&gt;1,1,1-(V29+V33))</f>
        <v>0.83333333333333337</v>
      </c>
      <c r="BG29" s="203" t="s">
        <v>105</v>
      </c>
      <c r="BH29" s="20">
        <f>IF(AB32&lt;0,BB29*BF30,BB29*BF29)</f>
        <v>0</v>
      </c>
      <c r="BI29" s="225" t="s">
        <v>102</v>
      </c>
      <c r="BJ29" s="203">
        <f>BH29+((BD29-BB29)*BF29)</f>
        <v>1.2345679012345678</v>
      </c>
      <c r="BK29" s="225" t="s">
        <v>103</v>
      </c>
      <c r="BL29" s="18">
        <f>IF(AB31&gt;0,(BH29*AB31)+((BJ29-BH29)*V34),BJ29*V34)</f>
        <v>4.3209876543209873</v>
      </c>
      <c r="BM29" s="225" t="s">
        <v>65</v>
      </c>
      <c r="BN29" s="18">
        <f>(AL34*Z32)+(AB30*BB29)</f>
        <v>0</v>
      </c>
      <c r="BO29" s="225" t="s">
        <v>64</v>
      </c>
      <c r="BP29" s="203">
        <f>IF(AD29,BL29+BN29,NA())</f>
        <v>4.3209876543209873</v>
      </c>
      <c r="BQ29" s="123" t="s">
        <v>46</v>
      </c>
      <c r="BR29" s="18">
        <f>IFERROR(IF(AD29,BP29,0)+IF(AD30,BP30,0)+IF(AD31,BP31,0)+IF(AD32,BP32,0)+IF(AD33,BP33,0)+IF(AD34,BP34,0),NA())</f>
        <v>22.469135802469136</v>
      </c>
      <c r="BS29" s="160" t="s">
        <v>67</v>
      </c>
      <c r="CS29" s="93"/>
    </row>
    <row r="30" spans="1:165" ht="15" customHeight="1">
      <c r="A30" s="121"/>
      <c r="B30" s="215"/>
      <c r="C30" s="215"/>
      <c r="D30" s="54" t="s">
        <v>2</v>
      </c>
      <c r="E30" s="164" t="e">
        <f>IF(AND(AD30,AF36),BL30+BN30,NA())</f>
        <v>#N/A</v>
      </c>
      <c r="F30" s="30" t="e">
        <f>IFERROR(E30/P30,NA())</f>
        <v>#N/A</v>
      </c>
      <c r="G30" s="217"/>
      <c r="H30" s="84"/>
      <c r="I30" s="5" t="s">
        <v>175</v>
      </c>
      <c r="J30" s="5" t="s">
        <v>20</v>
      </c>
      <c r="K30" s="5" t="s">
        <v>20</v>
      </c>
      <c r="L30" s="5">
        <v>2</v>
      </c>
      <c r="M30" s="5">
        <v>9</v>
      </c>
      <c r="N30" s="5">
        <v>-3</v>
      </c>
      <c r="O30" s="5" t="s">
        <v>154</v>
      </c>
      <c r="P30" s="5">
        <v>50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1</v>
      </c>
      <c r="AG30" s="14" t="s">
        <v>54</v>
      </c>
      <c r="AH30" s="14" t="b">
        <f>(AND(NOT(AF29),NOT(AF30)))</f>
        <v>0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0.83333333333333337</v>
      </c>
      <c r="AO30" s="20" t="s">
        <v>91</v>
      </c>
      <c r="AP30" s="20">
        <f>IF((AN30+X30)&gt;5/6,5/6,AN30+X30)</f>
        <v>0.83333333333333337</v>
      </c>
      <c r="AQ30" s="20" t="s">
        <v>97</v>
      </c>
      <c r="AR30" s="21">
        <f>IF(AND(AF32,X30&gt;=0),AL35*AN30,AL35*AP30)</f>
        <v>1.4814814814814814</v>
      </c>
      <c r="AS30" s="225"/>
      <c r="AT30" s="203">
        <f>IF(AND(AN30&lt;AP36,AF32),AB29*AL35,AP36*AL35)</f>
        <v>0</v>
      </c>
      <c r="AU30" s="225"/>
      <c r="AV30" s="20">
        <f>IF(AF32,AL35-(AL35*AN30),IF(AF31,(1/6)*AL35,0))</f>
        <v>0</v>
      </c>
      <c r="AW30" s="225"/>
      <c r="AX30" s="20">
        <f t="shared" si="0"/>
        <v>0</v>
      </c>
      <c r="AY30" s="225"/>
      <c r="AZ30" s="20">
        <f>AV30*AP36</f>
        <v>0</v>
      </c>
      <c r="BA30" s="225"/>
      <c r="BB30" s="203">
        <f t="shared" si="1"/>
        <v>0</v>
      </c>
      <c r="BC30" s="225"/>
      <c r="BD30" s="20">
        <f t="shared" si="2"/>
        <v>1.4814814814814814</v>
      </c>
      <c r="BE30" s="225"/>
      <c r="BF30" s="203">
        <f>IF((1-(V29+AB32))&gt;1,1,1-(V29+AB32))</f>
        <v>0.33333333333333337</v>
      </c>
      <c r="BG30" s="203" t="s">
        <v>104</v>
      </c>
      <c r="BH30" s="20">
        <f>IF(AB32&lt;0,BB30*BF30,BB30*BF29)</f>
        <v>0</v>
      </c>
      <c r="BI30" s="225"/>
      <c r="BJ30" s="203">
        <f>BH30+((BD30-BB30)*BF29)</f>
        <v>1.2345679012345678</v>
      </c>
      <c r="BK30" s="225"/>
      <c r="BL30" s="18">
        <f>IF(AB31&gt;0,(BH30*AB31)+((BJ30-BH30)*V34),BJ30*V34)</f>
        <v>4.3209876543209873</v>
      </c>
      <c r="BM30" s="225"/>
      <c r="BN30" s="18">
        <f>(AL34*Z32)+(AB30*BB30)</f>
        <v>0</v>
      </c>
      <c r="BO30" s="225"/>
      <c r="BP30" s="203">
        <f t="shared" ref="BP30:BP34" si="3">IF(AD30,BL30+BN30,NA())</f>
        <v>4.3209876543209873</v>
      </c>
      <c r="BQ30" s="123" t="s">
        <v>47</v>
      </c>
      <c r="BR30" s="18">
        <f>IFERROR(BR29/AD35,NA())</f>
        <v>3.7448559670781894</v>
      </c>
      <c r="BS30" s="160" t="s">
        <v>11</v>
      </c>
      <c r="CS30" s="93"/>
    </row>
    <row r="31" spans="1:165" ht="15" customHeight="1">
      <c r="A31" s="121"/>
      <c r="B31" s="215"/>
      <c r="C31" s="215"/>
      <c r="D31" s="54" t="s">
        <v>3</v>
      </c>
      <c r="E31" s="164" t="e">
        <f>IF(AND(AD31,AF36),BL31+BN31,NA())</f>
        <v>#N/A</v>
      </c>
      <c r="F31" s="30" t="e">
        <f>IFERROR(E31/P30,NA())</f>
        <v>#N/A</v>
      </c>
      <c r="G31" s="217"/>
      <c r="H31" s="84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85"/>
      <c r="V31" s="161">
        <f>(IF(L30="D3",2,IF(L30="2D3",4,IF(L30="D6",3.5,IF(L30="2D6",7,IF(L30="3D6",10.5,L30))))))</f>
        <v>2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1.3333333333333333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0.66666666666666663</v>
      </c>
      <c r="AO31" s="20" t="s">
        <v>92</v>
      </c>
      <c r="AP31" s="20">
        <f>IF((AN31+X30)&gt;5/6,5/6,AN31+X30)</f>
        <v>0.66666666666666663</v>
      </c>
      <c r="AQ31" s="20" t="s">
        <v>98</v>
      </c>
      <c r="AR31" s="21">
        <f>IF(AND(AF32,X30&gt;=0),AL35*AN31,AL35*AP31)</f>
        <v>1.1851851851851851</v>
      </c>
      <c r="AS31" s="225"/>
      <c r="AT31" s="203">
        <f>IF(AND(AN31&lt;AP36,AF32),AB29*AL35,AP36*AL35)</f>
        <v>0</v>
      </c>
      <c r="AU31" s="225"/>
      <c r="AV31" s="20">
        <f>IF(AF32,AL35-(AL35*AN31),IF(AF31,(1/6)*AL35,0))</f>
        <v>0</v>
      </c>
      <c r="AW31" s="225"/>
      <c r="AX31" s="20">
        <f t="shared" si="0"/>
        <v>0</v>
      </c>
      <c r="AY31" s="225"/>
      <c r="AZ31" s="20">
        <f>AV31*AP36</f>
        <v>0</v>
      </c>
      <c r="BA31" s="225"/>
      <c r="BB31" s="203">
        <f t="shared" si="1"/>
        <v>0</v>
      </c>
      <c r="BC31" s="225"/>
      <c r="BD31" s="20">
        <f t="shared" si="2"/>
        <v>1.1851851851851851</v>
      </c>
      <c r="BE31" s="225"/>
      <c r="BF31" s="203"/>
      <c r="BG31" s="203"/>
      <c r="BH31" s="20">
        <f>IF(AB32&lt;0,BB31*BF30,BB31*BF29)</f>
        <v>0</v>
      </c>
      <c r="BI31" s="225"/>
      <c r="BJ31" s="203">
        <f>BH31+((BD31-BB31)*BF29)</f>
        <v>0.98765432098765427</v>
      </c>
      <c r="BK31" s="225"/>
      <c r="BL31" s="18">
        <f>IF(AB31&gt;0,(BH31*AB31)+((BJ31-BH31)*V34),BJ31*V34)</f>
        <v>3.4567901234567899</v>
      </c>
      <c r="BM31" s="225"/>
      <c r="BN31" s="18">
        <f>(AL34*Z32)+(AB30*BB31)</f>
        <v>0</v>
      </c>
      <c r="BO31" s="225"/>
      <c r="BP31" s="203">
        <f t="shared" si="3"/>
        <v>3.4567901234567899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 t="e">
        <f>IF(AND(AD32,AF36),BL32+BN32,NA())</f>
        <v>#N/A</v>
      </c>
      <c r="F32" s="30" t="e">
        <f>IFERROR(E32/P30,NA())</f>
        <v>#N/A</v>
      </c>
      <c r="G32" s="217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22" t="s">
        <v>24</v>
      </c>
      <c r="O32" s="222"/>
      <c r="P32" s="5" t="s">
        <v>19</v>
      </c>
      <c r="Q32" s="222" t="s">
        <v>25</v>
      </c>
      <c r="R32" s="222"/>
      <c r="S32" s="5" t="s">
        <v>19</v>
      </c>
      <c r="T32" s="86"/>
      <c r="V32" s="161">
        <f>IF(M30="D3",2,IF(M30="2D3",4,IF(M30="D6",3.5,IF(M30="2D6",7,M30))))</f>
        <v>9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0.66666666666666663</v>
      </c>
      <c r="AO32" s="20" t="s">
        <v>93</v>
      </c>
      <c r="AP32" s="20">
        <f>IF((AN32+X30)&gt;5/6,5/6,AN32+X30)</f>
        <v>0.66666666666666663</v>
      </c>
      <c r="AQ32" s="20" t="s">
        <v>99</v>
      </c>
      <c r="AR32" s="21">
        <f>IF(AND(AF32,X30&gt;=0),AL35*AN32,AL35*AP32)</f>
        <v>1.1851851851851851</v>
      </c>
      <c r="AS32" s="225"/>
      <c r="AT32" s="203">
        <f>IF(AND(AN32&lt;AP36,AF32),AB29*AL35,AP36*AL35)</f>
        <v>0</v>
      </c>
      <c r="AU32" s="225"/>
      <c r="AV32" s="20">
        <f>IF(AF32,AL35-(AL35*AN32),IF(AF31,(1/6)*AL35,0))</f>
        <v>0</v>
      </c>
      <c r="AW32" s="225"/>
      <c r="AX32" s="20">
        <f t="shared" si="0"/>
        <v>0</v>
      </c>
      <c r="AY32" s="225"/>
      <c r="AZ32" s="20">
        <f>AV32*AP36</f>
        <v>0</v>
      </c>
      <c r="BA32" s="225"/>
      <c r="BB32" s="203">
        <f t="shared" si="1"/>
        <v>0</v>
      </c>
      <c r="BC32" s="225"/>
      <c r="BD32" s="20">
        <f t="shared" si="2"/>
        <v>1.1851851851851851</v>
      </c>
      <c r="BE32" s="225"/>
      <c r="BF32" s="203"/>
      <c r="BG32" s="203"/>
      <c r="BH32" s="20">
        <f>IF(AB32&lt;0,BB32*BF30,BB32*BF29)</f>
        <v>0</v>
      </c>
      <c r="BI32" s="225"/>
      <c r="BJ32" s="203">
        <f>BH32+((BD32-BB32)*BF29)</f>
        <v>0.98765432098765427</v>
      </c>
      <c r="BK32" s="225"/>
      <c r="BL32" s="18">
        <f>IF(AB31&gt;0,(BH32*AB31)+((BJ32-BH32)*V34),BJ32*V34)</f>
        <v>3.4567901234567899</v>
      </c>
      <c r="BM32" s="225"/>
      <c r="BN32" s="18">
        <f>(AL34*Z32)+(AB30*BB32)</f>
        <v>0</v>
      </c>
      <c r="BO32" s="225"/>
      <c r="BP32" s="203">
        <f t="shared" si="3"/>
        <v>3.4567901234567899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 t="e">
        <f>IF(AND(AD33,AF36),BL33+BN33,NA())</f>
        <v>#N/A</v>
      </c>
      <c r="F33" s="30" t="e">
        <f>IFERROR(E33/P30,NA())</f>
        <v>#N/A</v>
      </c>
      <c r="G33" s="217"/>
      <c r="H33" s="87"/>
      <c r="I33" s="80"/>
      <c r="J33" s="201" t="s">
        <v>16</v>
      </c>
      <c r="K33" s="222" t="s">
        <v>17</v>
      </c>
      <c r="L33" s="222"/>
      <c r="M33" s="222"/>
      <c r="N33" s="222" t="s">
        <v>28</v>
      </c>
      <c r="O33" s="222"/>
      <c r="P33" s="5">
        <v>1</v>
      </c>
      <c r="Q33" s="222" t="s">
        <v>27</v>
      </c>
      <c r="R33" s="222"/>
      <c r="S33" s="5">
        <v>0</v>
      </c>
      <c r="T33" s="86"/>
      <c r="V33" s="161">
        <f>IF(N30="D3",-2/6,IF(N30="2D3",-4/6,IF(N30="D6",-3.5/6,IF(N30="2D6",-7/6,N30/6))))</f>
        <v>-0.5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0.66666666666666674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0.66666666666666663</v>
      </c>
      <c r="AO33" s="20" t="s">
        <v>94</v>
      </c>
      <c r="AP33" s="20">
        <f>IF((AN33+X30)&gt;5/6,5/6,AN33+X30)</f>
        <v>0.66666666666666663</v>
      </c>
      <c r="AQ33" s="20" t="s">
        <v>100</v>
      </c>
      <c r="AR33" s="21">
        <f>IF(AND(AF32,X30&gt;=0),AL35*AN33,AL35*AP33)</f>
        <v>1.1851851851851851</v>
      </c>
      <c r="AS33" s="225"/>
      <c r="AT33" s="203">
        <f>IF(AND(AN33&lt;AP36,AF32),AB29*AL35,AP36*AL35)</f>
        <v>0</v>
      </c>
      <c r="AU33" s="225"/>
      <c r="AV33" s="20">
        <f>IF(AF32,AL35-(AL35*AN33),IF(AF31,(1/6)*AL35,0))</f>
        <v>0</v>
      </c>
      <c r="AW33" s="225"/>
      <c r="AX33" s="20">
        <f t="shared" si="0"/>
        <v>0</v>
      </c>
      <c r="AY33" s="225"/>
      <c r="AZ33" s="20">
        <f>AV33*AP36</f>
        <v>0</v>
      </c>
      <c r="BA33" s="225"/>
      <c r="BB33" s="203">
        <f t="shared" si="1"/>
        <v>0</v>
      </c>
      <c r="BC33" s="225"/>
      <c r="BD33" s="20">
        <f t="shared" si="2"/>
        <v>1.1851851851851851</v>
      </c>
      <c r="BE33" s="225"/>
      <c r="BF33" s="203"/>
      <c r="BG33" s="203"/>
      <c r="BH33" s="20">
        <f>IF(AB32&lt;0,BB33*BF30,BB33*BF29)</f>
        <v>0</v>
      </c>
      <c r="BI33" s="225"/>
      <c r="BJ33" s="203">
        <f>BH33+((BD33-BB33)*BF29)</f>
        <v>0.98765432098765427</v>
      </c>
      <c r="BK33" s="225"/>
      <c r="BL33" s="18">
        <f>IF(AB31&gt;0,(BH33*AB31)+((BJ33-BH33)*V34),BJ33*V34)</f>
        <v>3.4567901234567899</v>
      </c>
      <c r="BM33" s="225"/>
      <c r="BN33" s="18">
        <f>(AL34*Z32)+(AB30*BB33)</f>
        <v>0</v>
      </c>
      <c r="BO33" s="225"/>
      <c r="BP33" s="203">
        <f t="shared" si="3"/>
        <v>3.4567901234567899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17"/>
      <c r="H34" s="84"/>
      <c r="I34" s="223" t="s">
        <v>30</v>
      </c>
      <c r="J34" s="223"/>
      <c r="K34" s="223" t="s">
        <v>31</v>
      </c>
      <c r="L34" s="223"/>
      <c r="M34" s="223"/>
      <c r="N34" s="222" t="s">
        <v>29</v>
      </c>
      <c r="O34" s="222"/>
      <c r="P34" s="5">
        <v>0</v>
      </c>
      <c r="Q34" s="222" t="s">
        <v>45</v>
      </c>
      <c r="R34" s="222"/>
      <c r="S34" s="5">
        <v>0</v>
      </c>
      <c r="T34" s="86"/>
      <c r="V34" s="161">
        <f>IF(O30="D3",2,IF(O30="2D3",4,IF(O30="D6",3.5,IF(O30="2D6",7,IF(O30="2D6 pick highest",161/36,IF(O30="Less than 3 counts as 3",4,O30))))))</f>
        <v>3.5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0.44444444444444448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0.66666666666666663</v>
      </c>
      <c r="AO34" s="20" t="s">
        <v>95</v>
      </c>
      <c r="AP34" s="20">
        <f>IF((AN34+X30)&gt;5/6,5/6,AN34+X30)</f>
        <v>0.66666666666666663</v>
      </c>
      <c r="AQ34" s="20" t="s">
        <v>101</v>
      </c>
      <c r="AR34" s="20">
        <f>IF(AND(AF32,X30&gt;=0),AL35*AN34,AL35*AP34)</f>
        <v>1.1851851851851851</v>
      </c>
      <c r="AS34" s="225"/>
      <c r="AT34" s="203">
        <f>IF(AND(AN34&lt;AP36,AF32),AB29*AL35,AP36*AL35)</f>
        <v>0</v>
      </c>
      <c r="AU34" s="225"/>
      <c r="AV34" s="20">
        <f>IF(AF32,AL35-(AL35*AN34),IF(AF31,(1/6)*AL35,0))</f>
        <v>0</v>
      </c>
      <c r="AW34" s="225"/>
      <c r="AX34" s="20">
        <f t="shared" si="0"/>
        <v>0</v>
      </c>
      <c r="AY34" s="225"/>
      <c r="AZ34" s="20">
        <f>AV34*AP36</f>
        <v>0</v>
      </c>
      <c r="BA34" s="225"/>
      <c r="BB34" s="203">
        <f t="shared" si="1"/>
        <v>0</v>
      </c>
      <c r="BC34" s="225"/>
      <c r="BD34" s="20">
        <f t="shared" si="2"/>
        <v>1.1851851851851851</v>
      </c>
      <c r="BE34" s="225"/>
      <c r="BF34" s="203"/>
      <c r="BG34" s="203"/>
      <c r="BH34" s="20">
        <f>IF(AB32&lt;0,BB34*BF30,BB34*BF29)</f>
        <v>0</v>
      </c>
      <c r="BI34" s="225"/>
      <c r="BJ34" s="203">
        <f>BH34+((BD34-BB34)*BF29)</f>
        <v>0.98765432098765427</v>
      </c>
      <c r="BK34" s="225"/>
      <c r="BL34" s="18">
        <f>IF(AB31&gt;0,(BH34*AB31)+((BJ34-BH34)*V34),BJ34*V34)</f>
        <v>3.4567901234567899</v>
      </c>
      <c r="BM34" s="225"/>
      <c r="BN34" s="18">
        <f>(AL34*Z32)+(AB30*BB34)</f>
        <v>0</v>
      </c>
      <c r="BO34" s="225"/>
      <c r="BP34" s="203">
        <f t="shared" si="3"/>
        <v>3.4567901234567899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7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22" t="s">
        <v>26</v>
      </c>
      <c r="O35" s="222"/>
      <c r="P35" s="5">
        <v>0</v>
      </c>
      <c r="Q35" s="224" t="s">
        <v>58</v>
      </c>
      <c r="R35" s="224"/>
      <c r="S35" s="5">
        <v>0</v>
      </c>
      <c r="T35" s="86"/>
      <c r="V35" s="162">
        <f>IF(AH29,C36,"")</f>
        <v>1</v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1.7777777777777777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3.7448559670781894</v>
      </c>
      <c r="F36" s="3">
        <f>IFERROR(E36/P30,NA())</f>
        <v>7.4897119341563789E-2</v>
      </c>
      <c r="G36" s="217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0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7" t="str">
        <f>IF(I40="","",I40)</f>
        <v>Twin Multi Melta</v>
      </c>
      <c r="C38" s="227"/>
      <c r="D38" s="8"/>
      <c r="E38" s="167" t="s">
        <v>11</v>
      </c>
      <c r="F38" s="8" t="s">
        <v>7</v>
      </c>
      <c r="G38" s="229"/>
      <c r="H38" s="82"/>
      <c r="I38" s="218" t="str">
        <f>IF(I40="","",I40)</f>
        <v>Twin Multi Melta</v>
      </c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83"/>
      <c r="V38" s="219" t="s">
        <v>15</v>
      </c>
      <c r="W38" s="220"/>
      <c r="X38" s="220"/>
      <c r="Y38" s="220"/>
      <c r="Z38" s="220"/>
      <c r="AA38" s="220"/>
      <c r="AB38" s="220"/>
      <c r="AC38" s="220"/>
      <c r="AD38" s="220" t="s">
        <v>21</v>
      </c>
      <c r="AE38" s="220"/>
      <c r="AF38" s="220"/>
      <c r="AG38" s="220"/>
      <c r="AH38" s="200"/>
      <c r="AI38" s="200"/>
      <c r="AJ38" s="220" t="s">
        <v>73</v>
      </c>
      <c r="AK38" s="220"/>
      <c r="AL38" s="220"/>
      <c r="AM38" s="220"/>
      <c r="AN38" s="220"/>
      <c r="AO38" s="220" t="s">
        <v>74</v>
      </c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00"/>
      <c r="BG38" s="200"/>
      <c r="BH38" s="220" t="s">
        <v>75</v>
      </c>
      <c r="BI38" s="220"/>
      <c r="BJ38" s="220"/>
      <c r="BK38" s="220"/>
      <c r="BL38" s="220"/>
      <c r="BM38" s="220"/>
      <c r="BN38" s="220"/>
      <c r="BO38" s="220"/>
      <c r="BP38" s="220"/>
      <c r="BQ38" s="220"/>
      <c r="BR38" s="220" t="s">
        <v>76</v>
      </c>
      <c r="BS38" s="226"/>
    </row>
    <row r="39" spans="1:71" ht="15" customHeight="1">
      <c r="A39" s="126"/>
      <c r="B39" s="228"/>
      <c r="C39" s="228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30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1</v>
      </c>
      <c r="AI39" s="14" t="s">
        <v>72</v>
      </c>
      <c r="AJ39" s="20">
        <f>IF((V40+X39)&gt;5/6,5/6,V40+X39)</f>
        <v>0.66666666666666663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1.4814814814814814</v>
      </c>
      <c r="AS39" s="225" t="s">
        <v>121</v>
      </c>
      <c r="AT39" s="203">
        <f>IF(AND(AN39&lt;AP46,AF42),AB39*AL45,AP46*AL45)</f>
        <v>0</v>
      </c>
      <c r="AU39" s="225" t="s">
        <v>109</v>
      </c>
      <c r="AV39" s="20">
        <f>IF(AF42,AL45-(AL45*AN39),IF(AF41,(1/6)*AL45,0))</f>
        <v>0</v>
      </c>
      <c r="AW39" s="225" t="s">
        <v>60</v>
      </c>
      <c r="AX39" s="20">
        <f t="shared" ref="AX39:AX44" si="4">AV39*AP39</f>
        <v>0</v>
      </c>
      <c r="AY39" s="225" t="s">
        <v>122</v>
      </c>
      <c r="AZ39" s="20">
        <f>AV39*AP46</f>
        <v>0</v>
      </c>
      <c r="BA39" s="225" t="s">
        <v>110</v>
      </c>
      <c r="BB39" s="203">
        <f t="shared" ref="BB39:BB44" si="5">AT39+AZ39</f>
        <v>0</v>
      </c>
      <c r="BC39" s="225" t="s">
        <v>117</v>
      </c>
      <c r="BD39" s="20">
        <f t="shared" ref="BD39:BD44" si="6">SUM(AR39,AX39)</f>
        <v>1.4814814814814814</v>
      </c>
      <c r="BE39" s="225" t="s">
        <v>63</v>
      </c>
      <c r="BF39" s="203">
        <f>IF((1-(V39+V43))&gt;1,1,1-(V39+V43))</f>
        <v>1</v>
      </c>
      <c r="BG39" s="203" t="s">
        <v>105</v>
      </c>
      <c r="BH39" s="20">
        <f>IF(AB42&lt;0,BB39*BF40,BB39*BF39)</f>
        <v>0</v>
      </c>
      <c r="BI39" s="225" t="s">
        <v>102</v>
      </c>
      <c r="BJ39" s="203">
        <f>BH39+((BD39-BB39)*BF39)</f>
        <v>1.4814814814814814</v>
      </c>
      <c r="BK39" s="225" t="s">
        <v>103</v>
      </c>
      <c r="BL39" s="18">
        <f>IF(AB41&gt;0,(BH39*AB41)+((BJ39-BH39)*V44),BJ39*V44)</f>
        <v>6.6255144032921809</v>
      </c>
      <c r="BM39" s="225" t="s">
        <v>65</v>
      </c>
      <c r="BN39" s="18">
        <f>(AL44*Z42)+(AB40*BB39)</f>
        <v>0</v>
      </c>
      <c r="BO39" s="225" t="s">
        <v>64</v>
      </c>
      <c r="BP39" s="203">
        <f>IF(AD39,BL39+BN39,NA())</f>
        <v>6.6255144032921809</v>
      </c>
      <c r="BQ39" s="123" t="s">
        <v>46</v>
      </c>
      <c r="BR39" s="18">
        <f>IFERROR(IF(AD39,BP39,0)+IF(AD40,BP40,0)+IF(AD41,BP41,0)+IF(AD42,BP42,0)+IF(AD43,BP43,0)+IF(AD44,BP44,0),NA())</f>
        <v>33.127572016460903</v>
      </c>
      <c r="BS39" s="160" t="s">
        <v>67</v>
      </c>
    </row>
    <row r="40" spans="1:71" ht="15" customHeight="1">
      <c r="A40" s="126"/>
      <c r="B40" s="228"/>
      <c r="C40" s="228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30"/>
      <c r="H40" s="84"/>
      <c r="I40" s="5" t="s">
        <v>176</v>
      </c>
      <c r="J40" s="5" t="s">
        <v>20</v>
      </c>
      <c r="K40" s="5" t="s">
        <v>20</v>
      </c>
      <c r="L40" s="5">
        <v>2</v>
      </c>
      <c r="M40" s="5">
        <v>8</v>
      </c>
      <c r="N40" s="5">
        <v>-4</v>
      </c>
      <c r="O40" s="5" t="s">
        <v>177</v>
      </c>
      <c r="P40" s="5">
        <v>54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0.66666666666666663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1.4814814814814814</v>
      </c>
      <c r="AS40" s="225"/>
      <c r="AT40" s="203">
        <f>IF(AND(AN40&lt;AP46,AF42),AB39*AL45,AP46*AL45)</f>
        <v>0</v>
      </c>
      <c r="AU40" s="225"/>
      <c r="AV40" s="20">
        <f>IF(AF42,AL45-(AL45*AN40),IF(AF41,(1/6)*AL45,0))</f>
        <v>0</v>
      </c>
      <c r="AW40" s="225"/>
      <c r="AX40" s="20">
        <f t="shared" si="4"/>
        <v>0</v>
      </c>
      <c r="AY40" s="225"/>
      <c r="AZ40" s="20">
        <f>AV40*AP46</f>
        <v>0</v>
      </c>
      <c r="BA40" s="225"/>
      <c r="BB40" s="203">
        <f t="shared" si="5"/>
        <v>0</v>
      </c>
      <c r="BC40" s="225"/>
      <c r="BD40" s="20">
        <f t="shared" si="6"/>
        <v>1.4814814814814814</v>
      </c>
      <c r="BE40" s="225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25"/>
      <c r="BJ40" s="203">
        <f>BH40+((BD40-BB40)*BF39)</f>
        <v>1.4814814814814814</v>
      </c>
      <c r="BK40" s="225"/>
      <c r="BL40" s="18">
        <f>IF(AB41&gt;0,(BH40*AB41)+((BJ40-BH40)*V44),BJ40*V44)</f>
        <v>6.6255144032921809</v>
      </c>
      <c r="BM40" s="225"/>
      <c r="BN40" s="18">
        <f>(AL44*Z42)+(AB40*BB40)</f>
        <v>0</v>
      </c>
      <c r="BO40" s="225"/>
      <c r="BP40" s="203">
        <f t="shared" ref="BP40:BP44" si="7">IF(AD40,BL40+BN40,NA())</f>
        <v>6.6255144032921809</v>
      </c>
      <c r="BQ40" s="123" t="s">
        <v>47</v>
      </c>
      <c r="BR40" s="18">
        <f>IFERROR(BR39/AD45,NA())</f>
        <v>5.5212620027434838</v>
      </c>
      <c r="BS40" s="160" t="s">
        <v>11</v>
      </c>
    </row>
    <row r="41" spans="1:71" ht="15" customHeight="1">
      <c r="A41" s="126"/>
      <c r="B41" s="228"/>
      <c r="C41" s="228"/>
      <c r="D41" s="38" t="s">
        <v>3</v>
      </c>
      <c r="E41" s="164" t="e">
        <f>IF(AND(AD41,AF46),BL41+BN41,NA())</f>
        <v>#N/A</v>
      </c>
      <c r="F41" s="30" t="e">
        <f>IFERROR(E41/P40,NA())</f>
        <v>#N/A</v>
      </c>
      <c r="G41" s="230"/>
      <c r="H41" s="84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1.3333333333333333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1.1851851851851851</v>
      </c>
      <c r="AS41" s="225"/>
      <c r="AT41" s="203">
        <f>IF(AND(AN41&lt;AP46,AF42),AB39*AL45,AP46*AL45)</f>
        <v>0</v>
      </c>
      <c r="AU41" s="225"/>
      <c r="AV41" s="20">
        <f>IF(AF42,AL45-(AL45*AN41),IF(AF41,(1/6)*AL45,0))</f>
        <v>0</v>
      </c>
      <c r="AW41" s="225"/>
      <c r="AX41" s="20">
        <f t="shared" si="4"/>
        <v>0</v>
      </c>
      <c r="AY41" s="225"/>
      <c r="AZ41" s="20">
        <f>AV41*AP46</f>
        <v>0</v>
      </c>
      <c r="BA41" s="225"/>
      <c r="BB41" s="203">
        <f t="shared" si="5"/>
        <v>0</v>
      </c>
      <c r="BC41" s="225"/>
      <c r="BD41" s="20">
        <f t="shared" si="6"/>
        <v>1.1851851851851851</v>
      </c>
      <c r="BE41" s="225"/>
      <c r="BF41" s="203"/>
      <c r="BG41" s="203"/>
      <c r="BH41" s="20">
        <f>IF(AB42&lt;0,BB41*BF40,BB41*BF39)</f>
        <v>0</v>
      </c>
      <c r="BI41" s="225"/>
      <c r="BJ41" s="203">
        <f>BH41+((BD41-BB41)*BF39)</f>
        <v>1.1851851851851851</v>
      </c>
      <c r="BK41" s="225"/>
      <c r="BL41" s="18">
        <f>IF(AB41&gt;0,(BH41*AB41)+((BJ41-BH41)*V44),BJ41*V44)</f>
        <v>5.3004115226337447</v>
      </c>
      <c r="BM41" s="225"/>
      <c r="BN41" s="18">
        <f>(AL44*Z42)+(AB40*BB41)</f>
        <v>0</v>
      </c>
      <c r="BO41" s="225"/>
      <c r="BP41" s="203">
        <f t="shared" si="7"/>
        <v>5.3004115226337447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 t="e">
        <f>IF(AND(AD42,AF46),BL42+BN42,NA())</f>
        <v>#N/A</v>
      </c>
      <c r="F42" s="30" t="e">
        <f>IFERROR(E42/P40,NA())</f>
        <v>#N/A</v>
      </c>
      <c r="G42" s="230"/>
      <c r="H42" s="84"/>
      <c r="I42" s="201" t="str">
        <f>"+- to hit"</f>
        <v>+- to hit</v>
      </c>
      <c r="J42" s="5">
        <v>0</v>
      </c>
      <c r="K42" s="79"/>
      <c r="L42" s="201" t="str">
        <f>"+- to wound"</f>
        <v>+- to wound</v>
      </c>
      <c r="M42" s="5">
        <v>0</v>
      </c>
      <c r="N42" s="222" t="s">
        <v>24</v>
      </c>
      <c r="O42" s="222"/>
      <c r="P42" s="5" t="s">
        <v>19</v>
      </c>
      <c r="Q42" s="222" t="s">
        <v>25</v>
      </c>
      <c r="R42" s="222"/>
      <c r="S42" s="5" t="s">
        <v>19</v>
      </c>
      <c r="T42" s="86"/>
      <c r="V42" s="161">
        <f>IF(M40="D3",2,IF(M40="2D3",4,IF(M40="D6",3.5,IF(M40="2D6",7,M40))))</f>
        <v>8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1.1851851851851851</v>
      </c>
      <c r="AS42" s="225"/>
      <c r="AT42" s="203">
        <f>IF(AND(AN42&lt;AP46,AF42),AB39*AL45,AP46*AL45)</f>
        <v>0</v>
      </c>
      <c r="AU42" s="225"/>
      <c r="AV42" s="20">
        <f>IF(AF42,AL45-(AL45*AN42),IF(AF41,(1/6)*AL45,0))</f>
        <v>0</v>
      </c>
      <c r="AW42" s="225"/>
      <c r="AX42" s="20">
        <f t="shared" si="4"/>
        <v>0</v>
      </c>
      <c r="AY42" s="225"/>
      <c r="AZ42" s="20">
        <f>AV42*AP46</f>
        <v>0</v>
      </c>
      <c r="BA42" s="225"/>
      <c r="BB42" s="203">
        <f t="shared" si="5"/>
        <v>0</v>
      </c>
      <c r="BC42" s="225"/>
      <c r="BD42" s="20">
        <f t="shared" si="6"/>
        <v>1.1851851851851851</v>
      </c>
      <c r="BE42" s="225"/>
      <c r="BF42" s="203"/>
      <c r="BG42" s="203"/>
      <c r="BH42" s="20">
        <f>IF(AB42&lt;0,BB42*BF40,BB42*BF39)</f>
        <v>0</v>
      </c>
      <c r="BI42" s="225"/>
      <c r="BJ42" s="203">
        <f>BH42+((BD42-BB42)*BF39)</f>
        <v>1.1851851851851851</v>
      </c>
      <c r="BK42" s="225"/>
      <c r="BL42" s="18">
        <f>IF(AB41&gt;0,(BH42*AB41)+((BJ42-BH42)*V44),BJ42*V44)</f>
        <v>5.3004115226337447</v>
      </c>
      <c r="BM42" s="225"/>
      <c r="BN42" s="18">
        <f>(AL44*Z42)+(AB40*BB42)</f>
        <v>0</v>
      </c>
      <c r="BO42" s="225"/>
      <c r="BP42" s="203">
        <f t="shared" si="7"/>
        <v>5.3004115226337447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 t="e">
        <f>IF(AND(AD43,AF46),BL43+BN43,NA())</f>
        <v>#N/A</v>
      </c>
      <c r="F43" s="30" t="e">
        <f>IFERROR(E43/P40,NA())</f>
        <v>#N/A</v>
      </c>
      <c r="G43" s="230"/>
      <c r="H43" s="87"/>
      <c r="I43" s="80"/>
      <c r="J43" s="201" t="s">
        <v>16</v>
      </c>
      <c r="K43" s="222" t="s">
        <v>17</v>
      </c>
      <c r="L43" s="222"/>
      <c r="M43" s="222"/>
      <c r="N43" s="222" t="s">
        <v>28</v>
      </c>
      <c r="O43" s="222"/>
      <c r="P43" s="5">
        <v>0</v>
      </c>
      <c r="Q43" s="222" t="s">
        <v>27</v>
      </c>
      <c r="R43" s="222"/>
      <c r="S43" s="5">
        <v>0</v>
      </c>
      <c r="T43" s="86"/>
      <c r="V43" s="161">
        <f>IF(N40="D3",-2/6,IF(N40="2D3",-4/6,IF(N40="D6",-3.5/6,IF(N40="2D6",-7/6,N40/6))))</f>
        <v>-0.66666666666666663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0.66666666666666674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1.1851851851851851</v>
      </c>
      <c r="AS43" s="225"/>
      <c r="AT43" s="203">
        <f>IF(AND(AN43&lt;AP46,AF42),AB39*AL45,AP46*AL45)</f>
        <v>0</v>
      </c>
      <c r="AU43" s="225"/>
      <c r="AV43" s="20">
        <f>IF(AF42,AL45-(AL45*AN43),IF(AF41,(1/6)*AL45,0))</f>
        <v>0</v>
      </c>
      <c r="AW43" s="225"/>
      <c r="AX43" s="20">
        <f t="shared" si="4"/>
        <v>0</v>
      </c>
      <c r="AY43" s="225"/>
      <c r="AZ43" s="20">
        <f>AV43*AP46</f>
        <v>0</v>
      </c>
      <c r="BA43" s="225"/>
      <c r="BB43" s="203">
        <f t="shared" si="5"/>
        <v>0</v>
      </c>
      <c r="BC43" s="225"/>
      <c r="BD43" s="20">
        <f t="shared" si="6"/>
        <v>1.1851851851851851</v>
      </c>
      <c r="BE43" s="225"/>
      <c r="BF43" s="203"/>
      <c r="BG43" s="203"/>
      <c r="BH43" s="20">
        <f>IF(AB42&lt;0,BB43*BF40,BB43*BF39)</f>
        <v>0</v>
      </c>
      <c r="BI43" s="225"/>
      <c r="BJ43" s="203">
        <f>BH43+((BD43-BB43)*BF39)</f>
        <v>1.1851851851851851</v>
      </c>
      <c r="BK43" s="225"/>
      <c r="BL43" s="18">
        <f>IF(AB41&gt;0,(BH43*AB41)+((BJ43-BH43)*V44),BJ43*V44)</f>
        <v>5.3004115226337447</v>
      </c>
      <c r="BM43" s="225"/>
      <c r="BN43" s="18">
        <f>(AL44*Z42)+(AB40*BB43)</f>
        <v>0</v>
      </c>
      <c r="BO43" s="225"/>
      <c r="BP43" s="203">
        <f t="shared" si="7"/>
        <v>5.3004115226337447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 t="e">
        <f>IF(AND(AD44,AF46),BL44+BN44,NA())</f>
        <v>#N/A</v>
      </c>
      <c r="F44" s="30" t="e">
        <f>IFERROR(E44/P40,NA())</f>
        <v>#N/A</v>
      </c>
      <c r="G44" s="230"/>
      <c r="H44" s="84"/>
      <c r="I44" s="223" t="s">
        <v>30</v>
      </c>
      <c r="J44" s="223"/>
      <c r="K44" s="223" t="s">
        <v>31</v>
      </c>
      <c r="L44" s="223"/>
      <c r="M44" s="223"/>
      <c r="N44" s="222" t="s">
        <v>29</v>
      </c>
      <c r="O44" s="222"/>
      <c r="P44" s="5">
        <v>0</v>
      </c>
      <c r="Q44" s="222" t="s">
        <v>45</v>
      </c>
      <c r="R44" s="222"/>
      <c r="S44" s="5">
        <v>0</v>
      </c>
      <c r="T44" s="86"/>
      <c r="V44" s="161">
        <f>IF(O40="D3",2,IF(O40="2D3",4,IF(O40="D6",3.5,IF(O40="2D6",7,IF(O40="2D6 pick highest",161/36,IF(O40="Less than 3 counts as 3",4,O40))))))</f>
        <v>4.4722222222222223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0.44444444444444448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0.5</v>
      </c>
      <c r="AO44" s="20" t="s">
        <v>95</v>
      </c>
      <c r="AP44" s="20">
        <f>IF((AN44+X40)&gt;5/6,5/6,AN44+X40)</f>
        <v>0.5</v>
      </c>
      <c r="AQ44" s="20" t="s">
        <v>101</v>
      </c>
      <c r="AR44" s="20">
        <f>IF(AND(AF42,X40&gt;=0),AL45*AN44,AL45*AP44)</f>
        <v>0.88888888888888884</v>
      </c>
      <c r="AS44" s="225"/>
      <c r="AT44" s="203">
        <f>IF(AND(AN44&lt;AP46,AF42),AB39*AL45,AP46*AL45)</f>
        <v>0</v>
      </c>
      <c r="AU44" s="225"/>
      <c r="AV44" s="20">
        <f>IF(AF42,AL45-(AL45*AN44),IF(AF41,(1/6)*AL45,0))</f>
        <v>0</v>
      </c>
      <c r="AW44" s="225"/>
      <c r="AX44" s="20">
        <f t="shared" si="4"/>
        <v>0</v>
      </c>
      <c r="AY44" s="225"/>
      <c r="AZ44" s="20">
        <f>AV44*AP46</f>
        <v>0</v>
      </c>
      <c r="BA44" s="225"/>
      <c r="BB44" s="203">
        <f t="shared" si="5"/>
        <v>0</v>
      </c>
      <c r="BC44" s="225"/>
      <c r="BD44" s="20">
        <f t="shared" si="6"/>
        <v>0.88888888888888884</v>
      </c>
      <c r="BE44" s="225"/>
      <c r="BF44" s="203"/>
      <c r="BG44" s="203"/>
      <c r="BH44" s="20">
        <f>IF(AB42&lt;0,BB44*BF40,BB44*BF39)</f>
        <v>0</v>
      </c>
      <c r="BI44" s="225"/>
      <c r="BJ44" s="203">
        <f>BH44+((BD44-BB44)*BF39)</f>
        <v>0.88888888888888884</v>
      </c>
      <c r="BK44" s="225"/>
      <c r="BL44" s="18">
        <f>IF(AB41&gt;0,(BH44*AB41)+((BJ44-BH44)*V44),BJ44*V44)</f>
        <v>3.9753086419753085</v>
      </c>
      <c r="BM44" s="225"/>
      <c r="BN44" s="18">
        <f>(AL44*Z42)+(AB40*BB44)</f>
        <v>0</v>
      </c>
      <c r="BO44" s="225"/>
      <c r="BP44" s="203">
        <f t="shared" si="7"/>
        <v>3.9753086419753085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30"/>
      <c r="H45" s="84"/>
      <c r="I45" s="201"/>
      <c r="J45" s="201"/>
      <c r="K45" s="187" t="s">
        <v>68</v>
      </c>
      <c r="L45" s="205" t="s">
        <v>69</v>
      </c>
      <c r="M45" s="187" t="s">
        <v>20</v>
      </c>
      <c r="N45" s="222" t="s">
        <v>26</v>
      </c>
      <c r="O45" s="222"/>
      <c r="P45" s="5">
        <v>0</v>
      </c>
      <c r="Q45" s="224" t="s">
        <v>58</v>
      </c>
      <c r="R45" s="224"/>
      <c r="S45" s="5">
        <v>0</v>
      </c>
      <c r="T45" s="86"/>
      <c r="V45" s="162">
        <f>IF(AH39,C46,"")</f>
        <v>1</v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1.7777777777777777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5.5212620027434838</v>
      </c>
      <c r="F46" s="3">
        <f>IFERROR(E46/P40,NA())</f>
        <v>0.10224559264339785</v>
      </c>
      <c r="G46" s="230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0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31" t="str">
        <f>IF(I50="","",I50)</f>
        <v>2x Stormstrike</v>
      </c>
      <c r="C48" s="231"/>
      <c r="D48" s="10"/>
      <c r="E48" s="170" t="s">
        <v>11</v>
      </c>
      <c r="F48" s="10" t="s">
        <v>7</v>
      </c>
      <c r="G48" s="233"/>
      <c r="H48" s="82"/>
      <c r="I48" s="218" t="str">
        <f>IF(I50="","",I50)</f>
        <v>2x Stormstrike</v>
      </c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83"/>
      <c r="V48" s="219" t="s">
        <v>15</v>
      </c>
      <c r="W48" s="220"/>
      <c r="X48" s="220"/>
      <c r="Y48" s="220"/>
      <c r="Z48" s="220"/>
      <c r="AA48" s="220"/>
      <c r="AB48" s="220"/>
      <c r="AC48" s="220"/>
      <c r="AD48" s="220" t="s">
        <v>21</v>
      </c>
      <c r="AE48" s="220"/>
      <c r="AF48" s="220"/>
      <c r="AG48" s="220"/>
      <c r="AH48" s="200"/>
      <c r="AI48" s="200"/>
      <c r="AJ48" s="220" t="s">
        <v>73</v>
      </c>
      <c r="AK48" s="220"/>
      <c r="AL48" s="220"/>
      <c r="AM48" s="220"/>
      <c r="AN48" s="220"/>
      <c r="AO48" s="220" t="s">
        <v>74</v>
      </c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200"/>
      <c r="BG48" s="200"/>
      <c r="BH48" s="220" t="s">
        <v>75</v>
      </c>
      <c r="BI48" s="220"/>
      <c r="BJ48" s="220"/>
      <c r="BK48" s="220"/>
      <c r="BL48" s="220"/>
      <c r="BM48" s="220"/>
      <c r="BN48" s="220"/>
      <c r="BO48" s="220"/>
      <c r="BP48" s="220"/>
      <c r="BQ48" s="220"/>
      <c r="BR48" s="220" t="s">
        <v>76</v>
      </c>
      <c r="BS48" s="226"/>
    </row>
    <row r="49" spans="1:71" ht="15" customHeight="1">
      <c r="A49" s="129"/>
      <c r="B49" s="232"/>
      <c r="C49" s="23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3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1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0.83333333333333337</v>
      </c>
      <c r="AO49" s="20" t="s">
        <v>90</v>
      </c>
      <c r="AP49" s="20">
        <f>IF((AN49+X50)&gt;5/6,5/6,AN49+X50)</f>
        <v>0.83333333333333337</v>
      </c>
      <c r="AQ49" s="20" t="s">
        <v>96</v>
      </c>
      <c r="AR49" s="21">
        <f>IF(AND(AF52,X50&gt;=0),AL55*AN49,AL55*AP49)</f>
        <v>1.4814814814814814</v>
      </c>
      <c r="AS49" s="225" t="s">
        <v>121</v>
      </c>
      <c r="AT49" s="203">
        <f>IF(AND(AN49&lt;AP56,AF52),AB49*AL55,AP56*AL55)</f>
        <v>0</v>
      </c>
      <c r="AU49" s="225" t="s">
        <v>109</v>
      </c>
      <c r="AV49" s="20">
        <f>IF(AF52,AL55-(AL55*AN49),IF(AF51,(1/6)*AL55,0))</f>
        <v>0</v>
      </c>
      <c r="AW49" s="225" t="s">
        <v>60</v>
      </c>
      <c r="AX49" s="20">
        <f t="shared" ref="AX49:AX54" si="8">AV49*AP49</f>
        <v>0</v>
      </c>
      <c r="AY49" s="225" t="s">
        <v>122</v>
      </c>
      <c r="AZ49" s="20">
        <f>AV49*AP56</f>
        <v>0</v>
      </c>
      <c r="BA49" s="225" t="s">
        <v>110</v>
      </c>
      <c r="BB49" s="203">
        <f t="shared" ref="BB49:BB54" si="9">AT49+AZ49</f>
        <v>0</v>
      </c>
      <c r="BC49" s="225" t="s">
        <v>117</v>
      </c>
      <c r="BD49" s="20">
        <f t="shared" ref="BD49:BD54" si="10">SUM(AR49,AX49)</f>
        <v>1.4814814814814814</v>
      </c>
      <c r="BE49" s="225" t="s">
        <v>63</v>
      </c>
      <c r="BF49" s="203">
        <f>IF((1-(V49+V53))&gt;1,1,1-(V49+V53))</f>
        <v>0.83333333333333337</v>
      </c>
      <c r="BG49" s="203" t="s">
        <v>105</v>
      </c>
      <c r="BH49" s="20">
        <f>IF(AB52&lt;0,BB49*BF50,BB49*BF49)</f>
        <v>0</v>
      </c>
      <c r="BI49" s="225" t="s">
        <v>102</v>
      </c>
      <c r="BJ49" s="203">
        <f>BH49+((BD49-BB49)*BF49)</f>
        <v>1.2345679012345678</v>
      </c>
      <c r="BK49" s="225" t="s">
        <v>103</v>
      </c>
      <c r="BL49" s="18">
        <f>IF(AB51&gt;0,(BH49*AB51)+((BJ49-BH49)*V54),BJ49*V54)</f>
        <v>3.7037037037037033</v>
      </c>
      <c r="BM49" s="225" t="s">
        <v>65</v>
      </c>
      <c r="BN49" s="18">
        <f>(AL54*Z52)+(AB50*BB49)</f>
        <v>0</v>
      </c>
      <c r="BO49" s="225" t="s">
        <v>64</v>
      </c>
      <c r="BP49" s="203">
        <f>IF(AD49,BL49+BN49,NA())</f>
        <v>3.7037037037037033</v>
      </c>
      <c r="BQ49" s="123" t="s">
        <v>46</v>
      </c>
      <c r="BR49" s="18">
        <f>IFERROR(IF(AD49,BP49,0)+IF(AD50,BP50,0)+IF(AD51,BP51,0)+IF(AD52,BP52,0)+IF(AD53,BP53,0)+IF(AD54,BP54,0),NA())</f>
        <v>18.518518518518515</v>
      </c>
      <c r="BS49" s="160" t="s">
        <v>67</v>
      </c>
    </row>
    <row r="50" spans="1:71" ht="15" customHeight="1">
      <c r="A50" s="129"/>
      <c r="B50" s="232"/>
      <c r="C50" s="23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34"/>
      <c r="H50" s="84"/>
      <c r="I50" s="5" t="s">
        <v>178</v>
      </c>
      <c r="J50" s="5" t="s">
        <v>20</v>
      </c>
      <c r="K50" s="5" t="s">
        <v>20</v>
      </c>
      <c r="L50" s="5">
        <v>2</v>
      </c>
      <c r="M50" s="5">
        <v>8</v>
      </c>
      <c r="N50" s="5">
        <v>-3</v>
      </c>
      <c r="O50" s="5">
        <v>3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0.83333333333333337</v>
      </c>
      <c r="AO50" s="20" t="s">
        <v>91</v>
      </c>
      <c r="AP50" s="20">
        <f>IF((AN50+X50)&gt;5/6,5/6,AN50+X50)</f>
        <v>0.83333333333333337</v>
      </c>
      <c r="AQ50" s="20" t="s">
        <v>97</v>
      </c>
      <c r="AR50" s="21">
        <f>IF(AND(AF52,X50&gt;=0),AL55*AN50,AL55*AP50)</f>
        <v>1.4814814814814814</v>
      </c>
      <c r="AS50" s="225"/>
      <c r="AT50" s="203">
        <f>IF(AND(AN50&lt;AP56,AF52),AB49*AL55,AP56*AL55)</f>
        <v>0</v>
      </c>
      <c r="AU50" s="225"/>
      <c r="AV50" s="20">
        <f>IF(AF52,AL55-(AL55*AN50),IF(AF51,(1/6)*AL55,0))</f>
        <v>0</v>
      </c>
      <c r="AW50" s="225"/>
      <c r="AX50" s="20">
        <f t="shared" si="8"/>
        <v>0</v>
      </c>
      <c r="AY50" s="225"/>
      <c r="AZ50" s="20">
        <f>AV50*AP56</f>
        <v>0</v>
      </c>
      <c r="BA50" s="225"/>
      <c r="BB50" s="203">
        <f t="shared" si="9"/>
        <v>0</v>
      </c>
      <c r="BC50" s="225"/>
      <c r="BD50" s="20">
        <f t="shared" si="10"/>
        <v>1.4814814814814814</v>
      </c>
      <c r="BE50" s="225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25"/>
      <c r="BJ50" s="203">
        <f>BH50+((BD50-BB50)*BF49)</f>
        <v>1.2345679012345678</v>
      </c>
      <c r="BK50" s="225"/>
      <c r="BL50" s="18">
        <f>IF(AB51&gt;0,(BH50*AB51)+((BJ50-BH50)*V54),BJ50*V54)</f>
        <v>3.7037037037037033</v>
      </c>
      <c r="BM50" s="225"/>
      <c r="BN50" s="18">
        <f>(AL54*Z52)+(AB50*BB50)</f>
        <v>0</v>
      </c>
      <c r="BO50" s="225"/>
      <c r="BP50" s="203">
        <f t="shared" ref="BP50:BP54" si="11">IF(AD50,BL50+BN50,NA())</f>
        <v>3.7037037037037033</v>
      </c>
      <c r="BQ50" s="123" t="s">
        <v>47</v>
      </c>
      <c r="BR50" s="18">
        <f>IFERROR(BR49/AD55,NA())</f>
        <v>3.0864197530864192</v>
      </c>
      <c r="BS50" s="160" t="s">
        <v>11</v>
      </c>
    </row>
    <row r="51" spans="1:71" ht="15" customHeight="1">
      <c r="A51" s="129"/>
      <c r="B51" s="232"/>
      <c r="C51" s="23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34"/>
      <c r="H51" s="84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85"/>
      <c r="V51" s="161">
        <f>(IF(L50="D3",2,IF(L50="2D3",4,IF(L50="D6",3.5,IF(L50="2D6",7,IF(L50="3D6",10.5,L50))))))</f>
        <v>2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1.3333333333333333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0.66666666666666663</v>
      </c>
      <c r="AO51" s="20" t="s">
        <v>92</v>
      </c>
      <c r="AP51" s="20">
        <f>IF((AN51+X50)&gt;5/6,5/6,AN51+X50)</f>
        <v>0.66666666666666663</v>
      </c>
      <c r="AQ51" s="20" t="s">
        <v>98</v>
      </c>
      <c r="AR51" s="21">
        <f>IF(AND(AF52,X50&gt;=0),AL55*AN51,AL55*AP51)</f>
        <v>1.1851851851851851</v>
      </c>
      <c r="AS51" s="225"/>
      <c r="AT51" s="203">
        <f>IF(AND(AN51&lt;AP56,AF52),AB49*AL55,AP56*AL55)</f>
        <v>0</v>
      </c>
      <c r="AU51" s="225"/>
      <c r="AV51" s="20">
        <f>IF(AF52,AL55-(AL55*AN51),IF(AF51,(1/6)*AL55,0))</f>
        <v>0</v>
      </c>
      <c r="AW51" s="225"/>
      <c r="AX51" s="20">
        <f t="shared" si="8"/>
        <v>0</v>
      </c>
      <c r="AY51" s="225"/>
      <c r="AZ51" s="20">
        <f>AV51*AP56</f>
        <v>0</v>
      </c>
      <c r="BA51" s="225"/>
      <c r="BB51" s="203">
        <f t="shared" si="9"/>
        <v>0</v>
      </c>
      <c r="BC51" s="225"/>
      <c r="BD51" s="20">
        <f t="shared" si="10"/>
        <v>1.1851851851851851</v>
      </c>
      <c r="BE51" s="225"/>
      <c r="BF51" s="203"/>
      <c r="BG51" s="203"/>
      <c r="BH51" s="20">
        <f>IF(AB52&lt;0,BB51*BF50,BB51*BF49)</f>
        <v>0</v>
      </c>
      <c r="BI51" s="225"/>
      <c r="BJ51" s="203">
        <f>BH51+((BD51-BB51)*BF49)</f>
        <v>0.98765432098765427</v>
      </c>
      <c r="BK51" s="225"/>
      <c r="BL51" s="18">
        <f>IF(AB51&gt;0,(BH51*AB51)+((BJ51-BH51)*V54),BJ51*V54)</f>
        <v>2.9629629629629628</v>
      </c>
      <c r="BM51" s="225"/>
      <c r="BN51" s="18">
        <f>(AL54*Z52)+(AB50*BB51)</f>
        <v>0</v>
      </c>
      <c r="BO51" s="225"/>
      <c r="BP51" s="203">
        <f t="shared" si="11"/>
        <v>2.9629629629629628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3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22" t="s">
        <v>24</v>
      </c>
      <c r="O52" s="222"/>
      <c r="P52" s="5" t="s">
        <v>19</v>
      </c>
      <c r="Q52" s="222" t="s">
        <v>25</v>
      </c>
      <c r="R52" s="222"/>
      <c r="S52" s="5" t="s">
        <v>18</v>
      </c>
      <c r="T52" s="86"/>
      <c r="V52" s="161">
        <f>IF(M50="D3",2,IF(M50="2D3",4,IF(M50="D6",3.5,IF(M50="2D6",7,M50))))</f>
        <v>8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0.66666666666666663</v>
      </c>
      <c r="AO52" s="20" t="s">
        <v>93</v>
      </c>
      <c r="AP52" s="20">
        <f>IF((AN52+X50)&gt;5/6,5/6,AN52+X50)</f>
        <v>0.66666666666666663</v>
      </c>
      <c r="AQ52" s="20" t="s">
        <v>99</v>
      </c>
      <c r="AR52" s="21">
        <f>IF(AND(AF52,X50&gt;=0),AL55*AN52,AL55*AP52)</f>
        <v>1.1851851851851851</v>
      </c>
      <c r="AS52" s="225"/>
      <c r="AT52" s="203">
        <f>IF(AND(AN52&lt;AP56,AF52),AB49*AL55,AP56*AL55)</f>
        <v>0</v>
      </c>
      <c r="AU52" s="225"/>
      <c r="AV52" s="20">
        <f>IF(AF52,AL55-(AL55*AN52),IF(AF51,(1/6)*AL55,0))</f>
        <v>0</v>
      </c>
      <c r="AW52" s="225"/>
      <c r="AX52" s="20">
        <f t="shared" si="8"/>
        <v>0</v>
      </c>
      <c r="AY52" s="225"/>
      <c r="AZ52" s="20">
        <f>AV52*AP56</f>
        <v>0</v>
      </c>
      <c r="BA52" s="225"/>
      <c r="BB52" s="203">
        <f t="shared" si="9"/>
        <v>0</v>
      </c>
      <c r="BC52" s="225"/>
      <c r="BD52" s="20">
        <f t="shared" si="10"/>
        <v>1.1851851851851851</v>
      </c>
      <c r="BE52" s="225"/>
      <c r="BF52" s="203"/>
      <c r="BG52" s="203"/>
      <c r="BH52" s="20">
        <f>IF(AB52&lt;0,BB52*BF50,BB52*BF49)</f>
        <v>0</v>
      </c>
      <c r="BI52" s="225"/>
      <c r="BJ52" s="203">
        <f>BH52+((BD52-BB52)*BF49)</f>
        <v>0.98765432098765427</v>
      </c>
      <c r="BK52" s="225"/>
      <c r="BL52" s="18">
        <f>IF(AB51&gt;0,(BH52*AB51)+((BJ52-BH52)*V54),BJ52*V54)</f>
        <v>2.9629629629629628</v>
      </c>
      <c r="BM52" s="225"/>
      <c r="BN52" s="18">
        <f>(AL54*Z52)+(AB50*BB52)</f>
        <v>0</v>
      </c>
      <c r="BO52" s="225"/>
      <c r="BP52" s="203">
        <f t="shared" si="11"/>
        <v>2.9629629629629628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34"/>
      <c r="H53" s="87"/>
      <c r="I53" s="80"/>
      <c r="J53" s="201" t="s">
        <v>16</v>
      </c>
      <c r="K53" s="222" t="s">
        <v>17</v>
      </c>
      <c r="L53" s="222"/>
      <c r="M53" s="222"/>
      <c r="N53" s="222" t="s">
        <v>28</v>
      </c>
      <c r="O53" s="222"/>
      <c r="P53" s="5">
        <v>0</v>
      </c>
      <c r="Q53" s="222" t="s">
        <v>27</v>
      </c>
      <c r="R53" s="222"/>
      <c r="S53" s="5">
        <v>0</v>
      </c>
      <c r="T53" s="86"/>
      <c r="V53" s="161">
        <f>IF(N50="D3",-2/6,IF(N50="2D3",-4/6,IF(N50="D6",-3.5/6,IF(N50="2D6",-7/6,N50/6))))</f>
        <v>-0.5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0.66666666666666674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0.66666666666666663</v>
      </c>
      <c r="AO53" s="20" t="s">
        <v>94</v>
      </c>
      <c r="AP53" s="20">
        <f>IF((AN53+X50)&gt;5/6,5/6,AN53+X50)</f>
        <v>0.66666666666666663</v>
      </c>
      <c r="AQ53" s="20" t="s">
        <v>100</v>
      </c>
      <c r="AR53" s="21">
        <f>IF(AND(AF52,X50&gt;=0),AL55*AN53,AL55*AP53)</f>
        <v>1.1851851851851851</v>
      </c>
      <c r="AS53" s="225"/>
      <c r="AT53" s="203">
        <f>IF(AND(AN53&lt;AP56,AF52),AB49*AL55,AP56*AL55)</f>
        <v>0</v>
      </c>
      <c r="AU53" s="225"/>
      <c r="AV53" s="20">
        <f>IF(AF52,AL55-(AL55*AN53),IF(AF51,(1/6)*AL55,0))</f>
        <v>0</v>
      </c>
      <c r="AW53" s="225"/>
      <c r="AX53" s="20">
        <f t="shared" si="8"/>
        <v>0</v>
      </c>
      <c r="AY53" s="225"/>
      <c r="AZ53" s="20">
        <f>AV53*AP56</f>
        <v>0</v>
      </c>
      <c r="BA53" s="225"/>
      <c r="BB53" s="203">
        <f t="shared" si="9"/>
        <v>0</v>
      </c>
      <c r="BC53" s="225"/>
      <c r="BD53" s="20">
        <f t="shared" si="10"/>
        <v>1.1851851851851851</v>
      </c>
      <c r="BE53" s="225"/>
      <c r="BF53" s="203"/>
      <c r="BG53" s="203"/>
      <c r="BH53" s="20">
        <f>IF(AB52&lt;0,BB53*BF50,BB53*BF49)</f>
        <v>0</v>
      </c>
      <c r="BI53" s="225"/>
      <c r="BJ53" s="203">
        <f>BH53+((BD53-BB53)*BF49)</f>
        <v>0.98765432098765427</v>
      </c>
      <c r="BK53" s="225"/>
      <c r="BL53" s="18">
        <f>IF(AB51&gt;0,(BH53*AB51)+((BJ53-BH53)*V54),BJ53*V54)</f>
        <v>2.9629629629629628</v>
      </c>
      <c r="BM53" s="225"/>
      <c r="BN53" s="18">
        <f>(AL54*Z52)+(AB50*BB53)</f>
        <v>0</v>
      </c>
      <c r="BO53" s="225"/>
      <c r="BP53" s="203">
        <f t="shared" si="11"/>
        <v>2.9629629629629628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34"/>
      <c r="H54" s="84"/>
      <c r="I54" s="223" t="s">
        <v>30</v>
      </c>
      <c r="J54" s="223"/>
      <c r="K54" s="223" t="s">
        <v>31</v>
      </c>
      <c r="L54" s="223"/>
      <c r="M54" s="223"/>
      <c r="N54" s="222" t="s">
        <v>29</v>
      </c>
      <c r="O54" s="222"/>
      <c r="P54" s="5">
        <v>0</v>
      </c>
      <c r="Q54" s="222" t="s">
        <v>45</v>
      </c>
      <c r="R54" s="222"/>
      <c r="S54" s="5">
        <v>0</v>
      </c>
      <c r="T54" s="86"/>
      <c r="V54" s="161">
        <f>IF(O50="D3",2,IF(O50="2D3",4,IF(O50="D6",3.5,IF(O50="2D6",7,IF(O50="2D6 pick highest",161/36,IF(O50="Less than 3 counts as 3",4,O50))))))</f>
        <v>3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0.44444444444444448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0.5</v>
      </c>
      <c r="AO54" s="20" t="s">
        <v>95</v>
      </c>
      <c r="AP54" s="20">
        <f>IF((AN54+X50)&gt;5/6,5/6,AN54+X50)</f>
        <v>0.5</v>
      </c>
      <c r="AQ54" s="20" t="s">
        <v>101</v>
      </c>
      <c r="AR54" s="20">
        <f>IF(AND(AF52,X50&gt;=0),AL55*AN54,AL55*AP54)</f>
        <v>0.88888888888888884</v>
      </c>
      <c r="AS54" s="225"/>
      <c r="AT54" s="203">
        <f>IF(AND(AN54&lt;AP56,AF52),AB49*AL55,AP56*AL55)</f>
        <v>0</v>
      </c>
      <c r="AU54" s="225"/>
      <c r="AV54" s="20">
        <f>IF(AF52,AL55-(AL55*AN54),IF(AF51,(1/6)*AL55,0))</f>
        <v>0</v>
      </c>
      <c r="AW54" s="225"/>
      <c r="AX54" s="20">
        <f t="shared" si="8"/>
        <v>0</v>
      </c>
      <c r="AY54" s="225"/>
      <c r="AZ54" s="20">
        <f>AV54*AP56</f>
        <v>0</v>
      </c>
      <c r="BA54" s="225"/>
      <c r="BB54" s="203">
        <f t="shared" si="9"/>
        <v>0</v>
      </c>
      <c r="BC54" s="225"/>
      <c r="BD54" s="20">
        <f t="shared" si="10"/>
        <v>0.88888888888888884</v>
      </c>
      <c r="BE54" s="225"/>
      <c r="BF54" s="203"/>
      <c r="BG54" s="203"/>
      <c r="BH54" s="20">
        <f>IF(AB52&lt;0,BB54*BF50,BB54*BF49)</f>
        <v>0</v>
      </c>
      <c r="BI54" s="225"/>
      <c r="BJ54" s="203">
        <f>BH54+((BD54-BB54)*BF49)</f>
        <v>0.7407407407407407</v>
      </c>
      <c r="BK54" s="225"/>
      <c r="BL54" s="18">
        <f>IF(AB51&gt;0,(BH54*AB51)+((BJ54-BH54)*V54),BJ54*V54)</f>
        <v>2.2222222222222223</v>
      </c>
      <c r="BM54" s="225"/>
      <c r="BN54" s="18">
        <f>(AL54*Z52)+(AB50*BB54)</f>
        <v>0</v>
      </c>
      <c r="BO54" s="225"/>
      <c r="BP54" s="203">
        <f t="shared" si="11"/>
        <v>2.2222222222222223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4"/>
      <c r="H55" s="84"/>
      <c r="I55" s="201"/>
      <c r="J55" s="201"/>
      <c r="K55" s="5" t="s">
        <v>68</v>
      </c>
      <c r="L55" s="205" t="s">
        <v>69</v>
      </c>
      <c r="M55" s="5" t="s">
        <v>20</v>
      </c>
      <c r="N55" s="222" t="s">
        <v>26</v>
      </c>
      <c r="O55" s="222"/>
      <c r="P55" s="5">
        <v>0</v>
      </c>
      <c r="Q55" s="224" t="s">
        <v>58</v>
      </c>
      <c r="R55" s="224"/>
      <c r="S55" s="5">
        <v>0</v>
      </c>
      <c r="T55" s="86"/>
      <c r="V55" s="162">
        <f>IF(AH49,C56,"")</f>
        <v>1</v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1.7777777777777777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3.0864197530864192</v>
      </c>
      <c r="F56" s="3" t="e">
        <f>IFERROR(E56/P50,NA())</f>
        <v>#N/A</v>
      </c>
      <c r="G56" s="23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5" t="str">
        <f>IF(I60="","",I60)</f>
        <v>2x H. Bolters</v>
      </c>
      <c r="C58" s="235"/>
      <c r="D58" s="32"/>
      <c r="E58" s="173" t="s">
        <v>11</v>
      </c>
      <c r="F58" s="32" t="s">
        <v>7</v>
      </c>
      <c r="G58" s="237"/>
      <c r="H58" s="82"/>
      <c r="I58" s="218" t="str">
        <f>IF(I60="","",I60)</f>
        <v>2x H. Bolters</v>
      </c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83"/>
      <c r="V58" s="219" t="s">
        <v>15</v>
      </c>
      <c r="W58" s="220"/>
      <c r="X58" s="220"/>
      <c r="Y58" s="220"/>
      <c r="Z58" s="220"/>
      <c r="AA58" s="220"/>
      <c r="AB58" s="220"/>
      <c r="AC58" s="220"/>
      <c r="AD58" s="220" t="s">
        <v>21</v>
      </c>
      <c r="AE58" s="220"/>
      <c r="AF58" s="220"/>
      <c r="AG58" s="220"/>
      <c r="AH58" s="200"/>
      <c r="AI58" s="200"/>
      <c r="AJ58" s="220" t="s">
        <v>73</v>
      </c>
      <c r="AK58" s="220"/>
      <c r="AL58" s="220"/>
      <c r="AM58" s="220"/>
      <c r="AN58" s="220"/>
      <c r="AO58" s="220" t="s">
        <v>74</v>
      </c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00"/>
      <c r="BG58" s="200"/>
      <c r="BH58" s="220" t="s">
        <v>75</v>
      </c>
      <c r="BI58" s="220"/>
      <c r="BJ58" s="220"/>
      <c r="BK58" s="220"/>
      <c r="BL58" s="220"/>
      <c r="BM58" s="220"/>
      <c r="BN58" s="220"/>
      <c r="BO58" s="220"/>
      <c r="BP58" s="220"/>
      <c r="BQ58" s="220"/>
      <c r="BR58" s="220" t="s">
        <v>76</v>
      </c>
      <c r="BS58" s="226"/>
    </row>
    <row r="59" spans="1:71" ht="15" customHeight="1">
      <c r="A59" s="132"/>
      <c r="B59" s="236"/>
      <c r="C59" s="236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38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1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14.222222222222221</v>
      </c>
      <c r="AS59" s="225" t="s">
        <v>121</v>
      </c>
      <c r="AT59" s="203">
        <f>IF(AND(AN59&lt;AP66,AF62),AB59*AL65,AP66*AL65)</f>
        <v>0</v>
      </c>
      <c r="AU59" s="225" t="s">
        <v>109</v>
      </c>
      <c r="AV59" s="20">
        <f>IF(AF62,AL65-(AL65*AN59),IF(AF61,(1/6)*AL65,0))</f>
        <v>0</v>
      </c>
      <c r="AW59" s="225" t="s">
        <v>60</v>
      </c>
      <c r="AX59" s="20">
        <f t="shared" ref="AX59:AX64" si="12">AV59*AP59</f>
        <v>0</v>
      </c>
      <c r="AY59" s="225" t="s">
        <v>122</v>
      </c>
      <c r="AZ59" s="20">
        <f>AV59*AP66</f>
        <v>0</v>
      </c>
      <c r="BA59" s="225" t="s">
        <v>110</v>
      </c>
      <c r="BB59" s="203">
        <f t="shared" ref="BB59:BB64" si="13">AT59+AZ59</f>
        <v>0</v>
      </c>
      <c r="BC59" s="225" t="s">
        <v>117</v>
      </c>
      <c r="BD59" s="20">
        <f t="shared" ref="BD59:BD64" si="14">SUM(AR59,AX59)</f>
        <v>14.222222222222221</v>
      </c>
      <c r="BE59" s="225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25" t="s">
        <v>102</v>
      </c>
      <c r="BJ59" s="203">
        <f>BH59+((BD59-BB59)*BF59)</f>
        <v>4.7407407407407414</v>
      </c>
      <c r="BK59" s="225" t="s">
        <v>103</v>
      </c>
      <c r="BL59" s="18">
        <f>IF(AB61&gt;0,(BH59*AB61)+((BJ59-BH59)*V64),BJ59*V64)</f>
        <v>4.7407407407407414</v>
      </c>
      <c r="BM59" s="225" t="s">
        <v>65</v>
      </c>
      <c r="BN59" s="18">
        <f>(AL64*Z62)+(AB60*BB59)</f>
        <v>0</v>
      </c>
      <c r="BO59" s="225" t="s">
        <v>64</v>
      </c>
      <c r="BP59" s="203">
        <f>IF(AD59,BL59+BN59,NA())</f>
        <v>4.7407407407407414</v>
      </c>
      <c r="BQ59" s="123" t="s">
        <v>46</v>
      </c>
      <c r="BR59" s="18">
        <f>IFERROR(IF(AD59,BP59,0)+IF(AD60,BP60,0)+IF(AD61,BP61,0)+IF(AD62,BP62,0)+IF(AD63,BP63,0)+IF(AD64,BP64,0),NA())</f>
        <v>16.592592592592595</v>
      </c>
      <c r="BS59" s="160" t="s">
        <v>67</v>
      </c>
    </row>
    <row r="60" spans="1:71" ht="15" customHeight="1">
      <c r="A60" s="132"/>
      <c r="B60" s="236"/>
      <c r="C60" s="236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38"/>
      <c r="H60" s="84"/>
      <c r="I60" s="5" t="s">
        <v>179</v>
      </c>
      <c r="J60" s="5" t="s">
        <v>20</v>
      </c>
      <c r="K60" s="5" t="s">
        <v>20</v>
      </c>
      <c r="L60" s="5">
        <v>24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10.666666666666666</v>
      </c>
      <c r="AS60" s="225"/>
      <c r="AT60" s="203">
        <f>IF(AND(AN60&lt;AP66,AF62),AB59*AL65,AP66*AL65)</f>
        <v>0</v>
      </c>
      <c r="AU60" s="225"/>
      <c r="AV60" s="20">
        <f>IF(AF62,AL65-(AL65*AN60),IF(AF61,(1/6)*AL65,0))</f>
        <v>0</v>
      </c>
      <c r="AW60" s="225"/>
      <c r="AX60" s="20">
        <f t="shared" si="12"/>
        <v>0</v>
      </c>
      <c r="AY60" s="225"/>
      <c r="AZ60" s="20">
        <f>AV60*AP66</f>
        <v>0</v>
      </c>
      <c r="BA60" s="225"/>
      <c r="BB60" s="203">
        <f t="shared" si="13"/>
        <v>0</v>
      </c>
      <c r="BC60" s="225"/>
      <c r="BD60" s="20">
        <f t="shared" si="14"/>
        <v>10.666666666666666</v>
      </c>
      <c r="BE60" s="225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25"/>
      <c r="BJ60" s="203">
        <f>BH60+((BD60-BB60)*BF59)</f>
        <v>3.5555555555555558</v>
      </c>
      <c r="BK60" s="225"/>
      <c r="BL60" s="18">
        <f>IF(AB61&gt;0,(BH60*AB61)+((BJ60-BH60)*V64),BJ60*V64)</f>
        <v>3.5555555555555558</v>
      </c>
      <c r="BM60" s="225"/>
      <c r="BN60" s="18">
        <f>(AL64*Z62)+(AB60*BB60)</f>
        <v>0</v>
      </c>
      <c r="BO60" s="225"/>
      <c r="BP60" s="203">
        <f t="shared" ref="BP60:BP64" si="15">IF(AD60,BL60+BN60,NA())</f>
        <v>3.5555555555555558</v>
      </c>
      <c r="BQ60" s="123" t="s">
        <v>47</v>
      </c>
      <c r="BR60" s="18">
        <f>IFERROR(BR59/AD65,NA())</f>
        <v>2.7654320987654324</v>
      </c>
      <c r="BS60" s="160" t="s">
        <v>11</v>
      </c>
    </row>
    <row r="61" spans="1:71" ht="15" customHeight="1">
      <c r="A61" s="132"/>
      <c r="B61" s="236"/>
      <c r="C61" s="236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38"/>
      <c r="H61" s="84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85"/>
      <c r="V61" s="161">
        <f>(IF(L60="D3",2,IF(L60="2D3",4,IF(L60="D6",3.5,IF(L60="2D6",7,IF(L60="3D6",10.5,L60))))))</f>
        <v>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16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7.1111111111111107</v>
      </c>
      <c r="AS61" s="225"/>
      <c r="AT61" s="203">
        <f>IF(AND(AN61&lt;AP66,AF62),AB59*AL65,AP66*AL65)</f>
        <v>0</v>
      </c>
      <c r="AU61" s="225"/>
      <c r="AV61" s="20">
        <f>IF(AF62,AL65-(AL65*AN61),IF(AF61,(1/6)*AL65,0))</f>
        <v>0</v>
      </c>
      <c r="AW61" s="225"/>
      <c r="AX61" s="20">
        <f t="shared" si="12"/>
        <v>0</v>
      </c>
      <c r="AY61" s="225"/>
      <c r="AZ61" s="20">
        <f>AV61*AP66</f>
        <v>0</v>
      </c>
      <c r="BA61" s="225"/>
      <c r="BB61" s="203">
        <f t="shared" si="13"/>
        <v>0</v>
      </c>
      <c r="BC61" s="225"/>
      <c r="BD61" s="20">
        <f t="shared" si="14"/>
        <v>7.1111111111111107</v>
      </c>
      <c r="BE61" s="225"/>
      <c r="BF61" s="203"/>
      <c r="BG61" s="203"/>
      <c r="BH61" s="20">
        <f>IF(AB62&lt;0,BB61*BF60,BB61*BF59)</f>
        <v>0</v>
      </c>
      <c r="BI61" s="225"/>
      <c r="BJ61" s="203">
        <f>BH61+((BD61-BB61)*BF59)</f>
        <v>2.3703703703703707</v>
      </c>
      <c r="BK61" s="225"/>
      <c r="BL61" s="18">
        <f>IF(AB61&gt;0,(BH61*AB61)+((BJ61-BH61)*V64),BJ61*V64)</f>
        <v>2.3703703703703707</v>
      </c>
      <c r="BM61" s="225"/>
      <c r="BN61" s="18">
        <f>(AL64*Z62)+(AB60*BB61)</f>
        <v>0</v>
      </c>
      <c r="BO61" s="225"/>
      <c r="BP61" s="203">
        <f t="shared" si="15"/>
        <v>2.3703703703703707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38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22" t="s">
        <v>24</v>
      </c>
      <c r="O62" s="222"/>
      <c r="P62" s="5" t="s">
        <v>19</v>
      </c>
      <c r="Q62" s="222" t="s">
        <v>25</v>
      </c>
      <c r="R62" s="222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7.1111111111111107</v>
      </c>
      <c r="AS62" s="225"/>
      <c r="AT62" s="203">
        <f>IF(AND(AN62&lt;AP66,AF62),AB59*AL65,AP66*AL65)</f>
        <v>0</v>
      </c>
      <c r="AU62" s="225"/>
      <c r="AV62" s="20">
        <f>IF(AF62,AL65-(AL65*AN62),IF(AF61,(1/6)*AL65,0))</f>
        <v>0</v>
      </c>
      <c r="AW62" s="225"/>
      <c r="AX62" s="20">
        <f t="shared" si="12"/>
        <v>0</v>
      </c>
      <c r="AY62" s="225"/>
      <c r="AZ62" s="20">
        <f>AV62*AP66</f>
        <v>0</v>
      </c>
      <c r="BA62" s="225"/>
      <c r="BB62" s="203">
        <f t="shared" si="13"/>
        <v>0</v>
      </c>
      <c r="BC62" s="225"/>
      <c r="BD62" s="20">
        <f t="shared" si="14"/>
        <v>7.1111111111111107</v>
      </c>
      <c r="BE62" s="225"/>
      <c r="BF62" s="203"/>
      <c r="BG62" s="203"/>
      <c r="BH62" s="20">
        <f>IF(AB62&lt;0,BB62*BF60,BB62*BF59)</f>
        <v>0</v>
      </c>
      <c r="BI62" s="225"/>
      <c r="BJ62" s="203">
        <f>BH62+((BD62-BB62)*BF59)</f>
        <v>2.3703703703703707</v>
      </c>
      <c r="BK62" s="225"/>
      <c r="BL62" s="18">
        <f>IF(AB61&gt;0,(BH62*AB61)+((BJ62-BH62)*V64),BJ62*V64)</f>
        <v>2.3703703703703707</v>
      </c>
      <c r="BM62" s="225"/>
      <c r="BN62" s="18">
        <f>(AL64*Z62)+(AB60*BB62)</f>
        <v>0</v>
      </c>
      <c r="BO62" s="225"/>
      <c r="BP62" s="203">
        <f t="shared" si="15"/>
        <v>2.3703703703703707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38"/>
      <c r="H63" s="87"/>
      <c r="I63" s="80"/>
      <c r="J63" s="201" t="s">
        <v>16</v>
      </c>
      <c r="K63" s="222" t="s">
        <v>17</v>
      </c>
      <c r="L63" s="222"/>
      <c r="M63" s="222"/>
      <c r="N63" s="222" t="s">
        <v>28</v>
      </c>
      <c r="O63" s="222"/>
      <c r="P63" s="5">
        <v>0</v>
      </c>
      <c r="Q63" s="222" t="s">
        <v>27</v>
      </c>
      <c r="R63" s="222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8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7.1111111111111107</v>
      </c>
      <c r="AS63" s="225"/>
      <c r="AT63" s="203">
        <f>IF(AND(AN63&lt;AP66,AF62),AB59*AL65,AP66*AL65)</f>
        <v>0</v>
      </c>
      <c r="AU63" s="225"/>
      <c r="AV63" s="20">
        <f>IF(AF62,AL65-(AL65*AN63),IF(AF61,(1/6)*AL65,0))</f>
        <v>0</v>
      </c>
      <c r="AW63" s="225"/>
      <c r="AX63" s="20">
        <f t="shared" si="12"/>
        <v>0</v>
      </c>
      <c r="AY63" s="225"/>
      <c r="AZ63" s="20">
        <f>AV63*AP66</f>
        <v>0</v>
      </c>
      <c r="BA63" s="225"/>
      <c r="BB63" s="203">
        <f t="shared" si="13"/>
        <v>0</v>
      </c>
      <c r="BC63" s="225"/>
      <c r="BD63" s="20">
        <f t="shared" si="14"/>
        <v>7.1111111111111107</v>
      </c>
      <c r="BE63" s="225"/>
      <c r="BF63" s="203"/>
      <c r="BG63" s="203"/>
      <c r="BH63" s="20">
        <f>IF(AB62&lt;0,BB63*BF60,BB63*BF59)</f>
        <v>0</v>
      </c>
      <c r="BI63" s="225"/>
      <c r="BJ63" s="203">
        <f>BH63+((BD63-BB63)*BF59)</f>
        <v>2.3703703703703707</v>
      </c>
      <c r="BK63" s="225"/>
      <c r="BL63" s="18">
        <f>IF(AB61&gt;0,(BH63*AB61)+((BJ63-BH63)*V64),BJ63*V64)</f>
        <v>2.3703703703703707</v>
      </c>
      <c r="BM63" s="225"/>
      <c r="BN63" s="18">
        <f>(AL64*Z62)+(AB60*BB63)</f>
        <v>0</v>
      </c>
      <c r="BO63" s="225"/>
      <c r="BP63" s="203">
        <f t="shared" si="15"/>
        <v>2.3703703703703707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38"/>
      <c r="H64" s="84"/>
      <c r="I64" s="223" t="s">
        <v>30</v>
      </c>
      <c r="J64" s="223"/>
      <c r="K64" s="223" t="s">
        <v>31</v>
      </c>
      <c r="L64" s="223"/>
      <c r="M64" s="223"/>
      <c r="N64" s="222" t="s">
        <v>29</v>
      </c>
      <c r="O64" s="222"/>
      <c r="P64" s="5">
        <v>0</v>
      </c>
      <c r="Q64" s="222" t="s">
        <v>45</v>
      </c>
      <c r="R64" s="222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5.333333333333333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3.5555555555555554</v>
      </c>
      <c r="AS64" s="225"/>
      <c r="AT64" s="203">
        <f>IF(AND(AN64&lt;AP66,AF62),AB59*AL65,AP66*AL65)</f>
        <v>0</v>
      </c>
      <c r="AU64" s="225"/>
      <c r="AV64" s="20">
        <f>IF(AF62,AL65-(AL65*AN64),IF(AF61,(1/6)*AL65,0))</f>
        <v>0</v>
      </c>
      <c r="AW64" s="225"/>
      <c r="AX64" s="20">
        <f t="shared" si="12"/>
        <v>0</v>
      </c>
      <c r="AY64" s="225"/>
      <c r="AZ64" s="20">
        <f>AV64*AP66</f>
        <v>0</v>
      </c>
      <c r="BA64" s="225"/>
      <c r="BB64" s="203">
        <f t="shared" si="13"/>
        <v>0</v>
      </c>
      <c r="BC64" s="225"/>
      <c r="BD64" s="20">
        <f t="shared" si="14"/>
        <v>3.5555555555555554</v>
      </c>
      <c r="BE64" s="225"/>
      <c r="BF64" s="203"/>
      <c r="BG64" s="203"/>
      <c r="BH64" s="20">
        <f>IF(AB62&lt;0,BB64*BF60,BB64*BF59)</f>
        <v>0</v>
      </c>
      <c r="BI64" s="225"/>
      <c r="BJ64" s="203">
        <f>BH64+((BD64-BB64)*BF59)</f>
        <v>1.1851851851851853</v>
      </c>
      <c r="BK64" s="225"/>
      <c r="BL64" s="18">
        <f>IF(AB61&gt;0,(BH64*AB61)+((BJ64-BH64)*V64),BJ64*V64)</f>
        <v>1.1851851851851853</v>
      </c>
      <c r="BM64" s="225"/>
      <c r="BN64" s="18">
        <f>(AL64*Z62)+(AB60*BB64)</f>
        <v>0</v>
      </c>
      <c r="BO64" s="225"/>
      <c r="BP64" s="203">
        <f t="shared" si="15"/>
        <v>1.1851851851851853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8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22" t="s">
        <v>26</v>
      </c>
      <c r="O65" s="222"/>
      <c r="P65" s="5">
        <v>0</v>
      </c>
      <c r="Q65" s="224" t="s">
        <v>58</v>
      </c>
      <c r="R65" s="224"/>
      <c r="S65" s="5">
        <v>0</v>
      </c>
      <c r="T65" s="86"/>
      <c r="V65" s="162">
        <f>IF(AH59,C66,"")</f>
        <v>1</v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21.333333333333332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1</v>
      </c>
      <c r="D66" s="207" t="s">
        <v>22</v>
      </c>
      <c r="E66" s="179">
        <f>IFERROR(BR60,NA())</f>
        <v>2.7654320987654324</v>
      </c>
      <c r="F66" s="3" t="e">
        <f>IFERROR(E66/P60,NA())</f>
        <v>#N/A</v>
      </c>
      <c r="G66" s="238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9" t="str">
        <f>IF(I70="","",I70)</f>
        <v>Las-Talon</v>
      </c>
      <c r="C68" s="239"/>
      <c r="D68" s="34"/>
      <c r="E68" s="176" t="s">
        <v>11</v>
      </c>
      <c r="F68" s="34" t="s">
        <v>7</v>
      </c>
      <c r="G68" s="241"/>
      <c r="H68" s="82"/>
      <c r="I68" s="218" t="str">
        <f>IF(I70="","",I70)</f>
        <v>Las-Talon</v>
      </c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83"/>
      <c r="V68" s="219" t="s">
        <v>15</v>
      </c>
      <c r="W68" s="220"/>
      <c r="X68" s="220"/>
      <c r="Y68" s="220"/>
      <c r="Z68" s="220"/>
      <c r="AA68" s="220"/>
      <c r="AB68" s="220"/>
      <c r="AC68" s="220"/>
      <c r="AD68" s="220" t="s">
        <v>21</v>
      </c>
      <c r="AE68" s="220"/>
      <c r="AF68" s="220"/>
      <c r="AG68" s="220"/>
      <c r="AH68" s="200"/>
      <c r="AI68" s="200"/>
      <c r="AJ68" s="220" t="s">
        <v>73</v>
      </c>
      <c r="AK68" s="220"/>
      <c r="AL68" s="220"/>
      <c r="AM68" s="220"/>
      <c r="AN68" s="220"/>
      <c r="AO68" s="220" t="s">
        <v>74</v>
      </c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  <c r="BD68" s="220"/>
      <c r="BE68" s="220"/>
      <c r="BF68" s="200"/>
      <c r="BG68" s="200"/>
      <c r="BH68" s="220" t="s">
        <v>75</v>
      </c>
      <c r="BI68" s="220"/>
      <c r="BJ68" s="220"/>
      <c r="BK68" s="220"/>
      <c r="BL68" s="220"/>
      <c r="BM68" s="220"/>
      <c r="BN68" s="220"/>
      <c r="BO68" s="220"/>
      <c r="BP68" s="220"/>
      <c r="BQ68" s="220"/>
      <c r="BR68" s="220" t="s">
        <v>76</v>
      </c>
      <c r="BS68" s="226"/>
    </row>
    <row r="69" spans="1:71" ht="15" customHeight="1">
      <c r="A69" s="152"/>
      <c r="B69" s="240"/>
      <c r="C69" s="240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2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22"/>
      <c r="R69" s="222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0.83333333333333337</v>
      </c>
      <c r="AO69" s="20" t="s">
        <v>90</v>
      </c>
      <c r="AP69" s="20">
        <f>IF((AN69+X70)&gt;5/6,5/6,AN69+X70)</f>
        <v>0.83333333333333337</v>
      </c>
      <c r="AQ69" s="20" t="s">
        <v>96</v>
      </c>
      <c r="AR69" s="21">
        <f>IF(AND(AF72,X70&gt;=0),AL75*AN69,AL75*AP69)</f>
        <v>1.1111111111111112</v>
      </c>
      <c r="AS69" s="225" t="s">
        <v>121</v>
      </c>
      <c r="AT69" s="203">
        <f>IF(AND(AN69&lt;AP76,AF72),AB69*AL75,AP76*AL75)</f>
        <v>0</v>
      </c>
      <c r="AU69" s="225" t="s">
        <v>109</v>
      </c>
      <c r="AV69" s="20">
        <f>IF(AF72,AL75-(AL75*AN69),IF(AF71,(1/6)*AL75,0))</f>
        <v>0</v>
      </c>
      <c r="AW69" s="225" t="s">
        <v>60</v>
      </c>
      <c r="AX69" s="20">
        <f t="shared" ref="AX69:AX74" si="16">AV69*AP69</f>
        <v>0</v>
      </c>
      <c r="AY69" s="225" t="s">
        <v>122</v>
      </c>
      <c r="AZ69" s="20">
        <f>AV69*AP76</f>
        <v>0</v>
      </c>
      <c r="BA69" s="225" t="s">
        <v>110</v>
      </c>
      <c r="BB69" s="203">
        <f t="shared" ref="BB69:BB74" si="17">AT69+AZ69</f>
        <v>0</v>
      </c>
      <c r="BC69" s="225" t="s">
        <v>117</v>
      </c>
      <c r="BD69" s="20">
        <f t="shared" ref="BD69:BD74" si="18">SUM(AR69,AX69)</f>
        <v>1.1111111111111112</v>
      </c>
      <c r="BE69" s="225" t="s">
        <v>63</v>
      </c>
      <c r="BF69" s="203">
        <f>IF((1-(V69+V73))&gt;1,1,1-(V69+V73))</f>
        <v>0.83333333333333337</v>
      </c>
      <c r="BG69" s="203" t="s">
        <v>105</v>
      </c>
      <c r="BH69" s="20">
        <f>IF(AB72&lt;0,BB69*BF70,BB69*BF69)</f>
        <v>0</v>
      </c>
      <c r="BI69" s="225" t="s">
        <v>102</v>
      </c>
      <c r="BJ69" s="203">
        <f>BH69+((BD69-BB69)*BF69)</f>
        <v>0.92592592592592604</v>
      </c>
      <c r="BK69" s="225" t="s">
        <v>103</v>
      </c>
      <c r="BL69" s="18">
        <f>IF(AB71&gt;0,(BH69*AB71)+((BJ69-BH69)*V74),BJ69*V74)</f>
        <v>3.2407407407407414</v>
      </c>
      <c r="BM69" s="225" t="s">
        <v>65</v>
      </c>
      <c r="BN69" s="18">
        <f>(AL74*Z72)+(AB70*BB69)</f>
        <v>0</v>
      </c>
      <c r="BO69" s="225" t="s">
        <v>64</v>
      </c>
      <c r="BP69" s="203">
        <f>IF(AD69,BL69+BN69,NA())</f>
        <v>3.2407407407407414</v>
      </c>
      <c r="BQ69" s="123" t="s">
        <v>46</v>
      </c>
      <c r="BR69" s="18">
        <f>IFERROR(IF(AD69,BP69,0)+IF(AD70,BP70,0)+IF(AD71,BP71,0)+IF(AD72,BP72,0)+IF(AD73,BP73,0)+IF(AD74,BP74,0),NA())</f>
        <v>16.851851851851851</v>
      </c>
      <c r="BS69" s="160" t="s">
        <v>67</v>
      </c>
    </row>
    <row r="70" spans="1:71" ht="15" customHeight="1">
      <c r="A70" s="152"/>
      <c r="B70" s="240"/>
      <c r="C70" s="240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2"/>
      <c r="H70" s="84"/>
      <c r="I70" s="5" t="s">
        <v>172</v>
      </c>
      <c r="J70" s="5" t="s">
        <v>20</v>
      </c>
      <c r="K70" s="5" t="s">
        <v>20</v>
      </c>
      <c r="L70" s="5">
        <v>2</v>
      </c>
      <c r="M70" s="5">
        <v>9</v>
      </c>
      <c r="N70" s="5">
        <v>-3</v>
      </c>
      <c r="O70" s="5" t="s">
        <v>154</v>
      </c>
      <c r="P70" s="5"/>
      <c r="Q70" s="222"/>
      <c r="R70" s="222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0.83333333333333337</v>
      </c>
      <c r="AO70" s="20" t="s">
        <v>91</v>
      </c>
      <c r="AP70" s="20">
        <f>IF((AN70+X70)&gt;5/6,5/6,AN70+X70)</f>
        <v>0.83333333333333337</v>
      </c>
      <c r="AQ70" s="20" t="s">
        <v>97</v>
      </c>
      <c r="AR70" s="21">
        <f>IF(AND(AF72,X70&gt;=0),AL75*AN70,AL75*AP70)</f>
        <v>1.1111111111111112</v>
      </c>
      <c r="AS70" s="225"/>
      <c r="AT70" s="203">
        <f>IF(AND(AN70&lt;AP76,AF72),AB69*AL75,AP76*AL75)</f>
        <v>0</v>
      </c>
      <c r="AU70" s="225"/>
      <c r="AV70" s="20">
        <f>IF(AF72,AL75-(AL75*AN70),IF(AF71,(1/6)*AL75,0))</f>
        <v>0</v>
      </c>
      <c r="AW70" s="225"/>
      <c r="AX70" s="20">
        <f t="shared" si="16"/>
        <v>0</v>
      </c>
      <c r="AY70" s="225"/>
      <c r="AZ70" s="20">
        <f>AV70*AP76</f>
        <v>0</v>
      </c>
      <c r="BA70" s="225"/>
      <c r="BB70" s="203">
        <f t="shared" si="17"/>
        <v>0</v>
      </c>
      <c r="BC70" s="225"/>
      <c r="BD70" s="20">
        <f t="shared" si="18"/>
        <v>1.1111111111111112</v>
      </c>
      <c r="BE70" s="225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25"/>
      <c r="BJ70" s="203">
        <f>BH70+((BD70-BB70)*BF69)</f>
        <v>0.92592592592592604</v>
      </c>
      <c r="BK70" s="225"/>
      <c r="BL70" s="18">
        <f>IF(AB71&gt;0,(BH70*AB71)+((BJ70-BH70)*V74),BJ70*V74)</f>
        <v>3.2407407407407414</v>
      </c>
      <c r="BM70" s="225"/>
      <c r="BN70" s="18">
        <f>(AL74*Z72)+(AB70*BB70)</f>
        <v>0</v>
      </c>
      <c r="BO70" s="225"/>
      <c r="BP70" s="203">
        <f t="shared" ref="BP70:BP74" si="19">IF(AD70,BL70+BN70,NA())</f>
        <v>3.2407407407407414</v>
      </c>
      <c r="BQ70" s="123" t="s">
        <v>47</v>
      </c>
      <c r="BR70" s="18">
        <f>IFERROR(BR69/AD75,NA())</f>
        <v>2.808641975308642</v>
      </c>
      <c r="BS70" s="160" t="s">
        <v>11</v>
      </c>
    </row>
    <row r="71" spans="1:71" ht="15" customHeight="1">
      <c r="A71" s="152"/>
      <c r="B71" s="240"/>
      <c r="C71" s="240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2"/>
      <c r="H71" s="84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85"/>
      <c r="V71" s="161">
        <f>(IF(L70="D3",2,IF(L70="2D3",4,IF(L70="D6",3.5,IF(L70="2D6",7,IF(L70="3D6",10.5,L70))))))</f>
        <v>2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1.3333333333333333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0.66666666666666663</v>
      </c>
      <c r="AO71" s="20" t="s">
        <v>92</v>
      </c>
      <c r="AP71" s="20">
        <f>IF((AN71+X70)&gt;5/6,5/6,AN71+X70)</f>
        <v>0.66666666666666663</v>
      </c>
      <c r="AQ71" s="20" t="s">
        <v>98</v>
      </c>
      <c r="AR71" s="21">
        <f>IF(AND(AF72,X70&gt;=0),AL75*AN71,AL75*AP71)</f>
        <v>0.88888888888888884</v>
      </c>
      <c r="AS71" s="225"/>
      <c r="AT71" s="203">
        <f>IF(AND(AN71&lt;AP76,AF72),AB69*AL75,AP76*AL75)</f>
        <v>0</v>
      </c>
      <c r="AU71" s="225"/>
      <c r="AV71" s="20">
        <f>IF(AF72,AL75-(AL75*AN71),IF(AF71,(1/6)*AL75,0))</f>
        <v>0</v>
      </c>
      <c r="AW71" s="225"/>
      <c r="AX71" s="20">
        <f t="shared" si="16"/>
        <v>0</v>
      </c>
      <c r="AY71" s="225"/>
      <c r="AZ71" s="20">
        <f>AV71*AP76</f>
        <v>0</v>
      </c>
      <c r="BA71" s="225"/>
      <c r="BB71" s="203">
        <f t="shared" si="17"/>
        <v>0</v>
      </c>
      <c r="BC71" s="225"/>
      <c r="BD71" s="20">
        <f t="shared" si="18"/>
        <v>0.88888888888888884</v>
      </c>
      <c r="BE71" s="225"/>
      <c r="BF71" s="203"/>
      <c r="BG71" s="203"/>
      <c r="BH71" s="20">
        <f>IF(AB72&lt;0,BB71*BF70,BB71*BF69)</f>
        <v>0</v>
      </c>
      <c r="BI71" s="225"/>
      <c r="BJ71" s="203">
        <f>BH71+((BD71-BB71)*BF69)</f>
        <v>0.7407407407407407</v>
      </c>
      <c r="BK71" s="225"/>
      <c r="BL71" s="18">
        <f>IF(AB71&gt;0,(BH71*AB71)+((BJ71-BH71)*V74),BJ71*V74)</f>
        <v>2.5925925925925926</v>
      </c>
      <c r="BM71" s="225"/>
      <c r="BN71" s="18">
        <f>(AL74*Z72)+(AB70*BB71)</f>
        <v>0</v>
      </c>
      <c r="BO71" s="225"/>
      <c r="BP71" s="203">
        <f t="shared" si="19"/>
        <v>2.5925925925925926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2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22" t="s">
        <v>24</v>
      </c>
      <c r="O72" s="222"/>
      <c r="P72" s="5" t="s">
        <v>19</v>
      </c>
      <c r="Q72" s="222" t="s">
        <v>25</v>
      </c>
      <c r="R72" s="222"/>
      <c r="S72" s="5" t="s">
        <v>19</v>
      </c>
      <c r="T72" s="86"/>
      <c r="V72" s="161">
        <f>IF(M70="D3",2,IF(M70="2D3",4,IF(M70="D6",3.5,IF(M70="2D6",7,M70))))</f>
        <v>9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0.66666666666666663</v>
      </c>
      <c r="AO72" s="20" t="s">
        <v>93</v>
      </c>
      <c r="AP72" s="20">
        <f>IF((AN72+X70)&gt;5/6,5/6,AN72+X70)</f>
        <v>0.66666666666666663</v>
      </c>
      <c r="AQ72" s="20" t="s">
        <v>99</v>
      </c>
      <c r="AR72" s="21">
        <f>IF(AND(AF72,X70&gt;=0),AL75*AN72,AL75*AP72)</f>
        <v>0.88888888888888884</v>
      </c>
      <c r="AS72" s="225"/>
      <c r="AT72" s="203">
        <f>IF(AND(AN72&lt;AP76,AF72),AB69*AL75,AP76*AL75)</f>
        <v>0</v>
      </c>
      <c r="AU72" s="225"/>
      <c r="AV72" s="20">
        <f>IF(AF72,AL75-(AL75*AN72),IF(AF71,(1/6)*AL75,0))</f>
        <v>0</v>
      </c>
      <c r="AW72" s="225"/>
      <c r="AX72" s="20">
        <f t="shared" si="16"/>
        <v>0</v>
      </c>
      <c r="AY72" s="225"/>
      <c r="AZ72" s="20">
        <f>AV72*AP76</f>
        <v>0</v>
      </c>
      <c r="BA72" s="225"/>
      <c r="BB72" s="203">
        <f t="shared" si="17"/>
        <v>0</v>
      </c>
      <c r="BC72" s="225"/>
      <c r="BD72" s="20">
        <f t="shared" si="18"/>
        <v>0.88888888888888884</v>
      </c>
      <c r="BE72" s="225"/>
      <c r="BF72" s="203"/>
      <c r="BG72" s="203"/>
      <c r="BH72" s="20">
        <f>IF(AB72&lt;0,BB72*BF70,BB72*BF69)</f>
        <v>0</v>
      </c>
      <c r="BI72" s="225"/>
      <c r="BJ72" s="203">
        <f>BH72+((BD72-BB72)*BF69)</f>
        <v>0.7407407407407407</v>
      </c>
      <c r="BK72" s="225"/>
      <c r="BL72" s="18">
        <f>IF(AB71&gt;0,(BH72*AB71)+((BJ72-BH72)*V74),BJ72*V74)</f>
        <v>2.5925925925925926</v>
      </c>
      <c r="BM72" s="225"/>
      <c r="BN72" s="18">
        <f>(AL74*Z72)+(AB70*BB72)</f>
        <v>0</v>
      </c>
      <c r="BO72" s="225"/>
      <c r="BP72" s="203">
        <f t="shared" si="19"/>
        <v>2.5925925925925926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2"/>
      <c r="H73" s="87"/>
      <c r="I73" s="80"/>
      <c r="J73" s="201" t="s">
        <v>16</v>
      </c>
      <c r="K73" s="222" t="s">
        <v>17</v>
      </c>
      <c r="L73" s="222"/>
      <c r="M73" s="222"/>
      <c r="N73" s="222" t="s">
        <v>28</v>
      </c>
      <c r="O73" s="222"/>
      <c r="P73" s="5">
        <v>0</v>
      </c>
      <c r="Q73" s="222" t="s">
        <v>27</v>
      </c>
      <c r="R73" s="222"/>
      <c r="S73" s="5">
        <v>0</v>
      </c>
      <c r="T73" s="86"/>
      <c r="V73" s="161">
        <f>IF(N70="D3",-2/6,IF(N70="2D3",-4/6,IF(N70="D6",-3.5/6,IF(N70="2D6",-7/6,N70/6))))</f>
        <v>-0.5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0.66666666666666663</v>
      </c>
      <c r="AO73" s="20" t="s">
        <v>94</v>
      </c>
      <c r="AP73" s="20">
        <f>IF((AN73+X70)&gt;5/6,5/6,AN73+X70)</f>
        <v>0.66666666666666663</v>
      </c>
      <c r="AQ73" s="20" t="s">
        <v>100</v>
      </c>
      <c r="AR73" s="21">
        <f>IF(AND(AF72,X70&gt;=0),AL75*AN73,AL75*AP73)</f>
        <v>0.88888888888888884</v>
      </c>
      <c r="AS73" s="225"/>
      <c r="AT73" s="203">
        <f>IF(AND(AN73&lt;AP76,AF72),AB69*AL75,AP76*AL75)</f>
        <v>0</v>
      </c>
      <c r="AU73" s="225"/>
      <c r="AV73" s="20">
        <f>IF(AF72,AL75-(AL75*AN73),IF(AF71,(1/6)*AL75,0))</f>
        <v>0</v>
      </c>
      <c r="AW73" s="225"/>
      <c r="AX73" s="20">
        <f t="shared" si="16"/>
        <v>0</v>
      </c>
      <c r="AY73" s="225"/>
      <c r="AZ73" s="20">
        <f>AV73*AP76</f>
        <v>0</v>
      </c>
      <c r="BA73" s="225"/>
      <c r="BB73" s="203">
        <f t="shared" si="17"/>
        <v>0</v>
      </c>
      <c r="BC73" s="225"/>
      <c r="BD73" s="20">
        <f t="shared" si="18"/>
        <v>0.88888888888888884</v>
      </c>
      <c r="BE73" s="225"/>
      <c r="BF73" s="203"/>
      <c r="BG73" s="203"/>
      <c r="BH73" s="20">
        <f>IF(AB72&lt;0,BB73*BF70,BB73*BF69)</f>
        <v>0</v>
      </c>
      <c r="BI73" s="225"/>
      <c r="BJ73" s="203">
        <f>BH73+((BD73-BB73)*BF69)</f>
        <v>0.7407407407407407</v>
      </c>
      <c r="BK73" s="225"/>
      <c r="BL73" s="18">
        <f>IF(AB71&gt;0,(BH73*AB71)+((BJ73-BH73)*V74),BJ73*V74)</f>
        <v>2.5925925925925926</v>
      </c>
      <c r="BM73" s="225"/>
      <c r="BN73" s="18">
        <f>(AL74*Z72)+(AB70*BB73)</f>
        <v>0</v>
      </c>
      <c r="BO73" s="225"/>
      <c r="BP73" s="203">
        <f t="shared" si="19"/>
        <v>2.5925925925925926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2"/>
      <c r="H74" s="84"/>
      <c r="I74" s="223" t="s">
        <v>30</v>
      </c>
      <c r="J74" s="223"/>
      <c r="K74" s="223" t="s">
        <v>31</v>
      </c>
      <c r="L74" s="223"/>
      <c r="M74" s="223"/>
      <c r="N74" s="222" t="s">
        <v>29</v>
      </c>
      <c r="O74" s="222"/>
      <c r="P74" s="5">
        <v>0</v>
      </c>
      <c r="Q74" s="222" t="s">
        <v>45</v>
      </c>
      <c r="R74" s="222"/>
      <c r="S74" s="5">
        <v>0</v>
      </c>
      <c r="T74" s="86"/>
      <c r="V74" s="161">
        <f>IF(O70="D3",2,IF(O70="2D3",4,IF(O70="D6",3.5,IF(O70="2D6",7,IF(O70="2D6 pick highest",161/36,IF(O70="Less than 3 counts as 3",4,O70))))))</f>
        <v>3.5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0.66666666666666663</v>
      </c>
      <c r="AO74" s="20" t="s">
        <v>95</v>
      </c>
      <c r="AP74" s="20">
        <f>IF((AN74+X70)&gt;5/6,5/6,AN74+X70)</f>
        <v>0.66666666666666663</v>
      </c>
      <c r="AQ74" s="20" t="s">
        <v>101</v>
      </c>
      <c r="AR74" s="20">
        <f>IF(AND(AF72,X70&gt;=0),AL75*AN74,AL75*AP74)</f>
        <v>0.88888888888888884</v>
      </c>
      <c r="AS74" s="225"/>
      <c r="AT74" s="203">
        <f>IF(AND(AN74&lt;AP76,AF72),AB69*AL75,AP76*AL75)</f>
        <v>0</v>
      </c>
      <c r="AU74" s="225"/>
      <c r="AV74" s="20">
        <f>IF(AF72,AL75-(AL75*AN74),IF(AF71,(1/6)*AL75,0))</f>
        <v>0</v>
      </c>
      <c r="AW74" s="225"/>
      <c r="AX74" s="20">
        <f t="shared" si="16"/>
        <v>0</v>
      </c>
      <c r="AY74" s="225"/>
      <c r="AZ74" s="20">
        <f>AV74*AP76</f>
        <v>0</v>
      </c>
      <c r="BA74" s="225"/>
      <c r="BB74" s="203">
        <f t="shared" si="17"/>
        <v>0</v>
      </c>
      <c r="BC74" s="225"/>
      <c r="BD74" s="20">
        <f t="shared" si="18"/>
        <v>0.88888888888888884</v>
      </c>
      <c r="BE74" s="225"/>
      <c r="BF74" s="203"/>
      <c r="BG74" s="203"/>
      <c r="BH74" s="20">
        <f>IF(AB72&lt;0,BB74*BF70,BB74*BF69)</f>
        <v>0</v>
      </c>
      <c r="BI74" s="225"/>
      <c r="BJ74" s="203">
        <f>BH74+((BD74-BB74)*BF69)</f>
        <v>0.7407407407407407</v>
      </c>
      <c r="BK74" s="225"/>
      <c r="BL74" s="18">
        <f>IF(AB71&gt;0,(BH74*AB71)+((BJ74-BH74)*V74),BJ74*V74)</f>
        <v>2.5925925925925926</v>
      </c>
      <c r="BM74" s="225"/>
      <c r="BN74" s="18">
        <f>(AL74*Z72)+(AB70*BB74)</f>
        <v>0</v>
      </c>
      <c r="BO74" s="225"/>
      <c r="BP74" s="203">
        <f t="shared" si="19"/>
        <v>2.5925925925925926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2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22" t="s">
        <v>26</v>
      </c>
      <c r="O75" s="222"/>
      <c r="P75" s="5">
        <v>0</v>
      </c>
      <c r="Q75" s="224" t="s">
        <v>58</v>
      </c>
      <c r="R75" s="224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1.3333333333333333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1</v>
      </c>
      <c r="D76" s="208" t="s">
        <v>22</v>
      </c>
      <c r="E76" s="179">
        <f>IFERROR(BR70,NA())</f>
        <v>2.808641975308642</v>
      </c>
      <c r="F76" s="3" t="e">
        <f>IFERROR(E76/P70,NA())</f>
        <v>#N/A</v>
      </c>
      <c r="G76" s="242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62" t="str">
        <f>IF(I80="","",I80)</f>
        <v>Hunter Killer</v>
      </c>
      <c r="C78" s="262"/>
      <c r="D78" s="36"/>
      <c r="E78" s="37" t="s">
        <v>11</v>
      </c>
      <c r="F78" s="36" t="s">
        <v>7</v>
      </c>
      <c r="G78" s="264"/>
      <c r="H78" s="82"/>
      <c r="I78" s="218" t="str">
        <f>IF(I80="","",I80)</f>
        <v>Hunter Killer</v>
      </c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83"/>
      <c r="V78" s="219" t="s">
        <v>15</v>
      </c>
      <c r="W78" s="220"/>
      <c r="X78" s="220"/>
      <c r="Y78" s="220"/>
      <c r="Z78" s="220"/>
      <c r="AA78" s="220"/>
      <c r="AB78" s="220"/>
      <c r="AC78" s="220"/>
      <c r="AD78" s="220" t="s">
        <v>21</v>
      </c>
      <c r="AE78" s="220"/>
      <c r="AF78" s="220"/>
      <c r="AG78" s="220"/>
      <c r="AH78" s="200"/>
      <c r="AI78" s="200"/>
      <c r="AJ78" s="220" t="s">
        <v>73</v>
      </c>
      <c r="AK78" s="220"/>
      <c r="AL78" s="220"/>
      <c r="AM78" s="220"/>
      <c r="AN78" s="220"/>
      <c r="AO78" s="220" t="s">
        <v>74</v>
      </c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200"/>
      <c r="BG78" s="200"/>
      <c r="BH78" s="220" t="s">
        <v>75</v>
      </c>
      <c r="BI78" s="220"/>
      <c r="BJ78" s="220"/>
      <c r="BK78" s="220"/>
      <c r="BL78" s="220"/>
      <c r="BM78" s="220"/>
      <c r="BN78" s="220"/>
      <c r="BO78" s="220"/>
      <c r="BP78" s="220"/>
      <c r="BQ78" s="220"/>
      <c r="BR78" s="220" t="s">
        <v>76</v>
      </c>
      <c r="BS78" s="226"/>
    </row>
    <row r="79" spans="1:71" ht="15" customHeight="1">
      <c r="A79" s="155"/>
      <c r="B79" s="263"/>
      <c r="C79" s="263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5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22"/>
      <c r="R79" s="222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0.66666666666666663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0.7407407407407407</v>
      </c>
      <c r="AS79" s="225" t="s">
        <v>121</v>
      </c>
      <c r="AT79" s="203">
        <f>IF(AND(AN79&lt;AP86,AF82),AB79*AL85,AP86*AL85)</f>
        <v>0</v>
      </c>
      <c r="AU79" s="225" t="s">
        <v>109</v>
      </c>
      <c r="AV79" s="20">
        <f>IF(AF82,AL85-(AL85*AN79),IF(AF81,(1/6)*AL85,0))</f>
        <v>0</v>
      </c>
      <c r="AW79" s="225" t="s">
        <v>60</v>
      </c>
      <c r="AX79" s="20">
        <f t="shared" ref="AX79:AX84" si="20">AV79*AP79</f>
        <v>0</v>
      </c>
      <c r="AY79" s="225" t="s">
        <v>122</v>
      </c>
      <c r="AZ79" s="20">
        <f>AV79*AP86</f>
        <v>0</v>
      </c>
      <c r="BA79" s="225" t="s">
        <v>110</v>
      </c>
      <c r="BB79" s="203">
        <f t="shared" ref="BB79:BB84" si="21">AT79+AZ79</f>
        <v>0</v>
      </c>
      <c r="BC79" s="225" t="s">
        <v>117</v>
      </c>
      <c r="BD79" s="20">
        <f t="shared" ref="BD79:BD84" si="22">SUM(AR79,AX79)</f>
        <v>0.7407407407407407</v>
      </c>
      <c r="BE79" s="225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25" t="s">
        <v>102</v>
      </c>
      <c r="BJ79" s="203">
        <f>BH79+((BD79-BB79)*BF79)</f>
        <v>0.61728395061728392</v>
      </c>
      <c r="BK79" s="225" t="s">
        <v>103</v>
      </c>
      <c r="BL79" s="18">
        <f>IF(AB81&gt;0,(BH79*AB81)+((BJ79-BH79)*V84),BJ79*V84)</f>
        <v>2.1604938271604937</v>
      </c>
      <c r="BM79" s="225" t="s">
        <v>65</v>
      </c>
      <c r="BN79" s="18">
        <f>(AL84*Z82)+(AB80*BB79)</f>
        <v>0</v>
      </c>
      <c r="BO79" s="225" t="s">
        <v>64</v>
      </c>
      <c r="BP79" s="203">
        <f>IF(AD79,BL79+BN79,NA())</f>
        <v>2.1604938271604937</v>
      </c>
      <c r="BQ79" s="123" t="s">
        <v>46</v>
      </c>
      <c r="BR79" s="18">
        <f>IFERROR(IF(AD79,BP79,0)+IF(AD80,BP80,0)+IF(AD81,BP81,0)+IF(AD82,BP82,0)+IF(AD83,BP83,0)+IF(AD84,BP84,0),NA())</f>
        <v>9.5061728395061724</v>
      </c>
      <c r="BS79" s="160" t="s">
        <v>67</v>
      </c>
    </row>
    <row r="80" spans="1:71" ht="15" customHeight="1">
      <c r="A80" s="155"/>
      <c r="B80" s="263"/>
      <c r="C80" s="263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5"/>
      <c r="H80" s="84"/>
      <c r="I80" s="5" t="s">
        <v>167</v>
      </c>
      <c r="J80" s="5" t="s">
        <v>20</v>
      </c>
      <c r="K80" s="5" t="s">
        <v>20</v>
      </c>
      <c r="L80" s="5">
        <v>1</v>
      </c>
      <c r="M80" s="5">
        <v>8</v>
      </c>
      <c r="N80" s="5">
        <v>-3</v>
      </c>
      <c r="O80" s="5" t="s">
        <v>154</v>
      </c>
      <c r="P80" s="5"/>
      <c r="Q80" s="222"/>
      <c r="R80" s="222"/>
      <c r="S80" s="79"/>
      <c r="T80" s="85"/>
      <c r="V80" s="159">
        <f>(IF(K80="D3",5/6,IF(K80="2D3",3/6,IF(K80="D6",3.5/6,IF(K80="Auto Hit",1,IF(K80="2+",5/6,IF(K80="3+",4/6,IF(K80="4+",3/6,IF(K80="5+",2/6,IF(K80="6+",1/6,0))))))))))</f>
        <v>0.66666666666666663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0.7407407407407407</v>
      </c>
      <c r="AS80" s="225"/>
      <c r="AT80" s="203">
        <f>IF(AND(AN80&lt;AP86,AF82),AB79*AL85,AP86*AL85)</f>
        <v>0</v>
      </c>
      <c r="AU80" s="225"/>
      <c r="AV80" s="20">
        <f>IF(AF82,AL85-(AL85*AN80),IF(AF81,(1/6)*AL85,0))</f>
        <v>0</v>
      </c>
      <c r="AW80" s="225"/>
      <c r="AX80" s="20">
        <f t="shared" si="20"/>
        <v>0</v>
      </c>
      <c r="AY80" s="225"/>
      <c r="AZ80" s="20">
        <f>AV80*AP86</f>
        <v>0</v>
      </c>
      <c r="BA80" s="225"/>
      <c r="BB80" s="203">
        <f t="shared" si="21"/>
        <v>0</v>
      </c>
      <c r="BC80" s="225"/>
      <c r="BD80" s="20">
        <f t="shared" si="22"/>
        <v>0.7407407407407407</v>
      </c>
      <c r="BE80" s="225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25"/>
      <c r="BJ80" s="203">
        <f>BH80+((BD80-BB80)*BF79)</f>
        <v>0.61728395061728392</v>
      </c>
      <c r="BK80" s="225"/>
      <c r="BL80" s="18">
        <f>IF(AB81&gt;0,(BH80*AB81)+((BJ80-BH80)*V84),BJ80*V84)</f>
        <v>2.1604938271604937</v>
      </c>
      <c r="BM80" s="225"/>
      <c r="BN80" s="18">
        <f>(AL84*Z82)+(AB80*BB80)</f>
        <v>0</v>
      </c>
      <c r="BO80" s="225"/>
      <c r="BP80" s="203">
        <f t="shared" ref="BP80:BP84" si="23">IF(AD80,BL80+BN80,NA())</f>
        <v>2.1604938271604937</v>
      </c>
      <c r="BQ80" s="123" t="s">
        <v>47</v>
      </c>
      <c r="BR80" s="18">
        <f>IFERROR(BR79/AD85,NA())</f>
        <v>1.9012345679012346</v>
      </c>
      <c r="BS80" s="160" t="s">
        <v>11</v>
      </c>
    </row>
    <row r="81" spans="1:83" ht="15" customHeight="1">
      <c r="A81" s="155"/>
      <c r="B81" s="263"/>
      <c r="C81" s="263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5"/>
      <c r="H81" s="84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85"/>
      <c r="V81" s="161">
        <f>(IF(L80="D3",2,IF(L80="2D3",4,IF(L80="D6",3.5,IF(L80="2D6",7,IF(L80="3D6",10.5,L80))))))</f>
        <v>1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0.66666666666666663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0.59259259259259256</v>
      </c>
      <c r="AS81" s="225"/>
      <c r="AT81" s="203">
        <f>IF(AND(AN81&lt;AP86,AF82),AB79*AL85,AP86*AL85)</f>
        <v>0</v>
      </c>
      <c r="AU81" s="225"/>
      <c r="AV81" s="20">
        <f>IF(AF82,AL85-(AL85*AN81),IF(AF81,(1/6)*AL85,0))</f>
        <v>0</v>
      </c>
      <c r="AW81" s="225"/>
      <c r="AX81" s="20">
        <f t="shared" si="20"/>
        <v>0</v>
      </c>
      <c r="AY81" s="225"/>
      <c r="AZ81" s="20">
        <f>AV81*AP86</f>
        <v>0</v>
      </c>
      <c r="BA81" s="225"/>
      <c r="BB81" s="203">
        <f t="shared" si="21"/>
        <v>0</v>
      </c>
      <c r="BC81" s="225"/>
      <c r="BD81" s="20">
        <f t="shared" si="22"/>
        <v>0.59259259259259256</v>
      </c>
      <c r="BE81" s="225"/>
      <c r="BF81" s="203"/>
      <c r="BG81" s="203"/>
      <c r="BH81" s="20">
        <f>IF(AB82&lt;0,BB81*BF80,BB81*BF79)</f>
        <v>0</v>
      </c>
      <c r="BI81" s="225"/>
      <c r="BJ81" s="203">
        <f>BH81+((BD81-BB81)*BF79)</f>
        <v>0.49382716049382713</v>
      </c>
      <c r="BK81" s="225"/>
      <c r="BL81" s="18">
        <f>IF(AB81&gt;0,(BH81*AB81)+((BJ81-BH81)*V84),BJ81*V84)</f>
        <v>1.728395061728395</v>
      </c>
      <c r="BM81" s="225"/>
      <c r="BN81" s="18">
        <f>(AL84*Z82)+(AB80*BB81)</f>
        <v>0</v>
      </c>
      <c r="BO81" s="225"/>
      <c r="BP81" s="203">
        <f t="shared" si="23"/>
        <v>1.728395061728395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5"/>
      <c r="H82" s="84"/>
      <c r="I82" s="201" t="str">
        <f>"+- to hit"</f>
        <v>+- to hit</v>
      </c>
      <c r="J82" s="5">
        <v>0</v>
      </c>
      <c r="K82" s="79"/>
      <c r="L82" s="201" t="str">
        <f>"+- to wound"</f>
        <v>+- to wound</v>
      </c>
      <c r="M82" s="5">
        <v>0</v>
      </c>
      <c r="N82" s="222" t="s">
        <v>24</v>
      </c>
      <c r="O82" s="222"/>
      <c r="P82" s="5" t="s">
        <v>19</v>
      </c>
      <c r="Q82" s="222" t="s">
        <v>25</v>
      </c>
      <c r="R82" s="222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0.59259259259259256</v>
      </c>
      <c r="AS82" s="225"/>
      <c r="AT82" s="203">
        <f>IF(AND(AN82&lt;AP86,AF82),AB79*AL85,AP86*AL85)</f>
        <v>0</v>
      </c>
      <c r="AU82" s="225"/>
      <c r="AV82" s="20">
        <f>IF(AF82,AL85-(AL85*AN82),IF(AF81,(1/6)*AL85,0))</f>
        <v>0</v>
      </c>
      <c r="AW82" s="225"/>
      <c r="AX82" s="20">
        <f t="shared" si="20"/>
        <v>0</v>
      </c>
      <c r="AY82" s="225"/>
      <c r="AZ82" s="20">
        <f>AV82*AP86</f>
        <v>0</v>
      </c>
      <c r="BA82" s="225"/>
      <c r="BB82" s="203">
        <f t="shared" si="21"/>
        <v>0</v>
      </c>
      <c r="BC82" s="225"/>
      <c r="BD82" s="20">
        <f t="shared" si="22"/>
        <v>0.59259259259259256</v>
      </c>
      <c r="BE82" s="225"/>
      <c r="BF82" s="203"/>
      <c r="BG82" s="203"/>
      <c r="BH82" s="20">
        <f>IF(AB82&lt;0,BB82*BF80,BB82*BF79)</f>
        <v>0</v>
      </c>
      <c r="BI82" s="225"/>
      <c r="BJ82" s="203">
        <f>BH82+((BD82-BB82)*BF79)</f>
        <v>0.49382716049382713</v>
      </c>
      <c r="BK82" s="225"/>
      <c r="BL82" s="18">
        <f>IF(AB81&gt;0,(BH82*AB81)+((BJ82-BH82)*V84),BJ82*V84)</f>
        <v>1.728395061728395</v>
      </c>
      <c r="BM82" s="225"/>
      <c r="BN82" s="18">
        <f>(AL84*Z82)+(AB80*BB82)</f>
        <v>0</v>
      </c>
      <c r="BO82" s="225"/>
      <c r="BP82" s="203">
        <f t="shared" si="23"/>
        <v>1.728395061728395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5"/>
      <c r="H83" s="87"/>
      <c r="I83" s="80"/>
      <c r="J83" s="201" t="s">
        <v>16</v>
      </c>
      <c r="K83" s="222" t="s">
        <v>17</v>
      </c>
      <c r="L83" s="222"/>
      <c r="M83" s="222"/>
      <c r="N83" s="222" t="s">
        <v>28</v>
      </c>
      <c r="O83" s="222"/>
      <c r="P83" s="5">
        <v>0</v>
      </c>
      <c r="Q83" s="222" t="s">
        <v>27</v>
      </c>
      <c r="R83" s="222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0.33333333333333337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0.59259259259259256</v>
      </c>
      <c r="AS83" s="225"/>
      <c r="AT83" s="203">
        <f>IF(AND(AN83&lt;AP86,AF82),AB79*AL85,AP86*AL85)</f>
        <v>0</v>
      </c>
      <c r="AU83" s="225"/>
      <c r="AV83" s="20">
        <f>IF(AF82,AL85-(AL85*AN83),IF(AF81,(1/6)*AL85,0))</f>
        <v>0</v>
      </c>
      <c r="AW83" s="225"/>
      <c r="AX83" s="20">
        <f t="shared" si="20"/>
        <v>0</v>
      </c>
      <c r="AY83" s="225"/>
      <c r="AZ83" s="20">
        <f>AV83*AP86</f>
        <v>0</v>
      </c>
      <c r="BA83" s="225"/>
      <c r="BB83" s="203">
        <f t="shared" si="21"/>
        <v>0</v>
      </c>
      <c r="BC83" s="225"/>
      <c r="BD83" s="20">
        <f t="shared" si="22"/>
        <v>0.59259259259259256</v>
      </c>
      <c r="BE83" s="225"/>
      <c r="BF83" s="203"/>
      <c r="BG83" s="203"/>
      <c r="BH83" s="20">
        <f>IF(AB82&lt;0,BB83*BF80,BB83*BF79)</f>
        <v>0</v>
      </c>
      <c r="BI83" s="225"/>
      <c r="BJ83" s="203">
        <f>BH83+((BD83-BB83)*BF79)</f>
        <v>0.49382716049382713</v>
      </c>
      <c r="BK83" s="225"/>
      <c r="BL83" s="18">
        <f>IF(AB81&gt;0,(BH83*AB81)+((BJ83-BH83)*V84),BJ83*V84)</f>
        <v>1.728395061728395</v>
      </c>
      <c r="BM83" s="225"/>
      <c r="BN83" s="18">
        <f>(AL84*Z82)+(AB80*BB83)</f>
        <v>0</v>
      </c>
      <c r="BO83" s="225"/>
      <c r="BP83" s="203">
        <f t="shared" si="23"/>
        <v>1.728395061728395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5"/>
      <c r="H84" s="84"/>
      <c r="I84" s="223" t="s">
        <v>30</v>
      </c>
      <c r="J84" s="223"/>
      <c r="K84" s="223" t="s">
        <v>31</v>
      </c>
      <c r="L84" s="223"/>
      <c r="M84" s="223"/>
      <c r="N84" s="222" t="s">
        <v>29</v>
      </c>
      <c r="O84" s="222"/>
      <c r="P84" s="5">
        <v>0</v>
      </c>
      <c r="Q84" s="222" t="s">
        <v>45</v>
      </c>
      <c r="R84" s="222"/>
      <c r="S84" s="5">
        <v>0</v>
      </c>
      <c r="T84" s="86"/>
      <c r="V84" s="161">
        <f>IF(O80="D3",2,IF(O80="2D3",4,IF(O80="D6",3.5,IF(O80="2D6",7,IF(O80="2D6 pick highest",161/36,IF(O80="Less than 3 counts as 3",4,O80))))))</f>
        <v>3.5</v>
      </c>
      <c r="W84" s="12" t="s">
        <v>23</v>
      </c>
      <c r="X84" s="12"/>
      <c r="Y84" s="23"/>
      <c r="AA84" s="14"/>
      <c r="AB84" s="22"/>
      <c r="AC84" s="14"/>
      <c r="AD84" s="23" t="b">
        <v>0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0.22222222222222224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0.44444444444444442</v>
      </c>
      <c r="AS84" s="225"/>
      <c r="AT84" s="203">
        <f>IF(AND(AN84&lt;AP86,AF82),AB79*AL85,AP86*AL85)</f>
        <v>0</v>
      </c>
      <c r="AU84" s="225"/>
      <c r="AV84" s="20">
        <f>IF(AF82,AL85-(AL85*AN84),IF(AF81,(1/6)*AL85,0))</f>
        <v>0</v>
      </c>
      <c r="AW84" s="225"/>
      <c r="AX84" s="20">
        <f t="shared" si="20"/>
        <v>0</v>
      </c>
      <c r="AY84" s="225"/>
      <c r="AZ84" s="20">
        <f>AV84*AP86</f>
        <v>0</v>
      </c>
      <c r="BA84" s="225"/>
      <c r="BB84" s="203">
        <f t="shared" si="21"/>
        <v>0</v>
      </c>
      <c r="BC84" s="225"/>
      <c r="BD84" s="20">
        <f t="shared" si="22"/>
        <v>0.44444444444444442</v>
      </c>
      <c r="BE84" s="225"/>
      <c r="BF84" s="203"/>
      <c r="BG84" s="203"/>
      <c r="BH84" s="20">
        <f>IF(AB82&lt;0,BB84*BF80,BB84*BF79)</f>
        <v>0</v>
      </c>
      <c r="BI84" s="225"/>
      <c r="BJ84" s="203">
        <f>BH84+((BD84-BB84)*BF79)</f>
        <v>0.37037037037037035</v>
      </c>
      <c r="BK84" s="225"/>
      <c r="BL84" s="18">
        <f>IF(AB81&gt;0,(BH84*AB81)+((BJ84-BH84)*V84),BJ84*V84)</f>
        <v>1.2962962962962963</v>
      </c>
      <c r="BM84" s="225"/>
      <c r="BN84" s="18">
        <f>(AL84*Z82)+(AB80*BB84)</f>
        <v>0</v>
      </c>
      <c r="BO84" s="225"/>
      <c r="BP84" s="203" t="e">
        <f t="shared" si="23"/>
        <v>#N/A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5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22" t="s">
        <v>26</v>
      </c>
      <c r="O85" s="222"/>
      <c r="P85" s="5">
        <v>0</v>
      </c>
      <c r="Q85" s="224" t="s">
        <v>58</v>
      </c>
      <c r="R85" s="224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5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0.88888888888888884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1.9012345679012346</v>
      </c>
      <c r="F86" s="3" t="e">
        <f>IFERROR(E86/P80,NA())</f>
        <v>#N/A</v>
      </c>
      <c r="G86" s="265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3" t="s">
        <v>85</v>
      </c>
      <c r="B89" s="244"/>
      <c r="C89" s="244"/>
      <c r="D89" s="95"/>
      <c r="E89" s="96" t="s">
        <v>11</v>
      </c>
      <c r="F89" s="95" t="s">
        <v>7</v>
      </c>
      <c r="G89" s="247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5" t="s">
        <v>77</v>
      </c>
      <c r="W89" s="213"/>
      <c r="X89" s="213"/>
      <c r="Y89" s="213"/>
      <c r="Z89" s="213"/>
      <c r="AA89" s="213"/>
      <c r="AB89" s="213"/>
      <c r="AC89" s="213"/>
      <c r="AD89" s="213" t="s">
        <v>21</v>
      </c>
      <c r="AE89" s="213"/>
      <c r="AF89" s="213"/>
      <c r="AG89" s="213"/>
      <c r="AH89" s="213" t="s">
        <v>76</v>
      </c>
      <c r="AI89" s="213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5"/>
      <c r="B90" s="246"/>
      <c r="C90" s="246"/>
      <c r="D90" s="97" t="s">
        <v>1</v>
      </c>
      <c r="E90" s="164">
        <f>IF(AND(AF96,AD90),V90,NA())</f>
        <v>19.390946502057613</v>
      </c>
      <c r="F90" s="30">
        <f>IFERROR(E90/J90,NA())</f>
        <v>5.4164655033680481E-2</v>
      </c>
      <c r="G90" s="248"/>
      <c r="I90" s="4" t="s">
        <v>171</v>
      </c>
      <c r="J90" s="5">
        <v>358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19.390946502057613</v>
      </c>
      <c r="W90" s="23" t="s">
        <v>78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90.707818930041142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5"/>
      <c r="B91" s="246"/>
      <c r="C91" s="246"/>
      <c r="D91" s="97" t="s">
        <v>2</v>
      </c>
      <c r="E91" s="164">
        <f>IF(AND(AF96,AD91),V91,NA())</f>
        <v>18.205761316872429</v>
      </c>
      <c r="F91" s="30">
        <f>IFERROR(E91/J90,NA())</f>
        <v>5.0854081890705109E-2</v>
      </c>
      <c r="G91" s="248"/>
      <c r="U91" s="17"/>
      <c r="V91" s="162">
        <f>SUM(IF(V35=1,IFERROR(BP30,0),0),IF(V45=1,IFERROR(BP40,0),0),IF(V55=1,IFERROR(BP50,0),0),IF(V65=1,IFERROR(BP60,0),0),IF(V75=1,IFERROR(BP70,0),0),IF(V85=1,IFERROR(BP80,0),0))</f>
        <v>18.205761316872429</v>
      </c>
      <c r="W91" s="23" t="s">
        <v>79</v>
      </c>
      <c r="AD91" s="18" t="b">
        <v>1</v>
      </c>
      <c r="AE91" s="23" t="s">
        <v>47</v>
      </c>
      <c r="AH91" s="18">
        <f>IFERROR(AH90/AD96,NA())</f>
        <v>15.117969821673524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5"/>
      <c r="B92" s="246"/>
      <c r="C92" s="246"/>
      <c r="D92" s="97" t="s">
        <v>3</v>
      </c>
      <c r="E92" s="164">
        <f>IF(AND(AF96,AD92),V92,NA())</f>
        <v>14.090534979423868</v>
      </c>
      <c r="F92" s="30">
        <f>IFERROR(E92/J90,NA())</f>
        <v>3.935903625537393E-2</v>
      </c>
      <c r="G92" s="248"/>
      <c r="U92" s="17"/>
      <c r="V92" s="162">
        <f>SUM(IF(V35=1,IFERROR(BP31,0),0),IF(V45=1,IFERROR(BP41,0),0),IF(V55=1,IFERROR(BP51,0),0),IF(V65=1,IFERROR(BP61,0),0),IF(V75=1,IFERROR(BP71,0),0),IF(V85=1,IFERROR(BP81,0),0))</f>
        <v>14.090534979423868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5"/>
      <c r="B93" s="246"/>
      <c r="C93" s="246"/>
      <c r="D93" s="97" t="s">
        <v>4</v>
      </c>
      <c r="E93" s="164">
        <f>IF(AND(AF96,AD93),V93,NA())</f>
        <v>14.090534979423868</v>
      </c>
      <c r="F93" s="30">
        <f>IFERROR(E93/J90,NA())</f>
        <v>3.935903625537393E-2</v>
      </c>
      <c r="G93" s="248"/>
      <c r="U93" s="17"/>
      <c r="V93" s="162">
        <f>SUM(IF(V35=1,IFERROR(BP32,0),0),IF(V45=1,IFERROR(BP42,0),0),IF(V55=1,IFERROR(BP52,0),0),IF(V65=1,IFERROR(BP62,0),0),IF(V75=1,IFERROR(BP72,0),0),IF(V85=1,IFERROR(BP82,0),0))</f>
        <v>14.090534979423868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5"/>
      <c r="B94" s="246"/>
      <c r="C94" s="246"/>
      <c r="D94" s="97" t="s">
        <v>5</v>
      </c>
      <c r="E94" s="164">
        <f>IF(AND(AF96,AD94),V94,NA())</f>
        <v>14.090534979423868</v>
      </c>
      <c r="F94" s="30">
        <f>IFERROR(E94/J90,NA())</f>
        <v>3.935903625537393E-2</v>
      </c>
      <c r="G94" s="248"/>
      <c r="U94" s="17"/>
      <c r="V94" s="162">
        <f>SUM(IF(V35=1,IFERROR(BP33,0),0),IF(V45=1,IFERROR(BP43,0),0),IF(V55=1,IFERROR(BP53,0),0),IF(V65=1,IFERROR(BP63,0),0),IF(V75=1,IFERROR(BP73,0),0),IF(V85=1,IFERROR(BP83,0),0))</f>
        <v>14.090534979423868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>
        <f>IF(AND(AF96,AD95),V95,NA())</f>
        <v>10.839506172839505</v>
      </c>
      <c r="F95" s="30">
        <f>IFERROR(E95/J90,NA())</f>
        <v>3.0277950203462304E-2</v>
      </c>
      <c r="G95" s="248"/>
      <c r="U95" s="17"/>
      <c r="V95" s="162">
        <f>SUM(IF(V35=1,IFERROR(BP34,0),0),IF(V45=1,IFERROR(BP44,0),0),IF(V55=1,IFERROR(BP54,0),0),IF(V65=1,IFERROR(BP64,0),0),IF(V75=1,IFERROR(BP74,0),0),IF(V85=1,IFERROR(BP84,0),0))</f>
        <v>10.839506172839505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8"/>
      <c r="U96" s="17"/>
      <c r="V96" s="115"/>
      <c r="AD96" s="18">
        <f>COUNTIF(AD90:AD95,TRUE)</f>
        <v>6</v>
      </c>
      <c r="AE96" s="23" t="s">
        <v>66</v>
      </c>
      <c r="AF96" s="18" t="b">
        <v>1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>
        <f>IFERROR(AH91,NA())</f>
        <v>15.117969821673524</v>
      </c>
      <c r="F97" s="3">
        <f>IFERROR(E97/J90,NA())</f>
        <v>4.2228965982328281E-2</v>
      </c>
      <c r="G97" s="248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6" t="s">
        <v>86</v>
      </c>
      <c r="B99" s="257"/>
      <c r="C99" s="257"/>
      <c r="D99" s="105"/>
      <c r="E99" s="106" t="s">
        <v>11</v>
      </c>
      <c r="F99" s="105" t="s">
        <v>7</v>
      </c>
      <c r="G99" s="260"/>
      <c r="I99" s="78" t="s">
        <v>13</v>
      </c>
      <c r="J99" s="78" t="s">
        <v>8</v>
      </c>
      <c r="U99" s="17"/>
      <c r="V99" s="219" t="s">
        <v>77</v>
      </c>
      <c r="W99" s="220"/>
      <c r="X99" s="220"/>
      <c r="Y99" s="220"/>
      <c r="Z99" s="220"/>
      <c r="AA99" s="220"/>
      <c r="AB99" s="220"/>
      <c r="AC99" s="220"/>
      <c r="AD99" s="220" t="s">
        <v>21</v>
      </c>
      <c r="AE99" s="220"/>
      <c r="AF99" s="220"/>
      <c r="AG99" s="220"/>
      <c r="AH99" s="220" t="s">
        <v>76</v>
      </c>
      <c r="AI99" s="220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8"/>
      <c r="B100" s="259"/>
      <c r="C100" s="259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61"/>
      <c r="I100" s="4" t="s">
        <v>128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8"/>
      <c r="B101" s="259"/>
      <c r="C101" s="259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61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8"/>
      <c r="B102" s="259"/>
      <c r="C102" s="259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61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8"/>
      <c r="B103" s="259"/>
      <c r="C103" s="259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61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8"/>
      <c r="B104" s="259"/>
      <c r="C104" s="259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61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6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61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61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9" t="s">
        <v>87</v>
      </c>
      <c r="B109" s="250"/>
      <c r="C109" s="250"/>
      <c r="D109" s="141"/>
      <c r="E109" s="142" t="s">
        <v>11</v>
      </c>
      <c r="F109" s="141" t="s">
        <v>7</v>
      </c>
      <c r="G109" s="253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9" t="s">
        <v>77</v>
      </c>
      <c r="W109" s="220"/>
      <c r="X109" s="220"/>
      <c r="Y109" s="220"/>
      <c r="Z109" s="220"/>
      <c r="AA109" s="220"/>
      <c r="AB109" s="220"/>
      <c r="AC109" s="220"/>
      <c r="AD109" s="220" t="s">
        <v>21</v>
      </c>
      <c r="AE109" s="220"/>
      <c r="AF109" s="220"/>
      <c r="AG109" s="220"/>
      <c r="AH109" s="220" t="s">
        <v>76</v>
      </c>
      <c r="AI109" s="220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51"/>
      <c r="B110" s="252"/>
      <c r="C110" s="252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4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51"/>
      <c r="B111" s="252"/>
      <c r="C111" s="252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4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51"/>
      <c r="B112" s="252"/>
      <c r="C112" s="252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4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51"/>
      <c r="B113" s="252"/>
      <c r="C113" s="252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4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51"/>
      <c r="B114" s="252"/>
      <c r="C114" s="252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4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4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4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4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7.4897119341563789E-2</v>
      </c>
      <c r="CR141" s="138">
        <f>IFERROR(E36,"")</f>
        <v>3.7448559670781894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0.10224559264339785</v>
      </c>
      <c r="CR142" s="138">
        <f>IFERROR(E46,"")</f>
        <v>5.5212620027434838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3.0864197530864192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2.7654320987654324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2.808641975308642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1.9012345679012346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>
        <f>IFERROR(F97,"")</f>
        <v>4.2228965982328281E-2</v>
      </c>
      <c r="CR147" s="138">
        <f>IFERROR(E97,"")</f>
        <v>15.117969821673524</v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6" workbookViewId="0">
      <selection activeCell="E49" sqref="E49"/>
    </sheetView>
  </sheetViews>
  <sheetFormatPr defaultRowHeight="15"/>
  <cols>
    <col min="1" max="1" width="33" style="1" customWidth="1"/>
    <col min="2" max="2" width="21.28515625" customWidth="1"/>
    <col min="4" max="4" width="9.140625" customWidth="1"/>
  </cols>
  <sheetData>
    <row r="1" spans="1:8" s="27" customFormat="1">
      <c r="A1" s="1" t="s">
        <v>145</v>
      </c>
      <c r="B1" s="27">
        <v>0.1</v>
      </c>
      <c r="C1" s="1" t="s">
        <v>150</v>
      </c>
      <c r="D1" s="27">
        <v>0.11</v>
      </c>
      <c r="E1" s="1" t="s">
        <v>151</v>
      </c>
      <c r="F1" s="27">
        <v>0.13</v>
      </c>
    </row>
    <row r="2" spans="1:8">
      <c r="A2" s="1" t="s">
        <v>129</v>
      </c>
      <c r="B2" s="27">
        <v>0.28000000000000003</v>
      </c>
      <c r="C2" s="1" t="s">
        <v>150</v>
      </c>
      <c r="D2">
        <v>0.33</v>
      </c>
      <c r="E2" s="1" t="s">
        <v>151</v>
      </c>
      <c r="F2">
        <v>0.38</v>
      </c>
    </row>
    <row r="3" spans="1:8">
      <c r="A3" s="1" t="s">
        <v>131</v>
      </c>
      <c r="B3" s="27">
        <v>0.39</v>
      </c>
      <c r="C3" s="1" t="s">
        <v>150</v>
      </c>
      <c r="D3">
        <v>0.45</v>
      </c>
      <c r="E3" s="1" t="s">
        <v>151</v>
      </c>
      <c r="F3">
        <v>0.51</v>
      </c>
    </row>
    <row r="4" spans="1:8">
      <c r="A4" s="1" t="s">
        <v>130</v>
      </c>
      <c r="B4">
        <v>0.19</v>
      </c>
      <c r="C4" s="1" t="s">
        <v>150</v>
      </c>
      <c r="D4">
        <v>0.22</v>
      </c>
      <c r="E4" s="1" t="s">
        <v>151</v>
      </c>
      <c r="F4">
        <v>0.26</v>
      </c>
    </row>
    <row r="5" spans="1:8">
      <c r="A5" s="1" t="s">
        <v>132</v>
      </c>
      <c r="B5">
        <v>0.64</v>
      </c>
      <c r="C5" s="1" t="s">
        <v>150</v>
      </c>
      <c r="D5">
        <v>0.74</v>
      </c>
      <c r="E5" s="1" t="s">
        <v>151</v>
      </c>
      <c r="F5">
        <v>0.85</v>
      </c>
    </row>
    <row r="7" spans="1:8" s="27" customFormat="1">
      <c r="A7" s="1" t="s">
        <v>134</v>
      </c>
      <c r="B7" s="27">
        <v>1.33</v>
      </c>
      <c r="G7" s="27">
        <f>5*F3</f>
        <v>2.5499999999999998</v>
      </c>
      <c r="H7" s="27">
        <f>(5*B7)</f>
        <v>6.65</v>
      </c>
    </row>
    <row r="8" spans="1:8" s="27" customFormat="1">
      <c r="A8" s="1" t="s">
        <v>133</v>
      </c>
      <c r="B8" s="27">
        <v>1.5</v>
      </c>
      <c r="G8" s="27">
        <f>4*F5</f>
        <v>3.4</v>
      </c>
      <c r="H8" s="27">
        <f>(4*B8)</f>
        <v>6</v>
      </c>
    </row>
    <row r="9" spans="1:8" s="27" customFormat="1">
      <c r="A9" s="1"/>
    </row>
    <row r="10" spans="1:8" s="27" customFormat="1">
      <c r="A10" s="1"/>
      <c r="B10" s="27" t="s">
        <v>139</v>
      </c>
      <c r="C10" s="1" t="s">
        <v>140</v>
      </c>
      <c r="D10" s="1" t="s">
        <v>148</v>
      </c>
      <c r="E10" s="1" t="s">
        <v>149</v>
      </c>
    </row>
    <row r="11" spans="1:8" s="27" customFormat="1">
      <c r="A11" s="1" t="s">
        <v>146</v>
      </c>
      <c r="B11" s="27">
        <f>B5+(B3*4)</f>
        <v>2.2000000000000002</v>
      </c>
      <c r="C11" s="1">
        <f>B1+(9*B2)</f>
        <v>2.6200000000000006</v>
      </c>
      <c r="D11" s="27">
        <f>B11+C11</f>
        <v>4.82</v>
      </c>
      <c r="E11" s="27">
        <v>0</v>
      </c>
    </row>
    <row r="12" spans="1:8" s="27" customFormat="1">
      <c r="A12" s="1" t="s">
        <v>147</v>
      </c>
      <c r="B12" s="27">
        <f>B5+(B4*2)</f>
        <v>1.02</v>
      </c>
      <c r="C12" s="1">
        <f>B1+(9*B2)</f>
        <v>2.6200000000000006</v>
      </c>
      <c r="D12" s="27">
        <f>B12+C12</f>
        <v>3.6400000000000006</v>
      </c>
      <c r="E12" s="27">
        <v>0</v>
      </c>
    </row>
    <row r="13" spans="1:8" s="27" customFormat="1">
      <c r="A13" s="1"/>
      <c r="C13" s="1"/>
    </row>
    <row r="14" spans="1:8" s="27" customFormat="1">
      <c r="A14" s="1" t="s">
        <v>141</v>
      </c>
      <c r="B14" s="27">
        <f>B5+(B3*4)</f>
        <v>2.2000000000000002</v>
      </c>
      <c r="C14" s="27">
        <f>(2*B1)+(13*B2)</f>
        <v>3.8400000000000007</v>
      </c>
      <c r="D14" s="27">
        <f>B14+C14</f>
        <v>6.0400000000000009</v>
      </c>
      <c r="E14" s="27">
        <f>D14-D11</f>
        <v>1.2200000000000006</v>
      </c>
    </row>
    <row r="15" spans="1:8" s="27" customFormat="1">
      <c r="A15" s="1" t="s">
        <v>135</v>
      </c>
      <c r="B15" s="27">
        <f>B5+(B4*2)</f>
        <v>1.02</v>
      </c>
      <c r="C15" s="27">
        <f>(2*B1)+(13*B2)</f>
        <v>3.8400000000000007</v>
      </c>
      <c r="D15" s="27">
        <f>B15+C15</f>
        <v>4.8600000000000012</v>
      </c>
      <c r="E15" s="27">
        <f>D15-D12</f>
        <v>1.2200000000000006</v>
      </c>
    </row>
    <row r="16" spans="1:8" s="27" customFormat="1">
      <c r="A16" s="1"/>
    </row>
    <row r="17" spans="1:13">
      <c r="A17" s="1" t="s">
        <v>142</v>
      </c>
      <c r="B17">
        <f>D5+(4*D3)</f>
        <v>2.54</v>
      </c>
      <c r="C17">
        <f>D1+(9*D2)</f>
        <v>3.08</v>
      </c>
      <c r="D17" s="27">
        <f>B17+C17</f>
        <v>5.62</v>
      </c>
      <c r="E17">
        <f>D17-D11</f>
        <v>0.79999999999999982</v>
      </c>
    </row>
    <row r="18" spans="1:13" s="27" customFormat="1">
      <c r="A18" s="1" t="s">
        <v>136</v>
      </c>
      <c r="B18" s="27">
        <f>D5+(4*D4)</f>
        <v>1.62</v>
      </c>
      <c r="C18" s="27">
        <f>D1+(9*D2)</f>
        <v>3.08</v>
      </c>
      <c r="D18" s="27">
        <f>B18+C18</f>
        <v>4.7</v>
      </c>
      <c r="E18" s="27">
        <f>D18-D12</f>
        <v>1.0599999999999996</v>
      </c>
    </row>
    <row r="19" spans="1:13" s="27" customFormat="1">
      <c r="A19" s="1"/>
    </row>
    <row r="20" spans="1:13">
      <c r="A20" s="1" t="s">
        <v>143</v>
      </c>
      <c r="B20" s="210">
        <f>F5+(F3*4)</f>
        <v>2.89</v>
      </c>
      <c r="C20">
        <f>F1+(9*F2)</f>
        <v>3.55</v>
      </c>
      <c r="D20" s="27">
        <f>B20+C20</f>
        <v>6.4399999999999995</v>
      </c>
      <c r="E20">
        <f>D20-D11</f>
        <v>1.6199999999999992</v>
      </c>
    </row>
    <row r="21" spans="1:13" s="27" customFormat="1">
      <c r="A21" s="1" t="s">
        <v>137</v>
      </c>
      <c r="B21" s="27">
        <f>F5+(F4*2)</f>
        <v>1.37</v>
      </c>
      <c r="C21" s="27">
        <f>F1+(9*F2)</f>
        <v>3.55</v>
      </c>
      <c r="D21" s="27">
        <f>B21+C21</f>
        <v>4.92</v>
      </c>
      <c r="E21" s="27">
        <f>D21-D12</f>
        <v>1.2799999999999994</v>
      </c>
    </row>
    <row r="22" spans="1:13" s="27" customFormat="1">
      <c r="A22" s="1"/>
    </row>
    <row r="23" spans="1:13" s="27" customFormat="1">
      <c r="A23" s="1" t="s">
        <v>144</v>
      </c>
      <c r="B23" s="27">
        <f>B5+(B3*4)</f>
        <v>2.2000000000000002</v>
      </c>
      <c r="C23" s="27">
        <f>F1+(9*F2)</f>
        <v>3.55</v>
      </c>
      <c r="D23" s="27">
        <f>B23+C23</f>
        <v>5.75</v>
      </c>
      <c r="E23" s="27">
        <f>D23-D11</f>
        <v>0.92999999999999972</v>
      </c>
    </row>
    <row r="24" spans="1:13">
      <c r="A24" s="1" t="s">
        <v>138</v>
      </c>
      <c r="B24">
        <f>B5+(B4*2)</f>
        <v>1.02</v>
      </c>
      <c r="C24">
        <f>F1+(9*F2)</f>
        <v>3.55</v>
      </c>
      <c r="D24" s="27">
        <f>B24+C24</f>
        <v>4.57</v>
      </c>
      <c r="E24">
        <f>D24-D12</f>
        <v>0.92999999999999972</v>
      </c>
    </row>
    <row r="30" spans="1:13" s="1" customFormat="1">
      <c r="B30" s="1" t="s">
        <v>152</v>
      </c>
      <c r="C30" s="1" t="s">
        <v>155</v>
      </c>
      <c r="D30" s="1" t="s">
        <v>157</v>
      </c>
      <c r="E30" s="1" t="s">
        <v>156</v>
      </c>
      <c r="F30" s="1" t="s">
        <v>158</v>
      </c>
      <c r="G30" s="1" t="s">
        <v>160</v>
      </c>
      <c r="H30" s="1" t="s">
        <v>165</v>
      </c>
      <c r="I30" s="212" t="s">
        <v>166</v>
      </c>
      <c r="M30" s="211" t="s">
        <v>159</v>
      </c>
    </row>
    <row r="31" spans="1:13">
      <c r="A31" s="1" t="s">
        <v>153</v>
      </c>
      <c r="B31">
        <v>0.9</v>
      </c>
      <c r="C31">
        <v>0.2</v>
      </c>
      <c r="D31">
        <v>0.4</v>
      </c>
      <c r="E31">
        <v>0.3</v>
      </c>
      <c r="F31">
        <v>0.4</v>
      </c>
      <c r="G31">
        <v>0.9</v>
      </c>
      <c r="H31">
        <v>0.2</v>
      </c>
      <c r="I31" s="210">
        <v>1.2</v>
      </c>
      <c r="M31">
        <f>SUM(B31:I31)</f>
        <v>4.5</v>
      </c>
    </row>
    <row r="32" spans="1:13">
      <c r="B32" s="1" t="s">
        <v>163</v>
      </c>
      <c r="C32" s="1" t="s">
        <v>164</v>
      </c>
      <c r="D32" s="1" t="s">
        <v>127</v>
      </c>
      <c r="E32" s="1" t="s">
        <v>161</v>
      </c>
      <c r="F32" s="1"/>
      <c r="I32" s="211"/>
      <c r="M32" s="211" t="s">
        <v>159</v>
      </c>
    </row>
    <row r="33" spans="1:13">
      <c r="A33" s="1" t="s">
        <v>162</v>
      </c>
      <c r="B33">
        <v>3.7</v>
      </c>
      <c r="C33">
        <v>0.9</v>
      </c>
      <c r="D33">
        <v>1</v>
      </c>
      <c r="E33">
        <v>0.4</v>
      </c>
      <c r="M33">
        <f>SUM(B33:E33)</f>
        <v>6.0000000000000009</v>
      </c>
    </row>
    <row r="39" spans="1:13">
      <c r="B39" s="27"/>
      <c r="D39" s="27"/>
    </row>
    <row r="40" spans="1:13">
      <c r="B40" s="27"/>
      <c r="D40" s="27"/>
    </row>
    <row r="41" spans="1:13">
      <c r="B41" s="27"/>
      <c r="D41" s="27"/>
    </row>
    <row r="47" spans="1:13">
      <c r="B47" t="s">
        <v>168</v>
      </c>
      <c r="D47">
        <v>8.5</v>
      </c>
      <c r="E47">
        <v>0.02</v>
      </c>
    </row>
    <row r="48" spans="1:13">
      <c r="B48" t="s">
        <v>169</v>
      </c>
      <c r="D48">
        <v>5.0999999999999996</v>
      </c>
      <c r="E48">
        <v>0.03</v>
      </c>
    </row>
    <row r="49" spans="2:5">
      <c r="B49" t="s">
        <v>170</v>
      </c>
      <c r="D49">
        <v>5.8</v>
      </c>
      <c r="E49">
        <v>0.03</v>
      </c>
    </row>
    <row r="51" spans="2:5">
      <c r="B51" t="s">
        <v>173</v>
      </c>
      <c r="D51">
        <v>3.8</v>
      </c>
    </row>
    <row r="52" spans="2:5">
      <c r="B52" t="s">
        <v>174</v>
      </c>
      <c r="D52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opLeftCell="A27" zoomScale="55" zoomScaleNormal="55" workbookViewId="0">
      <selection activeCell="M92" sqref="M92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28" width="8.7109375" style="18" customWidth="1"/>
    <col min="29" max="29" width="21" style="18" customWidth="1"/>
    <col min="30" max="31" width="8.7109375" style="18" customWidth="1"/>
    <col min="32" max="32" width="7.85546875" style="18" customWidth="1"/>
    <col min="33" max="33" width="16.5703125" style="18" customWidth="1"/>
    <col min="34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13"/>
      <c r="W17" s="213"/>
      <c r="X17" s="213"/>
      <c r="Y17" s="213"/>
      <c r="Z17" s="213"/>
      <c r="AA17" s="213"/>
      <c r="AB17" s="213"/>
      <c r="AC17" s="213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13"/>
      <c r="W25" s="213"/>
      <c r="X25" s="213"/>
      <c r="Y25" s="213"/>
      <c r="Z25" s="213"/>
      <c r="AA25" s="213"/>
      <c r="AB25" s="213"/>
      <c r="AC25" s="213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4" t="str">
        <f>IF(I30="","",I30)</f>
        <v>Falchions</v>
      </c>
      <c r="C28" s="214"/>
      <c r="D28" s="6"/>
      <c r="E28" s="15" t="s">
        <v>11</v>
      </c>
      <c r="F28" s="6" t="s">
        <v>7</v>
      </c>
      <c r="G28" s="216"/>
      <c r="H28" s="82"/>
      <c r="I28" s="218" t="str">
        <f>IF(I30="","",I30)</f>
        <v>Falchions</v>
      </c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83"/>
      <c r="V28" s="219" t="s">
        <v>15</v>
      </c>
      <c r="W28" s="220"/>
      <c r="X28" s="220"/>
      <c r="Y28" s="220"/>
      <c r="Z28" s="220"/>
      <c r="AA28" s="220"/>
      <c r="AB28" s="220"/>
      <c r="AC28" s="220"/>
      <c r="AD28" s="220" t="s">
        <v>21</v>
      </c>
      <c r="AE28" s="220"/>
      <c r="AF28" s="220"/>
      <c r="AG28" s="220"/>
      <c r="AH28" s="189"/>
      <c r="AI28" s="189"/>
      <c r="AJ28" s="220" t="s">
        <v>73</v>
      </c>
      <c r="AK28" s="220"/>
      <c r="AL28" s="220"/>
      <c r="AM28" s="220"/>
      <c r="AN28" s="220"/>
      <c r="AO28" s="220" t="s">
        <v>74</v>
      </c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189"/>
      <c r="BG28" s="189"/>
      <c r="BH28" s="220" t="s">
        <v>75</v>
      </c>
      <c r="BI28" s="220"/>
      <c r="BJ28" s="220"/>
      <c r="BK28" s="220"/>
      <c r="BL28" s="220"/>
      <c r="BM28" s="220"/>
      <c r="BN28" s="220"/>
      <c r="BO28" s="220"/>
      <c r="BP28" s="220"/>
      <c r="BQ28" s="220"/>
      <c r="BR28" s="220" t="s">
        <v>76</v>
      </c>
      <c r="BS28" s="226"/>
      <c r="CR28" s="93"/>
    </row>
    <row r="29" spans="1:165" ht="15" customHeight="1">
      <c r="A29" s="121"/>
      <c r="B29" s="215"/>
      <c r="C29" s="215"/>
      <c r="D29" s="54" t="s">
        <v>1</v>
      </c>
      <c r="E29" s="164">
        <f>IF(AND(AD29,AF36),BL29+BN29,NA())</f>
        <v>1</v>
      </c>
      <c r="F29" s="30">
        <f>IFERROR(E29/P30,NA())</f>
        <v>0.1</v>
      </c>
      <c r="G29" s="217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0.16666666666666666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0.5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0.5</v>
      </c>
      <c r="AO29" s="20" t="s">
        <v>90</v>
      </c>
      <c r="AP29" s="20">
        <f>IF((AN29+X30)&gt;5/6,5/6,AN29+X30)</f>
        <v>0.5</v>
      </c>
      <c r="AQ29" s="20" t="s">
        <v>96</v>
      </c>
      <c r="AR29" s="21">
        <f>IF(AND(AF32,X30&gt;=0),AL35*AN29,AL35*AP29)</f>
        <v>1.5</v>
      </c>
      <c r="AS29" s="225" t="s">
        <v>121</v>
      </c>
      <c r="AT29" s="199">
        <f>IF(AND(AN29&lt;AP36,AF32),AB29*AL35,AP36*AL35)</f>
        <v>0.5</v>
      </c>
      <c r="AU29" s="225" t="s">
        <v>109</v>
      </c>
      <c r="AV29" s="20">
        <f>IF(AF32,AL35-(AL35*AN29),IF(AF31,(1/6)*AL35,0))</f>
        <v>0</v>
      </c>
      <c r="AW29" s="225" t="s">
        <v>60</v>
      </c>
      <c r="AX29" s="20">
        <f>AV29*AP29</f>
        <v>0</v>
      </c>
      <c r="AY29" s="225" t="s">
        <v>122</v>
      </c>
      <c r="AZ29" s="20">
        <f>AV29*AP36</f>
        <v>0</v>
      </c>
      <c r="BA29" s="225" t="s">
        <v>110</v>
      </c>
      <c r="BB29" s="199">
        <f>AT29+AZ29</f>
        <v>0.5</v>
      </c>
      <c r="BC29" s="225" t="s">
        <v>117</v>
      </c>
      <c r="BD29" s="20">
        <f>SUM(AR29,AX29)</f>
        <v>1.5</v>
      </c>
      <c r="BE29" s="225" t="s">
        <v>63</v>
      </c>
      <c r="BF29" s="192">
        <f>IF((1-(V29+V33))&gt;1,1,1-(V29+V33))</f>
        <v>0.5</v>
      </c>
      <c r="BG29" s="192" t="s">
        <v>105</v>
      </c>
      <c r="BH29" s="20">
        <f>IF(AB32&lt;0,BB29*BF30,BB29*BF29)</f>
        <v>0.5</v>
      </c>
      <c r="BI29" s="225" t="s">
        <v>102</v>
      </c>
      <c r="BJ29" s="192">
        <f>BH29+((BD29-BB29)*BF29)</f>
        <v>1</v>
      </c>
      <c r="BK29" s="225" t="s">
        <v>103</v>
      </c>
      <c r="BL29" s="18">
        <f>IF(AB31&gt;0,(BH29*AB31)+((BJ29-BH29)*V34),BJ29*V34)</f>
        <v>1</v>
      </c>
      <c r="BM29" s="225" t="s">
        <v>65</v>
      </c>
      <c r="BN29" s="18">
        <f>(AL34*Z32)+(AB30*BB29)</f>
        <v>0</v>
      </c>
      <c r="BO29" s="225" t="s">
        <v>64</v>
      </c>
      <c r="BP29" s="192">
        <f>IF(AD29,BL29+BN29,NA())</f>
        <v>1</v>
      </c>
      <c r="BQ29" s="123" t="s">
        <v>46</v>
      </c>
      <c r="BR29" s="18">
        <f>IFERROR(IF(AD29,BP29,0)+IF(AD30,BP30,0)+IF(AD31,BP31,0)+IF(AD32,BP32,0)+IF(AD33,BP33,0)+IF(AD34,BP34,0),NA())</f>
        <v>6</v>
      </c>
      <c r="BS29" s="160" t="s">
        <v>67</v>
      </c>
      <c r="CS29" s="93"/>
    </row>
    <row r="30" spans="1:165" ht="15" customHeight="1">
      <c r="A30" s="121"/>
      <c r="B30" s="215"/>
      <c r="C30" s="215"/>
      <c r="D30" s="54" t="s">
        <v>2</v>
      </c>
      <c r="E30" s="164">
        <f>IF(AND(AD30,AF36),BL30+BN30,NA())</f>
        <v>1</v>
      </c>
      <c r="F30" s="30">
        <f>IFERROR(E30/P30,NA())</f>
        <v>0.1</v>
      </c>
      <c r="G30" s="217"/>
      <c r="H30" s="84"/>
      <c r="I30" s="5" t="s">
        <v>123</v>
      </c>
      <c r="J30" s="5" t="s">
        <v>18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10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1.5</v>
      </c>
      <c r="AS30" s="225"/>
      <c r="AT30" s="199">
        <f>IF(AND(AN30&lt;AP36,AF32),AB29*AL35,AP36*AL35)</f>
        <v>0.5</v>
      </c>
      <c r="AU30" s="225"/>
      <c r="AV30" s="20">
        <f>IF(AF32,AL35-(AL35*AN30),IF(AF31,(1/6)*AL35,0))</f>
        <v>0</v>
      </c>
      <c r="AW30" s="225"/>
      <c r="AX30" s="20">
        <f t="shared" ref="AX30:AX34" si="0">AV30*AP30</f>
        <v>0</v>
      </c>
      <c r="AY30" s="225"/>
      <c r="AZ30" s="20">
        <f>AV30*AP36</f>
        <v>0</v>
      </c>
      <c r="BA30" s="225"/>
      <c r="BB30" s="199">
        <f t="shared" ref="BB30:BB34" si="1">AT30+AZ30</f>
        <v>0.5</v>
      </c>
      <c r="BC30" s="225"/>
      <c r="BD30" s="20">
        <f t="shared" ref="BD30:BD34" si="2">SUM(AR30,AX30)</f>
        <v>1.5</v>
      </c>
      <c r="BE30" s="225"/>
      <c r="BF30" s="192">
        <f>IF((1-(V29+AB32))&gt;1,1,1-(V29+AB32))</f>
        <v>1</v>
      </c>
      <c r="BG30" s="192" t="s">
        <v>104</v>
      </c>
      <c r="BH30" s="20">
        <f>IF(AB32&lt;0,BB30*BF30,BB30*BF29)</f>
        <v>0.5</v>
      </c>
      <c r="BI30" s="225"/>
      <c r="BJ30" s="192">
        <f>BH30+((BD30-BB30)*BF29)</f>
        <v>1</v>
      </c>
      <c r="BK30" s="225"/>
      <c r="BL30" s="18">
        <f>IF(AB31&gt;0,(BH30*AB31)+((BJ30-BH30)*V34),BJ30*V34)</f>
        <v>1</v>
      </c>
      <c r="BM30" s="225"/>
      <c r="BN30" s="18">
        <f>(AL34*Z32)+(AB30*BB30)</f>
        <v>0</v>
      </c>
      <c r="BO30" s="225"/>
      <c r="BP30" s="192">
        <f t="shared" ref="BP30:BP33" si="3">IF(AD30,BL30+BN30,NA())</f>
        <v>1</v>
      </c>
      <c r="BQ30" s="123" t="s">
        <v>47</v>
      </c>
      <c r="BR30" s="18">
        <f>IFERROR(BR29/AD35,NA())</f>
        <v>1</v>
      </c>
      <c r="BS30" s="160" t="s">
        <v>11</v>
      </c>
      <c r="CS30" s="93"/>
    </row>
    <row r="31" spans="1:165" ht="15" customHeight="1">
      <c r="A31" s="121"/>
      <c r="B31" s="215"/>
      <c r="C31" s="215"/>
      <c r="D31" s="54" t="s">
        <v>3</v>
      </c>
      <c r="E31" s="164">
        <f>IF(AND(AD31,AF36),BL31+BN31,NA())</f>
        <v>1</v>
      </c>
      <c r="F31" s="30">
        <f>IFERROR(E31/P30,NA())</f>
        <v>0.1</v>
      </c>
      <c r="G31" s="217"/>
      <c r="H31" s="84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0.5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1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1.5</v>
      </c>
      <c r="AS31" s="225"/>
      <c r="AT31" s="199">
        <f>IF(AND(AN31&lt;AP36,AF32),AB29*AL35,AP36*AL35)</f>
        <v>0.5</v>
      </c>
      <c r="AU31" s="225"/>
      <c r="AV31" s="20">
        <f>IF(AF32,AL35-(AL35*AN31),IF(AF31,(1/6)*AL35,0))</f>
        <v>0</v>
      </c>
      <c r="AW31" s="225"/>
      <c r="AX31" s="20">
        <f t="shared" si="0"/>
        <v>0</v>
      </c>
      <c r="AY31" s="225"/>
      <c r="AZ31" s="20">
        <f>AV31*AP36</f>
        <v>0</v>
      </c>
      <c r="BA31" s="225"/>
      <c r="BB31" s="199">
        <f t="shared" si="1"/>
        <v>0.5</v>
      </c>
      <c r="BC31" s="225"/>
      <c r="BD31" s="20">
        <f t="shared" si="2"/>
        <v>1.5</v>
      </c>
      <c r="BE31" s="225"/>
      <c r="BF31" s="192"/>
      <c r="BG31" s="192"/>
      <c r="BH31" s="20">
        <f>IF(AB32&lt;0,BB31*BF30,BB31*BF29)</f>
        <v>0.5</v>
      </c>
      <c r="BI31" s="225"/>
      <c r="BJ31" s="192">
        <f>BH31+((BD31-BB31)*BF29)</f>
        <v>1</v>
      </c>
      <c r="BK31" s="225"/>
      <c r="BL31" s="18">
        <f>IF(AB31&gt;0,(BH31*AB31)+((BJ31-BH31)*V34),BJ31*V34)</f>
        <v>1</v>
      </c>
      <c r="BM31" s="225"/>
      <c r="BN31" s="18">
        <f>(AL34*Z32)+(AB30*BB31)</f>
        <v>0</v>
      </c>
      <c r="BO31" s="225"/>
      <c r="BP31" s="192">
        <f t="shared" si="3"/>
        <v>1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1</v>
      </c>
      <c r="F32" s="30">
        <f>IFERROR(E32/P30,NA())</f>
        <v>0.1</v>
      </c>
      <c r="G32" s="217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0</v>
      </c>
      <c r="N32" s="222" t="s">
        <v>24</v>
      </c>
      <c r="O32" s="222"/>
      <c r="P32" s="5" t="s">
        <v>19</v>
      </c>
      <c r="Q32" s="222" t="s">
        <v>25</v>
      </c>
      <c r="R32" s="222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-0.5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0.5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1.5</v>
      </c>
      <c r="AS32" s="225"/>
      <c r="AT32" s="199">
        <f>IF(AND(AN32&lt;AP36,AF32),AB29*AL35,AP36*AL35)</f>
        <v>0.5</v>
      </c>
      <c r="AU32" s="225"/>
      <c r="AV32" s="20">
        <f>IF(AF32,AL35-(AL35*AN32),IF(AF31,(1/6)*AL35,0))</f>
        <v>0</v>
      </c>
      <c r="AW32" s="225"/>
      <c r="AX32" s="20">
        <f t="shared" si="0"/>
        <v>0</v>
      </c>
      <c r="AY32" s="225"/>
      <c r="AZ32" s="20">
        <f>AV32*AP36</f>
        <v>0</v>
      </c>
      <c r="BA32" s="225"/>
      <c r="BB32" s="199">
        <f t="shared" si="1"/>
        <v>0.5</v>
      </c>
      <c r="BC32" s="225"/>
      <c r="BD32" s="20">
        <f t="shared" si="2"/>
        <v>1.5</v>
      </c>
      <c r="BE32" s="225"/>
      <c r="BF32" s="192"/>
      <c r="BG32" s="192"/>
      <c r="BH32" s="20">
        <f>IF(AB32&lt;0,BB32*BF30,BB32*BF29)</f>
        <v>0.5</v>
      </c>
      <c r="BI32" s="225"/>
      <c r="BJ32" s="192">
        <f>BH32+((BD32-BB32)*BF29)</f>
        <v>1</v>
      </c>
      <c r="BK32" s="225"/>
      <c r="BL32" s="18">
        <f>IF(AB31&gt;0,(BH32*AB31)+((BJ32-BH32)*V34),BJ32*V34)</f>
        <v>1</v>
      </c>
      <c r="BM32" s="225"/>
      <c r="BN32" s="18">
        <f>(AL34*Z32)+(AB30*BB32)</f>
        <v>0</v>
      </c>
      <c r="BO32" s="225"/>
      <c r="BP32" s="192">
        <f t="shared" si="3"/>
        <v>1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1</v>
      </c>
      <c r="F33" s="30">
        <f>IFERROR(E33/P30,NA())</f>
        <v>0.1</v>
      </c>
      <c r="G33" s="217"/>
      <c r="H33" s="87"/>
      <c r="I33" s="80"/>
      <c r="J33" s="191" t="s">
        <v>16</v>
      </c>
      <c r="K33" s="222" t="s">
        <v>17</v>
      </c>
      <c r="L33" s="222"/>
      <c r="M33" s="222"/>
      <c r="N33" s="222" t="s">
        <v>28</v>
      </c>
      <c r="O33" s="222"/>
      <c r="P33" s="5">
        <v>1</v>
      </c>
      <c r="Q33" s="222" t="s">
        <v>27</v>
      </c>
      <c r="R33" s="222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1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0.5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1.5</v>
      </c>
      <c r="AS33" s="225"/>
      <c r="AT33" s="199">
        <f>IF(AND(AN33&lt;AP36,AF32),AB29*AL35,AP36*AL35)</f>
        <v>0.5</v>
      </c>
      <c r="AU33" s="225"/>
      <c r="AV33" s="20">
        <f>IF(AF32,AL35-(AL35*AN33),IF(AF31,(1/6)*AL35,0))</f>
        <v>0</v>
      </c>
      <c r="AW33" s="225"/>
      <c r="AX33" s="20">
        <f t="shared" si="0"/>
        <v>0</v>
      </c>
      <c r="AY33" s="225"/>
      <c r="AZ33" s="20">
        <f>AV33*AP36</f>
        <v>0</v>
      </c>
      <c r="BA33" s="225"/>
      <c r="BB33" s="199">
        <f t="shared" si="1"/>
        <v>0.5</v>
      </c>
      <c r="BC33" s="225"/>
      <c r="BD33" s="20">
        <f t="shared" si="2"/>
        <v>1.5</v>
      </c>
      <c r="BE33" s="225"/>
      <c r="BF33" s="192"/>
      <c r="BG33" s="192"/>
      <c r="BH33" s="20">
        <f>IF(AB32&lt;0,BB33*BF30,BB33*BF29)</f>
        <v>0.5</v>
      </c>
      <c r="BI33" s="225"/>
      <c r="BJ33" s="192">
        <f>BH33+((BD33-BB33)*BF29)</f>
        <v>1</v>
      </c>
      <c r="BK33" s="225"/>
      <c r="BL33" s="18">
        <f>IF(AB31&gt;0,(BH33*AB31)+((BJ33-BH33)*V34),BJ33*V34)</f>
        <v>1</v>
      </c>
      <c r="BM33" s="225"/>
      <c r="BN33" s="18">
        <f>(AL34*Z32)+(AB30*BB33)</f>
        <v>0</v>
      </c>
      <c r="BO33" s="225"/>
      <c r="BP33" s="192">
        <f t="shared" si="3"/>
        <v>1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</v>
      </c>
      <c r="F34" s="30">
        <f>IFERROR(E34/P30,NA())</f>
        <v>0.1</v>
      </c>
      <c r="G34" s="217"/>
      <c r="H34" s="84"/>
      <c r="I34" s="223" t="s">
        <v>30</v>
      </c>
      <c r="J34" s="223"/>
      <c r="K34" s="223" t="s">
        <v>31</v>
      </c>
      <c r="L34" s="223"/>
      <c r="M34" s="223"/>
      <c r="N34" s="222" t="s">
        <v>29</v>
      </c>
      <c r="O34" s="222"/>
      <c r="P34" s="5">
        <v>0</v>
      </c>
      <c r="Q34" s="222" t="s">
        <v>45</v>
      </c>
      <c r="R34" s="222"/>
      <c r="S34" s="5">
        <v>1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0.5</v>
      </c>
      <c r="AO34" s="20" t="s">
        <v>95</v>
      </c>
      <c r="AP34" s="20">
        <f>IF((AN34+X30)&gt;5/6,5/6,AN34+X30)</f>
        <v>0.5</v>
      </c>
      <c r="AQ34" s="20" t="s">
        <v>101</v>
      </c>
      <c r="AR34" s="20">
        <f>IF(AND(AF32,X30&gt;=0),AL35*AN34,AL35*AP34)</f>
        <v>1.5</v>
      </c>
      <c r="AS34" s="225"/>
      <c r="AT34" s="199">
        <f>IF(AND(AN34&lt;AP36,AF32),AB29*AL35,AP36*AL35)</f>
        <v>0.5</v>
      </c>
      <c r="AU34" s="225"/>
      <c r="AV34" s="20">
        <f>IF(AF32,AL35-(AL35*AN34),IF(AF31,(1/6)*AL35,0))</f>
        <v>0</v>
      </c>
      <c r="AW34" s="225"/>
      <c r="AX34" s="20">
        <f t="shared" si="0"/>
        <v>0</v>
      </c>
      <c r="AY34" s="225"/>
      <c r="AZ34" s="20">
        <f>AV34*AP36</f>
        <v>0</v>
      </c>
      <c r="BA34" s="225"/>
      <c r="BB34" s="199">
        <f t="shared" si="1"/>
        <v>0.5</v>
      </c>
      <c r="BC34" s="225"/>
      <c r="BD34" s="20">
        <f t="shared" si="2"/>
        <v>1.5</v>
      </c>
      <c r="BE34" s="225"/>
      <c r="BF34" s="192"/>
      <c r="BG34" s="192"/>
      <c r="BH34" s="20">
        <f>IF(AB32&lt;0,BB34*BF30,BB34*BF29)</f>
        <v>0.5</v>
      </c>
      <c r="BI34" s="225"/>
      <c r="BJ34" s="192">
        <f>BH34+((BD34-BB34)*BF29)</f>
        <v>1</v>
      </c>
      <c r="BK34" s="225"/>
      <c r="BL34" s="18">
        <f>IF(AB31&gt;0,(BH34*AB31)+((BJ34-BH34)*V34),BJ34*V34)</f>
        <v>1</v>
      </c>
      <c r="BM34" s="225"/>
      <c r="BN34" s="18">
        <f>(AL34*Z32)+(AB30*BB34)</f>
        <v>0</v>
      </c>
      <c r="BO34" s="225"/>
      <c r="BP34" s="192">
        <f>IF(AD34,BL34+BN34,NA())</f>
        <v>1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7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22" t="s">
        <v>26</v>
      </c>
      <c r="O35" s="222"/>
      <c r="P35" s="5">
        <v>0</v>
      </c>
      <c r="Q35" s="224" t="s">
        <v>58</v>
      </c>
      <c r="R35" s="224"/>
      <c r="S35" s="5">
        <v>-3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1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1</v>
      </c>
      <c r="F36" s="3">
        <f>IFERROR(E36/P30,NA())</f>
        <v>0.1</v>
      </c>
      <c r="G36" s="217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0.16666666666666666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7" t="str">
        <f>IF(I40="","",I40)</f>
        <v>Crowe v. T3</v>
      </c>
      <c r="C38" s="227"/>
      <c r="D38" s="8"/>
      <c r="E38" s="167" t="s">
        <v>11</v>
      </c>
      <c r="F38" s="8" t="s">
        <v>7</v>
      </c>
      <c r="G38" s="229"/>
      <c r="H38" s="82"/>
      <c r="I38" s="218" t="str">
        <f>IF(I40="","",I40)</f>
        <v>Crowe v. T3</v>
      </c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83"/>
      <c r="V38" s="219" t="s">
        <v>15</v>
      </c>
      <c r="W38" s="220"/>
      <c r="X38" s="220"/>
      <c r="Y38" s="220"/>
      <c r="Z38" s="220"/>
      <c r="AA38" s="220"/>
      <c r="AB38" s="220"/>
      <c r="AC38" s="220"/>
      <c r="AD38" s="220" t="s">
        <v>21</v>
      </c>
      <c r="AE38" s="220"/>
      <c r="AF38" s="220"/>
      <c r="AG38" s="220"/>
      <c r="AH38" s="198"/>
      <c r="AI38" s="198"/>
      <c r="AJ38" s="220" t="s">
        <v>73</v>
      </c>
      <c r="AK38" s="220"/>
      <c r="AL38" s="220"/>
      <c r="AM38" s="220"/>
      <c r="AN38" s="220"/>
      <c r="AO38" s="220" t="s">
        <v>74</v>
      </c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198"/>
      <c r="BG38" s="198"/>
      <c r="BH38" s="220" t="s">
        <v>75</v>
      </c>
      <c r="BI38" s="220"/>
      <c r="BJ38" s="220"/>
      <c r="BK38" s="220"/>
      <c r="BL38" s="220"/>
      <c r="BM38" s="220"/>
      <c r="BN38" s="220"/>
      <c r="BO38" s="220"/>
      <c r="BP38" s="220"/>
      <c r="BQ38" s="220"/>
      <c r="BR38" s="220" t="s">
        <v>76</v>
      </c>
      <c r="BS38" s="226"/>
    </row>
    <row r="39" spans="1:71" ht="15" customHeight="1">
      <c r="A39" s="126"/>
      <c r="B39" s="228"/>
      <c r="C39" s="228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30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25" t="s">
        <v>121</v>
      </c>
      <c r="AT39" s="199">
        <f>IF(AND(AN39&lt;AP46,AF42),AB39*AL45,AP46*AL45)</f>
        <v>0</v>
      </c>
      <c r="AU39" s="225" t="s">
        <v>109</v>
      </c>
      <c r="AV39" s="20">
        <f>IF(AF42,AL45-(AL45*AN39),IF(AF41,(1/6)*AL45,0))</f>
        <v>3.1081944444444449</v>
      </c>
      <c r="AW39" s="225" t="s">
        <v>60</v>
      </c>
      <c r="AX39" s="20">
        <f t="shared" ref="AX39:AX44" si="4">AV39*AP39</f>
        <v>2.5901620370370373</v>
      </c>
      <c r="AY39" s="225" t="s">
        <v>122</v>
      </c>
      <c r="AZ39" s="20">
        <f>AV39*AP46</f>
        <v>0</v>
      </c>
      <c r="BA39" s="225" t="s">
        <v>110</v>
      </c>
      <c r="BB39" s="199">
        <f t="shared" ref="BB39:BB44" si="5">AT39+AZ39</f>
        <v>0</v>
      </c>
      <c r="BC39" s="225" t="s">
        <v>117</v>
      </c>
      <c r="BD39" s="20">
        <f t="shared" ref="BD39:BD44" si="6">SUM(AR39,AX39)</f>
        <v>8.8065509259259258</v>
      </c>
      <c r="BE39" s="225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25" t="s">
        <v>102</v>
      </c>
      <c r="BJ39" s="199">
        <f>BH39+((BD39-BB39)*BF39)</f>
        <v>2.9355169753086421</v>
      </c>
      <c r="BK39" s="225" t="s">
        <v>103</v>
      </c>
      <c r="BL39" s="18">
        <f>IF(AB41&gt;0,(BH39*AB41)+((BJ39-BH39)*V44),BJ39*V44)</f>
        <v>2.9355169753086421</v>
      </c>
      <c r="BM39" s="225" t="s">
        <v>65</v>
      </c>
      <c r="BN39" s="18">
        <f>(AL44*Z42)+(AB40*BB39)</f>
        <v>0</v>
      </c>
      <c r="BO39" s="225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28"/>
      <c r="C40" s="228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30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25"/>
      <c r="AT40" s="199">
        <f>IF(AND(AN40&lt;AP46,AF42),AB39*AL45,AP46*AL45)</f>
        <v>0</v>
      </c>
      <c r="AU40" s="225"/>
      <c r="AV40" s="20">
        <f>IF(AF42,AL45-(AL45*AN40),IF(AF41,(1/6)*AL45,0))</f>
        <v>4.6622916666666665</v>
      </c>
      <c r="AW40" s="225"/>
      <c r="AX40" s="20">
        <f t="shared" si="4"/>
        <v>3.108194444444444</v>
      </c>
      <c r="AY40" s="225"/>
      <c r="AZ40" s="20">
        <f>AV40*AP46</f>
        <v>0</v>
      </c>
      <c r="BA40" s="225"/>
      <c r="BB40" s="199">
        <f t="shared" si="5"/>
        <v>0</v>
      </c>
      <c r="BC40" s="225"/>
      <c r="BD40" s="20">
        <f t="shared" si="6"/>
        <v>7.7704861111111105</v>
      </c>
      <c r="BE40" s="225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25"/>
      <c r="BJ40" s="199">
        <f>BH40+((BD40-BB40)*BF39)</f>
        <v>2.5901620370370373</v>
      </c>
      <c r="BK40" s="225"/>
      <c r="BL40" s="18">
        <f>IF(AB41&gt;0,(BH40*AB41)+((BJ40-BH40)*V44),BJ40*V44)</f>
        <v>2.5901620370370373</v>
      </c>
      <c r="BM40" s="225"/>
      <c r="BN40" s="18">
        <f>(AL44*Z42)+(AB40*BB40)</f>
        <v>0</v>
      </c>
      <c r="BO40" s="225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28"/>
      <c r="C41" s="228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30"/>
      <c r="H41" s="84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25"/>
      <c r="AT41" s="199">
        <f>IF(AND(AN41&lt;AP46,AF42),AB39*AL45,AP46*AL45)</f>
        <v>0</v>
      </c>
      <c r="AU41" s="225"/>
      <c r="AV41" s="20">
        <f>IF(AF42,AL45-(AL45*AN41),IF(AF41,(1/6)*AL45,0))</f>
        <v>6.216388888888889</v>
      </c>
      <c r="AW41" s="225"/>
      <c r="AX41" s="20">
        <f t="shared" si="4"/>
        <v>3.1081944444444445</v>
      </c>
      <c r="AY41" s="225"/>
      <c r="AZ41" s="20">
        <f>AV41*AP46</f>
        <v>0</v>
      </c>
      <c r="BA41" s="225"/>
      <c r="BB41" s="199">
        <f t="shared" si="5"/>
        <v>0</v>
      </c>
      <c r="BC41" s="225"/>
      <c r="BD41" s="20">
        <f t="shared" si="6"/>
        <v>6.2163888888888881</v>
      </c>
      <c r="BE41" s="225"/>
      <c r="BF41" s="199"/>
      <c r="BG41" s="199"/>
      <c r="BH41" s="20">
        <f>IF(AB42&lt;0,BB41*BF40,BB41*BF39)</f>
        <v>0</v>
      </c>
      <c r="BI41" s="225"/>
      <c r="BJ41" s="199">
        <f>BH41+((BD41-BB41)*BF39)</f>
        <v>2.0721296296296297</v>
      </c>
      <c r="BK41" s="225"/>
      <c r="BL41" s="18">
        <f>IF(AB41&gt;0,(BH41*AB41)+((BJ41-BH41)*V44),BJ41*V44)</f>
        <v>2.0721296296296297</v>
      </c>
      <c r="BM41" s="225"/>
      <c r="BN41" s="18">
        <f>(AL44*Z42)+(AB40*BB41)</f>
        <v>0</v>
      </c>
      <c r="BO41" s="225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30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22" t="s">
        <v>24</v>
      </c>
      <c r="O42" s="222"/>
      <c r="P42" s="5" t="s">
        <v>19</v>
      </c>
      <c r="Q42" s="222" t="s">
        <v>25</v>
      </c>
      <c r="R42" s="222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25"/>
      <c r="AT42" s="199">
        <f>IF(AND(AN42&lt;AP46,AF42),AB39*AL45,AP46*AL45)</f>
        <v>0</v>
      </c>
      <c r="AU42" s="225"/>
      <c r="AV42" s="20">
        <f>IF(AF42,AL45-(AL45*AN42),IF(AF41,(1/6)*AL45,0))</f>
        <v>6.216388888888889</v>
      </c>
      <c r="AW42" s="225"/>
      <c r="AX42" s="20">
        <f t="shared" si="4"/>
        <v>3.1081944444444445</v>
      </c>
      <c r="AY42" s="225"/>
      <c r="AZ42" s="20">
        <f>AV42*AP46</f>
        <v>0</v>
      </c>
      <c r="BA42" s="225"/>
      <c r="BB42" s="199">
        <f t="shared" si="5"/>
        <v>0</v>
      </c>
      <c r="BC42" s="225"/>
      <c r="BD42" s="20">
        <f t="shared" si="6"/>
        <v>6.2163888888888881</v>
      </c>
      <c r="BE42" s="225"/>
      <c r="BF42" s="199"/>
      <c r="BG42" s="199"/>
      <c r="BH42" s="20">
        <f>IF(AB42&lt;0,BB42*BF40,BB42*BF39)</f>
        <v>0</v>
      </c>
      <c r="BI42" s="225"/>
      <c r="BJ42" s="199">
        <f>BH42+((BD42-BB42)*BF39)</f>
        <v>2.0721296296296297</v>
      </c>
      <c r="BK42" s="225"/>
      <c r="BL42" s="18">
        <f>IF(AB41&gt;0,(BH42*AB41)+((BJ42-BH42)*V44),BJ42*V44)</f>
        <v>2.0721296296296297</v>
      </c>
      <c r="BM42" s="225"/>
      <c r="BN42" s="18">
        <f>(AL44*Z42)+(AB40*BB42)</f>
        <v>0</v>
      </c>
      <c r="BO42" s="225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30"/>
      <c r="H43" s="87"/>
      <c r="I43" s="80"/>
      <c r="J43" s="191" t="s">
        <v>16</v>
      </c>
      <c r="K43" s="222" t="s">
        <v>17</v>
      </c>
      <c r="L43" s="222"/>
      <c r="M43" s="222"/>
      <c r="N43" s="222" t="s">
        <v>28</v>
      </c>
      <c r="O43" s="222"/>
      <c r="P43" s="5">
        <v>0</v>
      </c>
      <c r="Q43" s="222" t="s">
        <v>27</v>
      </c>
      <c r="R43" s="222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25"/>
      <c r="AT43" s="199">
        <f>IF(AND(AN43&lt;AP46,AF42),AB39*AL45,AP46*AL45)</f>
        <v>0</v>
      </c>
      <c r="AU43" s="225"/>
      <c r="AV43" s="20">
        <f>IF(AF42,AL45-(AL45*AN43),IF(AF41,(1/6)*AL45,0))</f>
        <v>6.216388888888889</v>
      </c>
      <c r="AW43" s="225"/>
      <c r="AX43" s="20">
        <f t="shared" si="4"/>
        <v>3.1081944444444445</v>
      </c>
      <c r="AY43" s="225"/>
      <c r="AZ43" s="20">
        <f>AV43*AP46</f>
        <v>0</v>
      </c>
      <c r="BA43" s="225"/>
      <c r="BB43" s="199">
        <f t="shared" si="5"/>
        <v>0</v>
      </c>
      <c r="BC43" s="225"/>
      <c r="BD43" s="20">
        <f t="shared" si="6"/>
        <v>6.2163888888888881</v>
      </c>
      <c r="BE43" s="225"/>
      <c r="BF43" s="199"/>
      <c r="BG43" s="199"/>
      <c r="BH43" s="20">
        <f>IF(AB42&lt;0,BB43*BF40,BB43*BF39)</f>
        <v>0</v>
      </c>
      <c r="BI43" s="225"/>
      <c r="BJ43" s="199">
        <f>BH43+((BD43-BB43)*BF39)</f>
        <v>2.0721296296296297</v>
      </c>
      <c r="BK43" s="225"/>
      <c r="BL43" s="18">
        <f>IF(AB41&gt;0,(BH43*AB41)+((BJ43-BH43)*V44),BJ43*V44)</f>
        <v>2.0721296296296297</v>
      </c>
      <c r="BM43" s="225"/>
      <c r="BN43" s="18">
        <f>(AL44*Z42)+(AB40*BB43)</f>
        <v>0</v>
      </c>
      <c r="BO43" s="225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30"/>
      <c r="H44" s="84"/>
      <c r="I44" s="223" t="s">
        <v>30</v>
      </c>
      <c r="J44" s="223"/>
      <c r="K44" s="223" t="s">
        <v>31</v>
      </c>
      <c r="L44" s="223"/>
      <c r="M44" s="223"/>
      <c r="N44" s="222" t="s">
        <v>29</v>
      </c>
      <c r="O44" s="222"/>
      <c r="P44" s="5">
        <v>0</v>
      </c>
      <c r="Q44" s="222" t="s">
        <v>45</v>
      </c>
      <c r="R44" s="222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25"/>
      <c r="AT44" s="199">
        <f>IF(AND(AN44&lt;AP46,AF42),AB39*AL45,AP46*AL45)</f>
        <v>0</v>
      </c>
      <c r="AU44" s="225"/>
      <c r="AV44" s="20">
        <f>IF(AF42,AL45-(AL45*AN44),IF(AF41,(1/6)*AL45,0))</f>
        <v>7.7704861111111114</v>
      </c>
      <c r="AW44" s="225"/>
      <c r="AX44" s="20">
        <f t="shared" si="4"/>
        <v>2.5901620370370368</v>
      </c>
      <c r="AY44" s="225"/>
      <c r="AZ44" s="20">
        <f>AV44*AP46</f>
        <v>0</v>
      </c>
      <c r="BA44" s="225"/>
      <c r="BB44" s="199">
        <f t="shared" si="5"/>
        <v>0</v>
      </c>
      <c r="BC44" s="225"/>
      <c r="BD44" s="20">
        <f t="shared" si="6"/>
        <v>4.1442592592592593</v>
      </c>
      <c r="BE44" s="225"/>
      <c r="BF44" s="199"/>
      <c r="BG44" s="199"/>
      <c r="BH44" s="20">
        <f>IF(AB42&lt;0,BB44*BF40,BB44*BF39)</f>
        <v>0</v>
      </c>
      <c r="BI44" s="225"/>
      <c r="BJ44" s="199">
        <f>BH44+((BD44-BB44)*BF39)</f>
        <v>1.3814197530864198</v>
      </c>
      <c r="BK44" s="225"/>
      <c r="BL44" s="18">
        <f>IF(AB41&gt;0,(BH44*AB41)+((BJ44-BH44)*V44),BJ44*V44)</f>
        <v>1.3814197530864198</v>
      </c>
      <c r="BM44" s="225"/>
      <c r="BN44" s="18">
        <f>(AL44*Z42)+(AB40*BB44)</f>
        <v>0</v>
      </c>
      <c r="BO44" s="225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30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22" t="s">
        <v>26</v>
      </c>
      <c r="O45" s="222"/>
      <c r="P45" s="5">
        <v>0</v>
      </c>
      <c r="Q45" s="224" t="s">
        <v>58</v>
      </c>
      <c r="R45" s="224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30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31" t="str">
        <f>IF(I50="","",I50)</f>
        <v>Crowe v. T4</v>
      </c>
      <c r="C48" s="231"/>
      <c r="D48" s="10"/>
      <c r="E48" s="170" t="s">
        <v>11</v>
      </c>
      <c r="F48" s="10" t="s">
        <v>7</v>
      </c>
      <c r="G48" s="233"/>
      <c r="H48" s="82"/>
      <c r="I48" s="218" t="str">
        <f>IF(I50="","",I50)</f>
        <v>Crowe v. T4</v>
      </c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83"/>
      <c r="V48" s="219" t="s">
        <v>15</v>
      </c>
      <c r="W48" s="220"/>
      <c r="X48" s="220"/>
      <c r="Y48" s="220"/>
      <c r="Z48" s="220"/>
      <c r="AA48" s="220"/>
      <c r="AB48" s="220"/>
      <c r="AC48" s="220"/>
      <c r="AD48" s="220" t="s">
        <v>21</v>
      </c>
      <c r="AE48" s="220"/>
      <c r="AF48" s="220"/>
      <c r="AG48" s="220"/>
      <c r="AH48" s="198"/>
      <c r="AI48" s="198"/>
      <c r="AJ48" s="220" t="s">
        <v>73</v>
      </c>
      <c r="AK48" s="220"/>
      <c r="AL48" s="220"/>
      <c r="AM48" s="220"/>
      <c r="AN48" s="220"/>
      <c r="AO48" s="220" t="s">
        <v>74</v>
      </c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198"/>
      <c r="BG48" s="198"/>
      <c r="BH48" s="220" t="s">
        <v>75</v>
      </c>
      <c r="BI48" s="220"/>
      <c r="BJ48" s="220"/>
      <c r="BK48" s="220"/>
      <c r="BL48" s="220"/>
      <c r="BM48" s="220"/>
      <c r="BN48" s="220"/>
      <c r="BO48" s="220"/>
      <c r="BP48" s="220"/>
      <c r="BQ48" s="220"/>
      <c r="BR48" s="220" t="s">
        <v>76</v>
      </c>
      <c r="BS48" s="226"/>
    </row>
    <row r="49" spans="1:71" ht="15" customHeight="1">
      <c r="A49" s="129"/>
      <c r="B49" s="232"/>
      <c r="C49" s="23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3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25" t="s">
        <v>121</v>
      </c>
      <c r="AT49" s="199">
        <f>IF(AND(AN49&lt;AP56,AF52),AB49*AL55,AP56*AL55)</f>
        <v>0</v>
      </c>
      <c r="AU49" s="225" t="s">
        <v>109</v>
      </c>
      <c r="AV49" s="20">
        <f>IF(AF52,AL55-(AL55*AN49),IF(AF51,(1/6)*AL55,0))</f>
        <v>2.9328703703703711</v>
      </c>
      <c r="AW49" s="225" t="s">
        <v>60</v>
      </c>
      <c r="AX49" s="20">
        <f t="shared" ref="AX49:AX54" si="8">AV49*AP49</f>
        <v>2.444058641975309</v>
      </c>
      <c r="AY49" s="225" t="s">
        <v>122</v>
      </c>
      <c r="AZ49" s="20">
        <f>AV49*AP56</f>
        <v>0</v>
      </c>
      <c r="BA49" s="225" t="s">
        <v>110</v>
      </c>
      <c r="BB49" s="199">
        <f t="shared" ref="BB49:BB54" si="9">AT49+AZ49</f>
        <v>0</v>
      </c>
      <c r="BC49" s="225" t="s">
        <v>117</v>
      </c>
      <c r="BD49" s="20">
        <f t="shared" ref="BD49:BD54" si="10">SUM(AR49,AX49)</f>
        <v>8.3097993827160508</v>
      </c>
      <c r="BE49" s="225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25" t="s">
        <v>102</v>
      </c>
      <c r="BJ49" s="199">
        <f>BH49+((BD49-BB49)*BF49)</f>
        <v>2.7699331275720174</v>
      </c>
      <c r="BK49" s="225" t="s">
        <v>103</v>
      </c>
      <c r="BL49" s="18">
        <f>IF(AB51&gt;0,(BH49*AB51)+((BJ49-BH49)*V54),BJ49*V54)</f>
        <v>2.7699331275720174</v>
      </c>
      <c r="BM49" s="225" t="s">
        <v>65</v>
      </c>
      <c r="BN49" s="18">
        <f>(AL54*Z52)+(AB50*BB49)</f>
        <v>0</v>
      </c>
      <c r="BO49" s="225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32"/>
      <c r="C50" s="23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3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25"/>
      <c r="AT50" s="199">
        <f>IF(AND(AN50&lt;AP56,AF52),AB49*AL55,AP56*AL55)</f>
        <v>0</v>
      </c>
      <c r="AU50" s="225"/>
      <c r="AV50" s="20">
        <f>IF(AF52,AL55-(AL55*AN50),IF(AF51,(1/6)*AL55,0))</f>
        <v>4.3993055555555562</v>
      </c>
      <c r="AW50" s="225"/>
      <c r="AX50" s="20">
        <f t="shared" si="8"/>
        <v>2.9328703703703707</v>
      </c>
      <c r="AY50" s="225"/>
      <c r="AZ50" s="20">
        <f>AV50*AP56</f>
        <v>0</v>
      </c>
      <c r="BA50" s="225"/>
      <c r="BB50" s="199">
        <f t="shared" si="9"/>
        <v>0</v>
      </c>
      <c r="BC50" s="225"/>
      <c r="BD50" s="20">
        <f t="shared" si="10"/>
        <v>7.3321759259259274</v>
      </c>
      <c r="BE50" s="225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25"/>
      <c r="BJ50" s="199">
        <f>BH50+((BD50-BB50)*BF49)</f>
        <v>2.4440586419753094</v>
      </c>
      <c r="BK50" s="225"/>
      <c r="BL50" s="18">
        <f>IF(AB51&gt;0,(BH50*AB51)+((BJ50-BH50)*V54),BJ50*V54)</f>
        <v>2.4440586419753094</v>
      </c>
      <c r="BM50" s="225"/>
      <c r="BN50" s="18">
        <f>(AL54*Z52)+(AB50*BB50)</f>
        <v>0</v>
      </c>
      <c r="BO50" s="225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32"/>
      <c r="C51" s="23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34"/>
      <c r="H51" s="84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25"/>
      <c r="AT51" s="199">
        <f>IF(AND(AN51&lt;AP56,AF52),AB49*AL55,AP56*AL55)</f>
        <v>0</v>
      </c>
      <c r="AU51" s="225"/>
      <c r="AV51" s="20">
        <f>IF(AF52,AL55-(AL55*AN51),IF(AF51,(1/6)*AL55,0))</f>
        <v>5.8657407407407423</v>
      </c>
      <c r="AW51" s="225"/>
      <c r="AX51" s="20">
        <f t="shared" si="8"/>
        <v>2.9328703703703711</v>
      </c>
      <c r="AY51" s="225"/>
      <c r="AZ51" s="20">
        <f>AV51*AP56</f>
        <v>0</v>
      </c>
      <c r="BA51" s="225"/>
      <c r="BB51" s="199">
        <f t="shared" si="9"/>
        <v>0</v>
      </c>
      <c r="BC51" s="225"/>
      <c r="BD51" s="20">
        <f t="shared" si="10"/>
        <v>5.8657407407407423</v>
      </c>
      <c r="BE51" s="225"/>
      <c r="BF51" s="199"/>
      <c r="BG51" s="199"/>
      <c r="BH51" s="20">
        <f>IF(AB52&lt;0,BB51*BF50,BB51*BF49)</f>
        <v>0</v>
      </c>
      <c r="BI51" s="225"/>
      <c r="BJ51" s="199">
        <f>BH51+((BD51-BB51)*BF49)</f>
        <v>1.9552469135802477</v>
      </c>
      <c r="BK51" s="225"/>
      <c r="BL51" s="18">
        <f>IF(AB51&gt;0,(BH51*AB51)+((BJ51-BH51)*V54),BJ51*V54)</f>
        <v>1.9552469135802477</v>
      </c>
      <c r="BM51" s="225"/>
      <c r="BN51" s="18">
        <f>(AL54*Z52)+(AB50*BB51)</f>
        <v>0</v>
      </c>
      <c r="BO51" s="225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3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22" t="s">
        <v>24</v>
      </c>
      <c r="O52" s="222"/>
      <c r="P52" s="5" t="s">
        <v>19</v>
      </c>
      <c r="Q52" s="222" t="s">
        <v>25</v>
      </c>
      <c r="R52" s="222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25"/>
      <c r="AT52" s="199">
        <f>IF(AND(AN52&lt;AP56,AF52),AB49*AL55,AP56*AL55)</f>
        <v>0</v>
      </c>
      <c r="AU52" s="225"/>
      <c r="AV52" s="20">
        <f>IF(AF52,AL55-(AL55*AN52),IF(AF51,(1/6)*AL55,0))</f>
        <v>5.8657407407407423</v>
      </c>
      <c r="AW52" s="225"/>
      <c r="AX52" s="20">
        <f t="shared" si="8"/>
        <v>2.9328703703703711</v>
      </c>
      <c r="AY52" s="225"/>
      <c r="AZ52" s="20">
        <f>AV52*AP56</f>
        <v>0</v>
      </c>
      <c r="BA52" s="225"/>
      <c r="BB52" s="199">
        <f t="shared" si="9"/>
        <v>0</v>
      </c>
      <c r="BC52" s="225"/>
      <c r="BD52" s="20">
        <f t="shared" si="10"/>
        <v>5.8657407407407423</v>
      </c>
      <c r="BE52" s="225"/>
      <c r="BF52" s="199"/>
      <c r="BG52" s="199"/>
      <c r="BH52" s="20">
        <f>IF(AB52&lt;0,BB52*BF50,BB52*BF49)</f>
        <v>0</v>
      </c>
      <c r="BI52" s="225"/>
      <c r="BJ52" s="199">
        <f>BH52+((BD52-BB52)*BF49)</f>
        <v>1.9552469135802477</v>
      </c>
      <c r="BK52" s="225"/>
      <c r="BL52" s="18">
        <f>IF(AB51&gt;0,(BH52*AB51)+((BJ52-BH52)*V54),BJ52*V54)</f>
        <v>1.9552469135802477</v>
      </c>
      <c r="BM52" s="225"/>
      <c r="BN52" s="18">
        <f>(AL54*Z52)+(AB50*BB52)</f>
        <v>0</v>
      </c>
      <c r="BO52" s="225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34"/>
      <c r="H53" s="87"/>
      <c r="I53" s="80"/>
      <c r="J53" s="191" t="s">
        <v>16</v>
      </c>
      <c r="K53" s="222" t="s">
        <v>17</v>
      </c>
      <c r="L53" s="222"/>
      <c r="M53" s="222"/>
      <c r="N53" s="222" t="s">
        <v>28</v>
      </c>
      <c r="O53" s="222"/>
      <c r="P53" s="5">
        <v>0</v>
      </c>
      <c r="Q53" s="222" t="s">
        <v>27</v>
      </c>
      <c r="R53" s="222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25"/>
      <c r="AT53" s="199">
        <f>IF(AND(AN53&lt;AP56,AF52),AB49*AL55,AP56*AL55)</f>
        <v>0</v>
      </c>
      <c r="AU53" s="225"/>
      <c r="AV53" s="20">
        <f>IF(AF52,AL55-(AL55*AN53),IF(AF51,(1/6)*AL55,0))</f>
        <v>5.8657407407407423</v>
      </c>
      <c r="AW53" s="225"/>
      <c r="AX53" s="20">
        <f t="shared" si="8"/>
        <v>2.9328703703703711</v>
      </c>
      <c r="AY53" s="225"/>
      <c r="AZ53" s="20">
        <f>AV53*AP56</f>
        <v>0</v>
      </c>
      <c r="BA53" s="225"/>
      <c r="BB53" s="199">
        <f t="shared" si="9"/>
        <v>0</v>
      </c>
      <c r="BC53" s="225"/>
      <c r="BD53" s="20">
        <f t="shared" si="10"/>
        <v>5.8657407407407423</v>
      </c>
      <c r="BE53" s="225"/>
      <c r="BF53" s="199"/>
      <c r="BG53" s="199"/>
      <c r="BH53" s="20">
        <f>IF(AB52&lt;0,BB53*BF50,BB53*BF49)</f>
        <v>0</v>
      </c>
      <c r="BI53" s="225"/>
      <c r="BJ53" s="199">
        <f>BH53+((BD53-BB53)*BF49)</f>
        <v>1.9552469135802477</v>
      </c>
      <c r="BK53" s="225"/>
      <c r="BL53" s="18">
        <f>IF(AB51&gt;0,(BH53*AB51)+((BJ53-BH53)*V54),BJ53*V54)</f>
        <v>1.9552469135802477</v>
      </c>
      <c r="BM53" s="225"/>
      <c r="BN53" s="18">
        <f>(AL54*Z52)+(AB50*BB53)</f>
        <v>0</v>
      </c>
      <c r="BO53" s="225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34"/>
      <c r="H54" s="84"/>
      <c r="I54" s="223" t="s">
        <v>30</v>
      </c>
      <c r="J54" s="223"/>
      <c r="K54" s="223" t="s">
        <v>31</v>
      </c>
      <c r="L54" s="223"/>
      <c r="M54" s="223"/>
      <c r="N54" s="222" t="s">
        <v>29</v>
      </c>
      <c r="O54" s="222"/>
      <c r="P54" s="5">
        <v>0</v>
      </c>
      <c r="Q54" s="222" t="s">
        <v>45</v>
      </c>
      <c r="R54" s="222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25"/>
      <c r="AT54" s="199">
        <f>IF(AND(AN54&lt;AP56,AF52),AB49*AL55,AP56*AL55)</f>
        <v>0</v>
      </c>
      <c r="AU54" s="225"/>
      <c r="AV54" s="20">
        <f>IF(AF52,AL55-(AL55*AN54),IF(AF51,(1/6)*AL55,0))</f>
        <v>7.3321759259259274</v>
      </c>
      <c r="AW54" s="225"/>
      <c r="AX54" s="20">
        <f t="shared" si="8"/>
        <v>2.444058641975309</v>
      </c>
      <c r="AY54" s="225"/>
      <c r="AZ54" s="20">
        <f>AV54*AP56</f>
        <v>0</v>
      </c>
      <c r="BA54" s="225"/>
      <c r="BB54" s="199">
        <f t="shared" si="9"/>
        <v>0</v>
      </c>
      <c r="BC54" s="225"/>
      <c r="BD54" s="20">
        <f t="shared" si="10"/>
        <v>3.9104938271604945</v>
      </c>
      <c r="BE54" s="225"/>
      <c r="BF54" s="199"/>
      <c r="BG54" s="199"/>
      <c r="BH54" s="20">
        <f>IF(AB52&lt;0,BB54*BF50,BB54*BF49)</f>
        <v>0</v>
      </c>
      <c r="BI54" s="225"/>
      <c r="BJ54" s="199">
        <f>BH54+((BD54-BB54)*BF49)</f>
        <v>1.3034979423868316</v>
      </c>
      <c r="BK54" s="225"/>
      <c r="BL54" s="18">
        <f>IF(AB51&gt;0,(BH54*AB51)+((BJ54-BH54)*V54),BJ54*V54)</f>
        <v>1.3034979423868316</v>
      </c>
      <c r="BM54" s="225"/>
      <c r="BN54" s="18">
        <f>(AL54*Z52)+(AB50*BB54)</f>
        <v>0</v>
      </c>
      <c r="BO54" s="225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22" t="s">
        <v>26</v>
      </c>
      <c r="O55" s="222"/>
      <c r="P55" s="5">
        <v>0</v>
      </c>
      <c r="Q55" s="224" t="s">
        <v>58</v>
      </c>
      <c r="R55" s="224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3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5" t="str">
        <f>IF(I60="","",I60)</f>
        <v>Crowe v. T5</v>
      </c>
      <c r="C58" s="235"/>
      <c r="D58" s="32"/>
      <c r="E58" s="173" t="s">
        <v>11</v>
      </c>
      <c r="F58" s="32" t="s">
        <v>7</v>
      </c>
      <c r="G58" s="237"/>
      <c r="H58" s="82"/>
      <c r="I58" s="218" t="str">
        <f>IF(I60="","",I60)</f>
        <v>Crowe v. T5</v>
      </c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83"/>
      <c r="V58" s="219" t="s">
        <v>15</v>
      </c>
      <c r="W58" s="220"/>
      <c r="X58" s="220"/>
      <c r="Y58" s="220"/>
      <c r="Z58" s="220"/>
      <c r="AA58" s="220"/>
      <c r="AB58" s="220"/>
      <c r="AC58" s="220"/>
      <c r="AD58" s="220" t="s">
        <v>21</v>
      </c>
      <c r="AE58" s="220"/>
      <c r="AF58" s="220"/>
      <c r="AG58" s="220"/>
      <c r="AH58" s="198"/>
      <c r="AI58" s="198"/>
      <c r="AJ58" s="220" t="s">
        <v>73</v>
      </c>
      <c r="AK58" s="220"/>
      <c r="AL58" s="220"/>
      <c r="AM58" s="220"/>
      <c r="AN58" s="220"/>
      <c r="AO58" s="220" t="s">
        <v>74</v>
      </c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198"/>
      <c r="BG58" s="198"/>
      <c r="BH58" s="220" t="s">
        <v>75</v>
      </c>
      <c r="BI58" s="220"/>
      <c r="BJ58" s="220"/>
      <c r="BK58" s="220"/>
      <c r="BL58" s="220"/>
      <c r="BM58" s="220"/>
      <c r="BN58" s="220"/>
      <c r="BO58" s="220"/>
      <c r="BP58" s="220"/>
      <c r="BQ58" s="220"/>
      <c r="BR58" s="220" t="s">
        <v>76</v>
      </c>
      <c r="BS58" s="226"/>
    </row>
    <row r="59" spans="1:71" ht="15" customHeight="1">
      <c r="A59" s="132"/>
      <c r="B59" s="236"/>
      <c r="C59" s="236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38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25" t="s">
        <v>121</v>
      </c>
      <c r="AT59" s="199">
        <f>IF(AND(AN59&lt;AP66,AF62),AB59*AL65,AP66*AL65)</f>
        <v>0</v>
      </c>
      <c r="AU59" s="225" t="s">
        <v>109</v>
      </c>
      <c r="AV59" s="20">
        <f>IF(AF62,AL65-(AL65*AN59),IF(AF61,(1/6)*AL65,0))</f>
        <v>2.6703703703703709</v>
      </c>
      <c r="AW59" s="225" t="s">
        <v>60</v>
      </c>
      <c r="AX59" s="20">
        <f t="shared" ref="AX59:AX64" si="12">AV59*AP59</f>
        <v>2.225308641975309</v>
      </c>
      <c r="AY59" s="225" t="s">
        <v>122</v>
      </c>
      <c r="AZ59" s="20">
        <f>AV59*AP66</f>
        <v>0</v>
      </c>
      <c r="BA59" s="225" t="s">
        <v>110</v>
      </c>
      <c r="BB59" s="199">
        <f t="shared" ref="BB59:BB64" si="13">AT59+AZ59</f>
        <v>0</v>
      </c>
      <c r="BC59" s="225" t="s">
        <v>117</v>
      </c>
      <c r="BD59" s="20">
        <f t="shared" ref="BD59:BD64" si="14">SUM(AR59,AX59)</f>
        <v>7.5660493827160487</v>
      </c>
      <c r="BE59" s="225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25" t="s">
        <v>102</v>
      </c>
      <c r="BJ59" s="199">
        <f>BH59+((BD59-BB59)*BF59)</f>
        <v>2.5220164609053497</v>
      </c>
      <c r="BK59" s="225" t="s">
        <v>103</v>
      </c>
      <c r="BL59" s="18">
        <f>IF(AB61&gt;0,(BH59*AB61)+((BJ59-BH59)*V64),BJ59*V64)</f>
        <v>2.5220164609053497</v>
      </c>
      <c r="BM59" s="225" t="s">
        <v>65</v>
      </c>
      <c r="BN59" s="18">
        <f>(AL64*Z62)+(AB60*BB59)</f>
        <v>0</v>
      </c>
      <c r="BO59" s="225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36"/>
      <c r="C60" s="236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38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25"/>
      <c r="AT60" s="199">
        <f>IF(AND(AN60&lt;AP66,AF62),AB59*AL65,AP66*AL65)</f>
        <v>0</v>
      </c>
      <c r="AU60" s="225"/>
      <c r="AV60" s="20">
        <f>IF(AF62,AL65-(AL65*AN60),IF(AF61,(1/6)*AL65,0))</f>
        <v>4.0055555555555555</v>
      </c>
      <c r="AW60" s="225"/>
      <c r="AX60" s="20">
        <f t="shared" si="12"/>
        <v>2.6703703703703701</v>
      </c>
      <c r="AY60" s="225"/>
      <c r="AZ60" s="20">
        <f>AV60*AP66</f>
        <v>0</v>
      </c>
      <c r="BA60" s="225"/>
      <c r="BB60" s="199">
        <f t="shared" si="13"/>
        <v>0</v>
      </c>
      <c r="BC60" s="225"/>
      <c r="BD60" s="20">
        <f t="shared" si="14"/>
        <v>6.6759259259259256</v>
      </c>
      <c r="BE60" s="225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25"/>
      <c r="BJ60" s="199">
        <f>BH60+((BD60-BB60)*BF59)</f>
        <v>2.225308641975309</v>
      </c>
      <c r="BK60" s="225"/>
      <c r="BL60" s="18">
        <f>IF(AB61&gt;0,(BH60*AB61)+((BJ60-BH60)*V64),BJ60*V64)</f>
        <v>2.225308641975309</v>
      </c>
      <c r="BM60" s="225"/>
      <c r="BN60" s="18">
        <f>(AL64*Z62)+(AB60*BB60)</f>
        <v>0</v>
      </c>
      <c r="BO60" s="225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36"/>
      <c r="C61" s="236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38"/>
      <c r="H61" s="84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25"/>
      <c r="AT61" s="199">
        <f>IF(AND(AN61&lt;AP66,AF62),AB59*AL65,AP66*AL65)</f>
        <v>0</v>
      </c>
      <c r="AU61" s="225"/>
      <c r="AV61" s="20">
        <f>IF(AF62,AL65-(AL65*AN61),IF(AF61,(1/6)*AL65,0))</f>
        <v>5.340740740740741</v>
      </c>
      <c r="AW61" s="225"/>
      <c r="AX61" s="20">
        <f t="shared" si="12"/>
        <v>2.6703703703703705</v>
      </c>
      <c r="AY61" s="225"/>
      <c r="AZ61" s="20">
        <f>AV61*AP66</f>
        <v>0</v>
      </c>
      <c r="BA61" s="225"/>
      <c r="BB61" s="199">
        <f t="shared" si="13"/>
        <v>0</v>
      </c>
      <c r="BC61" s="225"/>
      <c r="BD61" s="20">
        <f t="shared" si="14"/>
        <v>5.3407407407407401</v>
      </c>
      <c r="BE61" s="225"/>
      <c r="BF61" s="199"/>
      <c r="BG61" s="199"/>
      <c r="BH61" s="20">
        <f>IF(AB62&lt;0,BB61*BF60,BB61*BF59)</f>
        <v>0</v>
      </c>
      <c r="BI61" s="225"/>
      <c r="BJ61" s="199">
        <f>BH61+((BD61-BB61)*BF59)</f>
        <v>1.780246913580247</v>
      </c>
      <c r="BK61" s="225"/>
      <c r="BL61" s="18">
        <f>IF(AB61&gt;0,(BH61*AB61)+((BJ61-BH61)*V64),BJ61*V64)</f>
        <v>1.780246913580247</v>
      </c>
      <c r="BM61" s="225"/>
      <c r="BN61" s="18">
        <f>(AL64*Z62)+(AB60*BB61)</f>
        <v>0</v>
      </c>
      <c r="BO61" s="225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38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22" t="s">
        <v>24</v>
      </c>
      <c r="O62" s="222"/>
      <c r="P62" s="5" t="s">
        <v>19</v>
      </c>
      <c r="Q62" s="222" t="s">
        <v>25</v>
      </c>
      <c r="R62" s="222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25"/>
      <c r="AT62" s="199">
        <f>IF(AND(AN62&lt;AP66,AF62),AB59*AL65,AP66*AL65)</f>
        <v>0</v>
      </c>
      <c r="AU62" s="225"/>
      <c r="AV62" s="20">
        <f>IF(AF62,AL65-(AL65*AN62),IF(AF61,(1/6)*AL65,0))</f>
        <v>5.340740740740741</v>
      </c>
      <c r="AW62" s="225"/>
      <c r="AX62" s="20">
        <f t="shared" si="12"/>
        <v>2.6703703703703705</v>
      </c>
      <c r="AY62" s="225"/>
      <c r="AZ62" s="20">
        <f>AV62*AP66</f>
        <v>0</v>
      </c>
      <c r="BA62" s="225"/>
      <c r="BB62" s="199">
        <f t="shared" si="13"/>
        <v>0</v>
      </c>
      <c r="BC62" s="225"/>
      <c r="BD62" s="20">
        <f t="shared" si="14"/>
        <v>5.3407407407407401</v>
      </c>
      <c r="BE62" s="225"/>
      <c r="BF62" s="199"/>
      <c r="BG62" s="199"/>
      <c r="BH62" s="20">
        <f>IF(AB62&lt;0,BB62*BF60,BB62*BF59)</f>
        <v>0</v>
      </c>
      <c r="BI62" s="225"/>
      <c r="BJ62" s="199">
        <f>BH62+((BD62-BB62)*BF59)</f>
        <v>1.780246913580247</v>
      </c>
      <c r="BK62" s="225"/>
      <c r="BL62" s="18">
        <f>IF(AB61&gt;0,(BH62*AB61)+((BJ62-BH62)*V64),BJ62*V64)</f>
        <v>1.780246913580247</v>
      </c>
      <c r="BM62" s="225"/>
      <c r="BN62" s="18">
        <f>(AL64*Z62)+(AB60*BB62)</f>
        <v>0</v>
      </c>
      <c r="BO62" s="225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38"/>
      <c r="H63" s="87"/>
      <c r="I63" s="80"/>
      <c r="J63" s="191" t="s">
        <v>16</v>
      </c>
      <c r="K63" s="222" t="s">
        <v>17</v>
      </c>
      <c r="L63" s="222"/>
      <c r="M63" s="222"/>
      <c r="N63" s="222" t="s">
        <v>28</v>
      </c>
      <c r="O63" s="222"/>
      <c r="P63" s="5">
        <v>0</v>
      </c>
      <c r="Q63" s="222" t="s">
        <v>27</v>
      </c>
      <c r="R63" s="222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25"/>
      <c r="AT63" s="199">
        <f>IF(AND(AN63&lt;AP66,AF62),AB59*AL65,AP66*AL65)</f>
        <v>0</v>
      </c>
      <c r="AU63" s="225"/>
      <c r="AV63" s="20">
        <f>IF(AF62,AL65-(AL65*AN63),IF(AF61,(1/6)*AL65,0))</f>
        <v>5.340740740740741</v>
      </c>
      <c r="AW63" s="225"/>
      <c r="AX63" s="20">
        <f t="shared" si="12"/>
        <v>2.6703703703703705</v>
      </c>
      <c r="AY63" s="225"/>
      <c r="AZ63" s="20">
        <f>AV63*AP66</f>
        <v>0</v>
      </c>
      <c r="BA63" s="225"/>
      <c r="BB63" s="199">
        <f t="shared" si="13"/>
        <v>0</v>
      </c>
      <c r="BC63" s="225"/>
      <c r="BD63" s="20">
        <f t="shared" si="14"/>
        <v>5.3407407407407401</v>
      </c>
      <c r="BE63" s="225"/>
      <c r="BF63" s="199"/>
      <c r="BG63" s="199"/>
      <c r="BH63" s="20">
        <f>IF(AB62&lt;0,BB63*BF60,BB63*BF59)</f>
        <v>0</v>
      </c>
      <c r="BI63" s="225"/>
      <c r="BJ63" s="199">
        <f>BH63+((BD63-BB63)*BF59)</f>
        <v>1.780246913580247</v>
      </c>
      <c r="BK63" s="225"/>
      <c r="BL63" s="18">
        <f>IF(AB61&gt;0,(BH63*AB61)+((BJ63-BH63)*V64),BJ63*V64)</f>
        <v>1.780246913580247</v>
      </c>
      <c r="BM63" s="225"/>
      <c r="BN63" s="18">
        <f>(AL64*Z62)+(AB60*BB63)</f>
        <v>0</v>
      </c>
      <c r="BO63" s="225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38"/>
      <c r="H64" s="84"/>
      <c r="I64" s="223" t="s">
        <v>30</v>
      </c>
      <c r="J64" s="223"/>
      <c r="K64" s="223" t="s">
        <v>31</v>
      </c>
      <c r="L64" s="223"/>
      <c r="M64" s="223"/>
      <c r="N64" s="222" t="s">
        <v>29</v>
      </c>
      <c r="O64" s="222"/>
      <c r="P64" s="5">
        <v>0</v>
      </c>
      <c r="Q64" s="222" t="s">
        <v>45</v>
      </c>
      <c r="R64" s="222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25"/>
      <c r="AT64" s="199">
        <f>IF(AND(AN64&lt;AP66,AF62),AB59*AL65,AP66*AL65)</f>
        <v>0</v>
      </c>
      <c r="AU64" s="225"/>
      <c r="AV64" s="20">
        <f>IF(AF62,AL65-(AL65*AN64),IF(AF61,(1/6)*AL65,0))</f>
        <v>6.6759259259259256</v>
      </c>
      <c r="AW64" s="225"/>
      <c r="AX64" s="20">
        <f t="shared" si="12"/>
        <v>2.2253086419753085</v>
      </c>
      <c r="AY64" s="225"/>
      <c r="AZ64" s="20">
        <f>AV64*AP66</f>
        <v>0</v>
      </c>
      <c r="BA64" s="225"/>
      <c r="BB64" s="199">
        <f t="shared" si="13"/>
        <v>0</v>
      </c>
      <c r="BC64" s="225"/>
      <c r="BD64" s="20">
        <f t="shared" si="14"/>
        <v>3.5604938271604936</v>
      </c>
      <c r="BE64" s="225"/>
      <c r="BF64" s="199"/>
      <c r="BG64" s="199"/>
      <c r="BH64" s="20">
        <f>IF(AB62&lt;0,BB64*BF60,BB64*BF59)</f>
        <v>0</v>
      </c>
      <c r="BI64" s="225"/>
      <c r="BJ64" s="199">
        <f>BH64+((BD64-BB64)*BF59)</f>
        <v>1.1868312757201647</v>
      </c>
      <c r="BK64" s="225"/>
      <c r="BL64" s="18">
        <f>IF(AB61&gt;0,(BH64*AB61)+((BJ64-BH64)*V64),BJ64*V64)</f>
        <v>1.1868312757201647</v>
      </c>
      <c r="BM64" s="225"/>
      <c r="BN64" s="18">
        <f>(AL64*Z62)+(AB60*BB64)</f>
        <v>0</v>
      </c>
      <c r="BO64" s="225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8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22" t="s">
        <v>26</v>
      </c>
      <c r="O65" s="222"/>
      <c r="P65" s="5">
        <v>0</v>
      </c>
      <c r="Q65" s="224" t="s">
        <v>58</v>
      </c>
      <c r="R65" s="224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38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9" t="str">
        <f>IF(I70="","",I70)</f>
        <v>Model 5</v>
      </c>
      <c r="C68" s="239"/>
      <c r="D68" s="34"/>
      <c r="E68" s="176" t="s">
        <v>11</v>
      </c>
      <c r="F68" s="34" t="s">
        <v>7</v>
      </c>
      <c r="G68" s="241"/>
      <c r="H68" s="82"/>
      <c r="I68" s="218" t="str">
        <f>IF(I70="","",I70)</f>
        <v>Model 5</v>
      </c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83"/>
      <c r="V68" s="219" t="s">
        <v>15</v>
      </c>
      <c r="W68" s="220"/>
      <c r="X68" s="220"/>
      <c r="Y68" s="220"/>
      <c r="Z68" s="220"/>
      <c r="AA68" s="220"/>
      <c r="AB68" s="220"/>
      <c r="AC68" s="220"/>
      <c r="AD68" s="220" t="s">
        <v>21</v>
      </c>
      <c r="AE68" s="220"/>
      <c r="AF68" s="220"/>
      <c r="AG68" s="220"/>
      <c r="AH68" s="198"/>
      <c r="AI68" s="198"/>
      <c r="AJ68" s="220" t="s">
        <v>73</v>
      </c>
      <c r="AK68" s="220"/>
      <c r="AL68" s="220"/>
      <c r="AM68" s="220"/>
      <c r="AN68" s="220"/>
      <c r="AO68" s="220" t="s">
        <v>74</v>
      </c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  <c r="BD68" s="220"/>
      <c r="BE68" s="220"/>
      <c r="BF68" s="198"/>
      <c r="BG68" s="198"/>
      <c r="BH68" s="220" t="s">
        <v>75</v>
      </c>
      <c r="BI68" s="220"/>
      <c r="BJ68" s="220"/>
      <c r="BK68" s="220"/>
      <c r="BL68" s="220"/>
      <c r="BM68" s="220"/>
      <c r="BN68" s="220"/>
      <c r="BO68" s="220"/>
      <c r="BP68" s="220"/>
      <c r="BQ68" s="220"/>
      <c r="BR68" s="220" t="s">
        <v>76</v>
      </c>
      <c r="BS68" s="226"/>
    </row>
    <row r="69" spans="1:71" ht="15" customHeight="1">
      <c r="A69" s="152"/>
      <c r="B69" s="240"/>
      <c r="C69" s="240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2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22"/>
      <c r="R69" s="222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25" t="s">
        <v>121</v>
      </c>
      <c r="AT69" s="199">
        <f>IF(AND(AN69&lt;AP76,AF72),AB69*AL75,AP76*AL75)</f>
        <v>0</v>
      </c>
      <c r="AU69" s="225" t="s">
        <v>109</v>
      </c>
      <c r="AV69" s="20">
        <f>IF(AF72,AL75-(AL75*AN69),IF(AF71,(1/6)*AL75,0))</f>
        <v>0</v>
      </c>
      <c r="AW69" s="225" t="s">
        <v>60</v>
      </c>
      <c r="AX69" s="20">
        <f t="shared" ref="AX69:AX74" si="16">AV69*AP69</f>
        <v>0</v>
      </c>
      <c r="AY69" s="225" t="s">
        <v>122</v>
      </c>
      <c r="AZ69" s="20">
        <f>AV69*AP76</f>
        <v>0</v>
      </c>
      <c r="BA69" s="225" t="s">
        <v>110</v>
      </c>
      <c r="BB69" s="199">
        <f t="shared" ref="BB69:BB74" si="17">AT69+AZ69</f>
        <v>0</v>
      </c>
      <c r="BC69" s="225" t="s">
        <v>117</v>
      </c>
      <c r="BD69" s="20">
        <f t="shared" ref="BD69:BD74" si="18">SUM(AR69,AX69)</f>
        <v>3</v>
      </c>
      <c r="BE69" s="225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25" t="s">
        <v>102</v>
      </c>
      <c r="BJ69" s="199">
        <f>BH69+((BD69-BB69)*BF69)</f>
        <v>1</v>
      </c>
      <c r="BK69" s="225" t="s">
        <v>103</v>
      </c>
      <c r="BL69" s="18">
        <f>IF(AB71&gt;0,(BH69*AB71)+((BJ69-BH69)*V74),BJ69*V74)</f>
        <v>1</v>
      </c>
      <c r="BM69" s="225" t="s">
        <v>65</v>
      </c>
      <c r="BN69" s="18">
        <f>(AL74*Z72)+(AB70*BB69)</f>
        <v>0</v>
      </c>
      <c r="BO69" s="225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0"/>
      <c r="C70" s="240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2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22"/>
      <c r="R70" s="222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25"/>
      <c r="AT70" s="199">
        <f>IF(AND(AN70&lt;AP76,AF72),AB69*AL75,AP76*AL75)</f>
        <v>0</v>
      </c>
      <c r="AU70" s="225"/>
      <c r="AV70" s="20">
        <f>IF(AF72,AL75-(AL75*AN70),IF(AF71,(1/6)*AL75,0))</f>
        <v>0</v>
      </c>
      <c r="AW70" s="225"/>
      <c r="AX70" s="20">
        <f t="shared" si="16"/>
        <v>0</v>
      </c>
      <c r="AY70" s="225"/>
      <c r="AZ70" s="20">
        <f>AV70*AP76</f>
        <v>0</v>
      </c>
      <c r="BA70" s="225"/>
      <c r="BB70" s="199">
        <f t="shared" si="17"/>
        <v>0</v>
      </c>
      <c r="BC70" s="225"/>
      <c r="BD70" s="20">
        <f t="shared" si="18"/>
        <v>2.25</v>
      </c>
      <c r="BE70" s="225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25"/>
      <c r="BJ70" s="199">
        <f>BH70+((BD70-BB70)*BF69)</f>
        <v>0.75000000000000011</v>
      </c>
      <c r="BK70" s="225"/>
      <c r="BL70" s="18">
        <f>IF(AB71&gt;0,(BH70*AB71)+((BJ70-BH70)*V74),BJ70*V74)</f>
        <v>0.75000000000000011</v>
      </c>
      <c r="BM70" s="225"/>
      <c r="BN70" s="18">
        <f>(AL74*Z72)+(AB70*BB70)</f>
        <v>0</v>
      </c>
      <c r="BO70" s="225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0"/>
      <c r="C71" s="240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2"/>
      <c r="H71" s="84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25"/>
      <c r="AT71" s="199">
        <f>IF(AND(AN71&lt;AP76,AF72),AB69*AL75,AP76*AL75)</f>
        <v>0</v>
      </c>
      <c r="AU71" s="225"/>
      <c r="AV71" s="20">
        <f>IF(AF72,AL75-(AL75*AN71),IF(AF71,(1/6)*AL75,0))</f>
        <v>0</v>
      </c>
      <c r="AW71" s="225"/>
      <c r="AX71" s="20">
        <f t="shared" si="16"/>
        <v>0</v>
      </c>
      <c r="AY71" s="225"/>
      <c r="AZ71" s="20">
        <f>AV71*AP76</f>
        <v>0</v>
      </c>
      <c r="BA71" s="225"/>
      <c r="BB71" s="199">
        <f t="shared" si="17"/>
        <v>0</v>
      </c>
      <c r="BC71" s="225"/>
      <c r="BD71" s="20">
        <f t="shared" si="18"/>
        <v>1.5</v>
      </c>
      <c r="BE71" s="225"/>
      <c r="BF71" s="199"/>
      <c r="BG71" s="199"/>
      <c r="BH71" s="20">
        <f>IF(AB72&lt;0,BB71*BF70,BB71*BF69)</f>
        <v>0</v>
      </c>
      <c r="BI71" s="225"/>
      <c r="BJ71" s="199">
        <f>BH71+((BD71-BB71)*BF69)</f>
        <v>0.5</v>
      </c>
      <c r="BK71" s="225"/>
      <c r="BL71" s="18">
        <f>IF(AB71&gt;0,(BH71*AB71)+((BJ71-BH71)*V74),BJ71*V74)</f>
        <v>0.5</v>
      </c>
      <c r="BM71" s="225"/>
      <c r="BN71" s="18">
        <f>(AL74*Z72)+(AB70*BB71)</f>
        <v>0</v>
      </c>
      <c r="BO71" s="225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2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22" t="s">
        <v>24</v>
      </c>
      <c r="O72" s="222"/>
      <c r="P72" s="5" t="s">
        <v>19</v>
      </c>
      <c r="Q72" s="222" t="s">
        <v>25</v>
      </c>
      <c r="R72" s="222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25"/>
      <c r="AT72" s="199">
        <f>IF(AND(AN72&lt;AP76,AF72),AB69*AL75,AP76*AL75)</f>
        <v>0</v>
      </c>
      <c r="AU72" s="225"/>
      <c r="AV72" s="20">
        <f>IF(AF72,AL75-(AL75*AN72),IF(AF71,(1/6)*AL75,0))</f>
        <v>0</v>
      </c>
      <c r="AW72" s="225"/>
      <c r="AX72" s="20">
        <f t="shared" si="16"/>
        <v>0</v>
      </c>
      <c r="AY72" s="225"/>
      <c r="AZ72" s="20">
        <f>AV72*AP76</f>
        <v>0</v>
      </c>
      <c r="BA72" s="225"/>
      <c r="BB72" s="199">
        <f t="shared" si="17"/>
        <v>0</v>
      </c>
      <c r="BC72" s="225"/>
      <c r="BD72" s="20">
        <f t="shared" si="18"/>
        <v>1.5</v>
      </c>
      <c r="BE72" s="225"/>
      <c r="BF72" s="199"/>
      <c r="BG72" s="199"/>
      <c r="BH72" s="20">
        <f>IF(AB72&lt;0,BB72*BF70,BB72*BF69)</f>
        <v>0</v>
      </c>
      <c r="BI72" s="225"/>
      <c r="BJ72" s="199">
        <f>BH72+((BD72-BB72)*BF69)</f>
        <v>0.5</v>
      </c>
      <c r="BK72" s="225"/>
      <c r="BL72" s="18">
        <f>IF(AB71&gt;0,(BH72*AB71)+((BJ72-BH72)*V74),BJ72*V74)</f>
        <v>0.5</v>
      </c>
      <c r="BM72" s="225"/>
      <c r="BN72" s="18">
        <f>(AL74*Z72)+(AB70*BB72)</f>
        <v>0</v>
      </c>
      <c r="BO72" s="225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2"/>
      <c r="H73" s="87"/>
      <c r="I73" s="80"/>
      <c r="J73" s="191" t="s">
        <v>16</v>
      </c>
      <c r="K73" s="222" t="s">
        <v>17</v>
      </c>
      <c r="L73" s="222"/>
      <c r="M73" s="222"/>
      <c r="N73" s="222" t="s">
        <v>28</v>
      </c>
      <c r="O73" s="222"/>
      <c r="P73" s="5">
        <v>0</v>
      </c>
      <c r="Q73" s="222" t="s">
        <v>27</v>
      </c>
      <c r="R73" s="222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25"/>
      <c r="AT73" s="199">
        <f>IF(AND(AN73&lt;AP76,AF72),AB69*AL75,AP76*AL75)</f>
        <v>0</v>
      </c>
      <c r="AU73" s="225"/>
      <c r="AV73" s="20">
        <f>IF(AF72,AL75-(AL75*AN73),IF(AF71,(1/6)*AL75,0))</f>
        <v>0</v>
      </c>
      <c r="AW73" s="225"/>
      <c r="AX73" s="20">
        <f t="shared" si="16"/>
        <v>0</v>
      </c>
      <c r="AY73" s="225"/>
      <c r="AZ73" s="20">
        <f>AV73*AP76</f>
        <v>0</v>
      </c>
      <c r="BA73" s="225"/>
      <c r="BB73" s="199">
        <f t="shared" si="17"/>
        <v>0</v>
      </c>
      <c r="BC73" s="225"/>
      <c r="BD73" s="20">
        <f t="shared" si="18"/>
        <v>1.5</v>
      </c>
      <c r="BE73" s="225"/>
      <c r="BF73" s="199"/>
      <c r="BG73" s="199"/>
      <c r="BH73" s="20">
        <f>IF(AB72&lt;0,BB73*BF70,BB73*BF69)</f>
        <v>0</v>
      </c>
      <c r="BI73" s="225"/>
      <c r="BJ73" s="199">
        <f>BH73+((BD73-BB73)*BF69)</f>
        <v>0.5</v>
      </c>
      <c r="BK73" s="225"/>
      <c r="BL73" s="18">
        <f>IF(AB71&gt;0,(BH73*AB71)+((BJ73-BH73)*V74),BJ73*V74)</f>
        <v>0.5</v>
      </c>
      <c r="BM73" s="225"/>
      <c r="BN73" s="18">
        <f>(AL74*Z72)+(AB70*BB73)</f>
        <v>0</v>
      </c>
      <c r="BO73" s="225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2"/>
      <c r="H74" s="84"/>
      <c r="I74" s="223" t="s">
        <v>30</v>
      </c>
      <c r="J74" s="223"/>
      <c r="K74" s="223" t="s">
        <v>31</v>
      </c>
      <c r="L74" s="223"/>
      <c r="M74" s="223"/>
      <c r="N74" s="222" t="s">
        <v>29</v>
      </c>
      <c r="O74" s="222"/>
      <c r="P74" s="5">
        <v>0</v>
      </c>
      <c r="Q74" s="222" t="s">
        <v>45</v>
      </c>
      <c r="R74" s="222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25"/>
      <c r="AT74" s="199">
        <f>IF(AND(AN74&lt;AP76,AF72),AB69*AL75,AP76*AL75)</f>
        <v>0</v>
      </c>
      <c r="AU74" s="225"/>
      <c r="AV74" s="20">
        <f>IF(AF72,AL75-(AL75*AN74),IF(AF71,(1/6)*AL75,0))</f>
        <v>0</v>
      </c>
      <c r="AW74" s="225"/>
      <c r="AX74" s="20">
        <f t="shared" si="16"/>
        <v>0</v>
      </c>
      <c r="AY74" s="225"/>
      <c r="AZ74" s="20">
        <f>AV74*AP76</f>
        <v>0</v>
      </c>
      <c r="BA74" s="225"/>
      <c r="BB74" s="199">
        <f t="shared" si="17"/>
        <v>0</v>
      </c>
      <c r="BC74" s="225"/>
      <c r="BD74" s="20">
        <f t="shared" si="18"/>
        <v>0.75</v>
      </c>
      <c r="BE74" s="225"/>
      <c r="BF74" s="199"/>
      <c r="BG74" s="199"/>
      <c r="BH74" s="20">
        <f>IF(AB72&lt;0,BB74*BF70,BB74*BF69)</f>
        <v>0</v>
      </c>
      <c r="BI74" s="225"/>
      <c r="BJ74" s="199">
        <f>BH74+((BD74-BB74)*BF69)</f>
        <v>0.25</v>
      </c>
      <c r="BK74" s="225"/>
      <c r="BL74" s="18">
        <f>IF(AB71&gt;0,(BH74*AB71)+((BJ74-BH74)*V74),BJ74*V74)</f>
        <v>0.25</v>
      </c>
      <c r="BM74" s="225"/>
      <c r="BN74" s="18">
        <f>(AL74*Z72)+(AB70*BB74)</f>
        <v>0</v>
      </c>
      <c r="BO74" s="225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2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22" t="s">
        <v>26</v>
      </c>
      <c r="O75" s="222"/>
      <c r="P75" s="5">
        <v>0</v>
      </c>
      <c r="Q75" s="224" t="s">
        <v>58</v>
      </c>
      <c r="R75" s="224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2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62" t="str">
        <f>IF(I80="","",I80)</f>
        <v>Model 6</v>
      </c>
      <c r="C78" s="262"/>
      <c r="D78" s="36"/>
      <c r="E78" s="37" t="s">
        <v>11</v>
      </c>
      <c r="F78" s="36" t="s">
        <v>7</v>
      </c>
      <c r="G78" s="264"/>
      <c r="H78" s="82"/>
      <c r="I78" s="218" t="str">
        <f>IF(I80="","",I80)</f>
        <v>Model 6</v>
      </c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83"/>
      <c r="V78" s="219" t="s">
        <v>15</v>
      </c>
      <c r="W78" s="220"/>
      <c r="X78" s="220"/>
      <c r="Y78" s="220"/>
      <c r="Z78" s="220"/>
      <c r="AA78" s="220"/>
      <c r="AB78" s="220"/>
      <c r="AC78" s="220"/>
      <c r="AD78" s="220" t="s">
        <v>21</v>
      </c>
      <c r="AE78" s="220"/>
      <c r="AF78" s="220"/>
      <c r="AG78" s="220"/>
      <c r="AH78" s="198"/>
      <c r="AI78" s="198"/>
      <c r="AJ78" s="220" t="s">
        <v>73</v>
      </c>
      <c r="AK78" s="220"/>
      <c r="AL78" s="220"/>
      <c r="AM78" s="220"/>
      <c r="AN78" s="220"/>
      <c r="AO78" s="220" t="s">
        <v>74</v>
      </c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198"/>
      <c r="BG78" s="198"/>
      <c r="BH78" s="220" t="s">
        <v>75</v>
      </c>
      <c r="BI78" s="220"/>
      <c r="BJ78" s="220"/>
      <c r="BK78" s="220"/>
      <c r="BL78" s="220"/>
      <c r="BM78" s="220"/>
      <c r="BN78" s="220"/>
      <c r="BO78" s="220"/>
      <c r="BP78" s="220"/>
      <c r="BQ78" s="220"/>
      <c r="BR78" s="220" t="s">
        <v>76</v>
      </c>
      <c r="BS78" s="226"/>
    </row>
    <row r="79" spans="1:71" ht="15" customHeight="1">
      <c r="A79" s="155"/>
      <c r="B79" s="263"/>
      <c r="C79" s="263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5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22"/>
      <c r="R79" s="222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25" t="s">
        <v>121</v>
      </c>
      <c r="AT79" s="199">
        <f>IF(AND(AN79&lt;AP86,AF82),AB79*AL85,AP86*AL85)</f>
        <v>0</v>
      </c>
      <c r="AU79" s="225" t="s">
        <v>109</v>
      </c>
      <c r="AV79" s="20">
        <f>IF(AF82,AL85-(AL85*AN79),IF(AF81,(1/6)*AL85,0))</f>
        <v>0</v>
      </c>
      <c r="AW79" s="225" t="s">
        <v>60</v>
      </c>
      <c r="AX79" s="20">
        <f t="shared" ref="AX79:AX84" si="20">AV79*AP79</f>
        <v>0</v>
      </c>
      <c r="AY79" s="225" t="s">
        <v>122</v>
      </c>
      <c r="AZ79" s="20">
        <f>AV79*AP86</f>
        <v>0</v>
      </c>
      <c r="BA79" s="225" t="s">
        <v>110</v>
      </c>
      <c r="BB79" s="199">
        <f t="shared" ref="BB79:BB84" si="21">AT79+AZ79</f>
        <v>0</v>
      </c>
      <c r="BC79" s="225" t="s">
        <v>117</v>
      </c>
      <c r="BD79" s="20">
        <f t="shared" ref="BD79:BD84" si="22">SUM(AR79,AX79)</f>
        <v>3</v>
      </c>
      <c r="BE79" s="225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25" t="s">
        <v>102</v>
      </c>
      <c r="BJ79" s="199">
        <f>BH79+((BD79-BB79)*BF79)</f>
        <v>1</v>
      </c>
      <c r="BK79" s="225" t="s">
        <v>103</v>
      </c>
      <c r="BL79" s="18">
        <f>IF(AB81&gt;0,(BH79*AB81)+((BJ79-BH79)*V84),BJ79*V84)</f>
        <v>1</v>
      </c>
      <c r="BM79" s="225" t="s">
        <v>65</v>
      </c>
      <c r="BN79" s="18">
        <f>(AL84*Z82)+(AB80*BB79)</f>
        <v>0</v>
      </c>
      <c r="BO79" s="225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63"/>
      <c r="C80" s="263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5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22"/>
      <c r="R80" s="222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25"/>
      <c r="AT80" s="199">
        <f>IF(AND(AN80&lt;AP86,AF82),AB79*AL85,AP86*AL85)</f>
        <v>0</v>
      </c>
      <c r="AU80" s="225"/>
      <c r="AV80" s="20">
        <f>IF(AF82,AL85-(AL85*AN80),IF(AF81,(1/6)*AL85,0))</f>
        <v>0</v>
      </c>
      <c r="AW80" s="225"/>
      <c r="AX80" s="20">
        <f t="shared" si="20"/>
        <v>0</v>
      </c>
      <c r="AY80" s="225"/>
      <c r="AZ80" s="20">
        <f>AV80*AP86</f>
        <v>0</v>
      </c>
      <c r="BA80" s="225"/>
      <c r="BB80" s="199">
        <f t="shared" si="21"/>
        <v>0</v>
      </c>
      <c r="BC80" s="225"/>
      <c r="BD80" s="20">
        <f t="shared" si="22"/>
        <v>2.25</v>
      </c>
      <c r="BE80" s="225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25"/>
      <c r="BJ80" s="199">
        <f>BH80+((BD80-BB80)*BF79)</f>
        <v>0.75000000000000011</v>
      </c>
      <c r="BK80" s="225"/>
      <c r="BL80" s="18">
        <f>IF(AB81&gt;0,(BH80*AB81)+((BJ80-BH80)*V84),BJ80*V84)</f>
        <v>0.75000000000000011</v>
      </c>
      <c r="BM80" s="225"/>
      <c r="BN80" s="18">
        <f>(AL84*Z82)+(AB80*BB80)</f>
        <v>0</v>
      </c>
      <c r="BO80" s="225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63"/>
      <c r="C81" s="263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5"/>
      <c r="H81" s="84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25"/>
      <c r="AT81" s="199">
        <f>IF(AND(AN81&lt;AP86,AF82),AB79*AL85,AP86*AL85)</f>
        <v>0</v>
      </c>
      <c r="AU81" s="225"/>
      <c r="AV81" s="20">
        <f>IF(AF82,AL85-(AL85*AN81),IF(AF81,(1/6)*AL85,0))</f>
        <v>0</v>
      </c>
      <c r="AW81" s="225"/>
      <c r="AX81" s="20">
        <f t="shared" si="20"/>
        <v>0</v>
      </c>
      <c r="AY81" s="225"/>
      <c r="AZ81" s="20">
        <f>AV81*AP86</f>
        <v>0</v>
      </c>
      <c r="BA81" s="225"/>
      <c r="BB81" s="199">
        <f t="shared" si="21"/>
        <v>0</v>
      </c>
      <c r="BC81" s="225"/>
      <c r="BD81" s="20">
        <f t="shared" si="22"/>
        <v>1.5</v>
      </c>
      <c r="BE81" s="225"/>
      <c r="BF81" s="199"/>
      <c r="BG81" s="199"/>
      <c r="BH81" s="20">
        <f>IF(AB82&lt;0,BB81*BF80,BB81*BF79)</f>
        <v>0</v>
      </c>
      <c r="BI81" s="225"/>
      <c r="BJ81" s="199">
        <f>BH81+((BD81-BB81)*BF79)</f>
        <v>0.5</v>
      </c>
      <c r="BK81" s="225"/>
      <c r="BL81" s="18">
        <f>IF(AB81&gt;0,(BH81*AB81)+((BJ81-BH81)*V84),BJ81*V84)</f>
        <v>0.5</v>
      </c>
      <c r="BM81" s="225"/>
      <c r="BN81" s="18">
        <f>(AL84*Z82)+(AB80*BB81)</f>
        <v>0</v>
      </c>
      <c r="BO81" s="225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5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22" t="s">
        <v>24</v>
      </c>
      <c r="O82" s="222"/>
      <c r="P82" s="5" t="s">
        <v>19</v>
      </c>
      <c r="Q82" s="222" t="s">
        <v>25</v>
      </c>
      <c r="R82" s="222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25"/>
      <c r="AT82" s="199">
        <f>IF(AND(AN82&lt;AP86,AF82),AB79*AL85,AP86*AL85)</f>
        <v>0</v>
      </c>
      <c r="AU82" s="225"/>
      <c r="AV82" s="20">
        <f>IF(AF82,AL85-(AL85*AN82),IF(AF81,(1/6)*AL85,0))</f>
        <v>0</v>
      </c>
      <c r="AW82" s="225"/>
      <c r="AX82" s="20">
        <f t="shared" si="20"/>
        <v>0</v>
      </c>
      <c r="AY82" s="225"/>
      <c r="AZ82" s="20">
        <f>AV82*AP86</f>
        <v>0</v>
      </c>
      <c r="BA82" s="225"/>
      <c r="BB82" s="199">
        <f t="shared" si="21"/>
        <v>0</v>
      </c>
      <c r="BC82" s="225"/>
      <c r="BD82" s="20">
        <f t="shared" si="22"/>
        <v>1.5</v>
      </c>
      <c r="BE82" s="225"/>
      <c r="BF82" s="199"/>
      <c r="BG82" s="199"/>
      <c r="BH82" s="20">
        <f>IF(AB82&lt;0,BB82*BF80,BB82*BF79)</f>
        <v>0</v>
      </c>
      <c r="BI82" s="225"/>
      <c r="BJ82" s="199">
        <f>BH82+((BD82-BB82)*BF79)</f>
        <v>0.5</v>
      </c>
      <c r="BK82" s="225"/>
      <c r="BL82" s="18">
        <f>IF(AB81&gt;0,(BH82*AB81)+((BJ82-BH82)*V84),BJ82*V84)</f>
        <v>0.5</v>
      </c>
      <c r="BM82" s="225"/>
      <c r="BN82" s="18">
        <f>(AL84*Z82)+(AB80*BB82)</f>
        <v>0</v>
      </c>
      <c r="BO82" s="225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5"/>
      <c r="H83" s="87"/>
      <c r="I83" s="80"/>
      <c r="J83" s="191" t="s">
        <v>16</v>
      </c>
      <c r="K83" s="222" t="s">
        <v>17</v>
      </c>
      <c r="L83" s="222"/>
      <c r="M83" s="222"/>
      <c r="N83" s="222" t="s">
        <v>28</v>
      </c>
      <c r="O83" s="222"/>
      <c r="P83" s="5">
        <v>0</v>
      </c>
      <c r="Q83" s="222" t="s">
        <v>27</v>
      </c>
      <c r="R83" s="222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25"/>
      <c r="AT83" s="199">
        <f>IF(AND(AN83&lt;AP86,AF82),AB79*AL85,AP86*AL85)</f>
        <v>0</v>
      </c>
      <c r="AU83" s="225"/>
      <c r="AV83" s="20">
        <f>IF(AF82,AL85-(AL85*AN83),IF(AF81,(1/6)*AL85,0))</f>
        <v>0</v>
      </c>
      <c r="AW83" s="225"/>
      <c r="AX83" s="20">
        <f t="shared" si="20"/>
        <v>0</v>
      </c>
      <c r="AY83" s="225"/>
      <c r="AZ83" s="20">
        <f>AV83*AP86</f>
        <v>0</v>
      </c>
      <c r="BA83" s="225"/>
      <c r="BB83" s="199">
        <f t="shared" si="21"/>
        <v>0</v>
      </c>
      <c r="BC83" s="225"/>
      <c r="BD83" s="20">
        <f t="shared" si="22"/>
        <v>1.5</v>
      </c>
      <c r="BE83" s="225"/>
      <c r="BF83" s="199"/>
      <c r="BG83" s="199"/>
      <c r="BH83" s="20">
        <f>IF(AB82&lt;0,BB83*BF80,BB83*BF79)</f>
        <v>0</v>
      </c>
      <c r="BI83" s="225"/>
      <c r="BJ83" s="199">
        <f>BH83+((BD83-BB83)*BF79)</f>
        <v>0.5</v>
      </c>
      <c r="BK83" s="225"/>
      <c r="BL83" s="18">
        <f>IF(AB81&gt;0,(BH83*AB81)+((BJ83-BH83)*V84),BJ83*V84)</f>
        <v>0.5</v>
      </c>
      <c r="BM83" s="225"/>
      <c r="BN83" s="18">
        <f>(AL84*Z82)+(AB80*BB83)</f>
        <v>0</v>
      </c>
      <c r="BO83" s="225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5"/>
      <c r="H84" s="84"/>
      <c r="I84" s="223" t="s">
        <v>30</v>
      </c>
      <c r="J84" s="223"/>
      <c r="K84" s="223" t="s">
        <v>31</v>
      </c>
      <c r="L84" s="223"/>
      <c r="M84" s="223"/>
      <c r="N84" s="222" t="s">
        <v>29</v>
      </c>
      <c r="O84" s="222"/>
      <c r="P84" s="5">
        <v>0</v>
      </c>
      <c r="Q84" s="222" t="s">
        <v>45</v>
      </c>
      <c r="R84" s="222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25"/>
      <c r="AT84" s="199">
        <f>IF(AND(AN84&lt;AP86,AF82),AB79*AL85,AP86*AL85)</f>
        <v>0</v>
      </c>
      <c r="AU84" s="225"/>
      <c r="AV84" s="20">
        <f>IF(AF82,AL85-(AL85*AN84),IF(AF81,(1/6)*AL85,0))</f>
        <v>0</v>
      </c>
      <c r="AW84" s="225"/>
      <c r="AX84" s="20">
        <f t="shared" si="20"/>
        <v>0</v>
      </c>
      <c r="AY84" s="225"/>
      <c r="AZ84" s="20">
        <f>AV84*AP86</f>
        <v>0</v>
      </c>
      <c r="BA84" s="225"/>
      <c r="BB84" s="199">
        <f t="shared" si="21"/>
        <v>0</v>
      </c>
      <c r="BC84" s="225"/>
      <c r="BD84" s="20">
        <f t="shared" si="22"/>
        <v>0.75</v>
      </c>
      <c r="BE84" s="225"/>
      <c r="BF84" s="199"/>
      <c r="BG84" s="199"/>
      <c r="BH84" s="20">
        <f>IF(AB82&lt;0,BB84*BF80,BB84*BF79)</f>
        <v>0</v>
      </c>
      <c r="BI84" s="225"/>
      <c r="BJ84" s="199">
        <f>BH84+((BD84-BB84)*BF79)</f>
        <v>0.25</v>
      </c>
      <c r="BK84" s="225"/>
      <c r="BL84" s="18">
        <f>IF(AB81&gt;0,(BH84*AB81)+((BJ84-BH84)*V84),BJ84*V84)</f>
        <v>0.25</v>
      </c>
      <c r="BM84" s="225"/>
      <c r="BN84" s="18">
        <f>(AL84*Z82)+(AB80*BB84)</f>
        <v>0</v>
      </c>
      <c r="BO84" s="225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5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22" t="s">
        <v>26</v>
      </c>
      <c r="O85" s="222"/>
      <c r="P85" s="5">
        <v>0</v>
      </c>
      <c r="Q85" s="224" t="s">
        <v>58</v>
      </c>
      <c r="R85" s="224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65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3" t="s">
        <v>85</v>
      </c>
      <c r="B89" s="244"/>
      <c r="C89" s="244"/>
      <c r="D89" s="95"/>
      <c r="E89" s="96" t="s">
        <v>11</v>
      </c>
      <c r="F89" s="95" t="s">
        <v>7</v>
      </c>
      <c r="G89" s="247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5" t="s">
        <v>77</v>
      </c>
      <c r="W89" s="213"/>
      <c r="X89" s="213"/>
      <c r="Y89" s="213"/>
      <c r="Z89" s="213"/>
      <c r="AA89" s="213"/>
      <c r="AB89" s="213"/>
      <c r="AC89" s="213"/>
      <c r="AD89" s="213" t="s">
        <v>21</v>
      </c>
      <c r="AE89" s="213"/>
      <c r="AF89" s="213"/>
      <c r="AG89" s="213"/>
      <c r="AH89" s="213" t="s">
        <v>76</v>
      </c>
      <c r="AI89" s="213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5"/>
      <c r="B90" s="246"/>
      <c r="C90" s="246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8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5"/>
      <c r="B91" s="246"/>
      <c r="C91" s="246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8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5"/>
      <c r="B92" s="246"/>
      <c r="C92" s="246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8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5"/>
      <c r="B93" s="246"/>
      <c r="C93" s="246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8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5"/>
      <c r="B94" s="246"/>
      <c r="C94" s="246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8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8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8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8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6" t="s">
        <v>86</v>
      </c>
      <c r="B99" s="257"/>
      <c r="C99" s="257"/>
      <c r="D99" s="105"/>
      <c r="E99" s="106" t="s">
        <v>11</v>
      </c>
      <c r="F99" s="105" t="s">
        <v>7</v>
      </c>
      <c r="G99" s="260"/>
      <c r="I99" s="78" t="s">
        <v>13</v>
      </c>
      <c r="J99" s="78" t="s">
        <v>8</v>
      </c>
      <c r="U99" s="17"/>
      <c r="V99" s="219" t="s">
        <v>77</v>
      </c>
      <c r="W99" s="220"/>
      <c r="X99" s="220"/>
      <c r="Y99" s="220"/>
      <c r="Z99" s="220"/>
      <c r="AA99" s="220"/>
      <c r="AB99" s="220"/>
      <c r="AC99" s="220"/>
      <c r="AD99" s="220" t="s">
        <v>21</v>
      </c>
      <c r="AE99" s="220"/>
      <c r="AF99" s="220"/>
      <c r="AG99" s="220"/>
      <c r="AH99" s="220" t="s">
        <v>76</v>
      </c>
      <c r="AI99" s="220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8"/>
      <c r="B100" s="259"/>
      <c r="C100" s="259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61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8"/>
      <c r="B101" s="259"/>
      <c r="C101" s="259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61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8"/>
      <c r="B102" s="259"/>
      <c r="C102" s="259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61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8"/>
      <c r="B103" s="259"/>
      <c r="C103" s="259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61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8"/>
      <c r="B104" s="259"/>
      <c r="C104" s="259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61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6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61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61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9" t="s">
        <v>87</v>
      </c>
      <c r="B109" s="250"/>
      <c r="C109" s="250"/>
      <c r="D109" s="141"/>
      <c r="E109" s="142" t="s">
        <v>11</v>
      </c>
      <c r="F109" s="141" t="s">
        <v>7</v>
      </c>
      <c r="G109" s="253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9" t="s">
        <v>77</v>
      </c>
      <c r="W109" s="220"/>
      <c r="X109" s="220"/>
      <c r="Y109" s="220"/>
      <c r="Z109" s="220"/>
      <c r="AA109" s="220"/>
      <c r="AB109" s="220"/>
      <c r="AC109" s="220"/>
      <c r="AD109" s="220" t="s">
        <v>21</v>
      </c>
      <c r="AE109" s="220"/>
      <c r="AF109" s="220"/>
      <c r="AG109" s="220"/>
      <c r="AH109" s="220" t="s">
        <v>76</v>
      </c>
      <c r="AI109" s="220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51"/>
      <c r="B110" s="252"/>
      <c r="C110" s="252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4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51"/>
      <c r="B111" s="252"/>
      <c r="C111" s="252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4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51"/>
      <c r="B112" s="252"/>
      <c r="C112" s="252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4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51"/>
      <c r="B113" s="252"/>
      <c r="C113" s="252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4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51"/>
      <c r="B114" s="252"/>
      <c r="C114" s="252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4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4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4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4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0.1</v>
      </c>
      <c r="CR141" s="138">
        <f>IFERROR(E36,"")</f>
        <v>1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GK Calcs</vt:lpstr>
      <vt:lpstr>Hood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2018-01-22T16:56:54Z</dcterms:modified>
</cp:coreProperties>
</file>