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BF30" i="26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1" i="26"/>
  <c r="AX31" i="26" s="1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Z81" i="26"/>
  <c r="AZ69" i="26"/>
  <c r="AN69" i="26"/>
  <c r="AN73" i="26"/>
  <c r="AN70" i="26"/>
  <c r="AZ71" i="26"/>
  <c r="AN72" i="26"/>
  <c r="AZ82" i="26"/>
  <c r="AZ83" i="26"/>
  <c r="AZ80" i="26"/>
  <c r="AX79" i="26"/>
  <c r="AX83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P36" i="25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BF30" i="25"/>
  <c r="AB30" i="25"/>
  <c r="Z30" i="25"/>
  <c r="Y30" i="25"/>
  <c r="X30" i="25"/>
  <c r="V30" i="25"/>
  <c r="AB29" i="25"/>
  <c r="Z29" i="25"/>
  <c r="Y29" i="25"/>
  <c r="V29" i="25"/>
  <c r="I28" i="25"/>
  <c r="B28" i="25"/>
  <c r="AL32" i="26" l="1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J33" i="25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29" i="25"/>
  <c r="AJ34" i="25" s="1"/>
  <c r="AJ30" i="25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J31" i="25"/>
  <c r="AJ35" i="25"/>
  <c r="AJ32" i="25"/>
  <c r="AJ36" i="25" s="1"/>
  <c r="AL30" i="25" s="1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L35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BN64" i="26" l="1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T31" i="25"/>
  <c r="AR33" i="25"/>
  <c r="AR29" i="25"/>
  <c r="AT34" i="25"/>
  <c r="AT30" i="25"/>
  <c r="AR32" i="25"/>
  <c r="AT33" i="25"/>
  <c r="AT29" i="25"/>
  <c r="AR31" i="25"/>
  <c r="AT32" i="25"/>
  <c r="AR34" i="25"/>
  <c r="AR30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BP64" i="26" l="1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BD33" i="25" s="1"/>
  <c r="AZ30" i="25"/>
  <c r="BB30" i="25" s="1"/>
  <c r="BH30" i="25" s="1"/>
  <c r="AX30" i="25"/>
  <c r="BD30" i="25" s="1"/>
  <c r="AZ32" i="25"/>
  <c r="BB32" i="25" s="1"/>
  <c r="AX32" i="25"/>
  <c r="BD32" i="25" s="1"/>
  <c r="AZ34" i="25"/>
  <c r="BB34" i="25" s="1"/>
  <c r="AX34" i="25"/>
  <c r="BD34" i="25"/>
  <c r="BD29" i="25"/>
  <c r="AZ29" i="25"/>
  <c r="BB29" i="25" s="1"/>
  <c r="BH29" i="25" s="1"/>
  <c r="AX29" i="25"/>
  <c r="AZ31" i="25"/>
  <c r="BB31" i="25" s="1"/>
  <c r="AX31" i="25"/>
  <c r="BD31" i="25" s="1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R59" i="26" l="1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30" i="25"/>
  <c r="BL30" i="25" s="1"/>
  <c r="BJ29" i="25"/>
  <c r="BL29" i="25" s="1"/>
  <c r="BH34" i="25"/>
  <c r="BJ34" i="25" s="1"/>
  <c r="BL34" i="25" s="1"/>
  <c r="BP34" i="25" s="1"/>
  <c r="BN34" i="25"/>
  <c r="BH33" i="25"/>
  <c r="BJ33" i="25" s="1"/>
  <c r="BL33" i="25" s="1"/>
  <c r="BN33" i="25"/>
  <c r="BH32" i="25"/>
  <c r="BJ32" i="25" s="1"/>
  <c r="BL32" i="25" s="1"/>
  <c r="E32" i="25" s="1"/>
  <c r="F32" i="25" s="1"/>
  <c r="BN32" i="25"/>
  <c r="BH31" i="25"/>
  <c r="BJ31" i="25" s="1"/>
  <c r="BL31" i="25" s="1"/>
  <c r="BN31" i="25"/>
  <c r="BN29" i="25"/>
  <c r="E29" i="25" s="1"/>
  <c r="F29" i="25" s="1"/>
  <c r="BN30" i="25"/>
  <c r="BP30" i="25" s="1"/>
  <c r="E30" i="25"/>
  <c r="F30" i="25" s="1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AH100" i="26" l="1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1" i="25"/>
  <c r="F31" i="25" s="1"/>
  <c r="E34" i="25"/>
  <c r="F34" i="25" s="1"/>
  <c r="BP31" i="25"/>
  <c r="E33" i="25"/>
  <c r="F33" i="25" s="1"/>
  <c r="BP33" i="25"/>
  <c r="BP29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CR148" i="26" l="1"/>
  <c r="F97" i="26"/>
  <c r="CQ147" i="26" s="1"/>
  <c r="CR147" i="26"/>
  <c r="F117" i="26"/>
  <c r="CQ149" i="26" s="1"/>
  <c r="CR144" i="25"/>
  <c r="BR29" i="25"/>
  <c r="BR30" i="25" s="1"/>
  <c r="E36" i="25" s="1"/>
  <c r="F36" i="25" s="1"/>
  <c r="CQ141" i="25" s="1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<sst xmlns="http://schemas.openxmlformats.org/spreadsheetml/2006/main" count="1731" uniqueCount="135">
  <si>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</si>
  <si>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</si>
  <si>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</si>
  <si>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</si>
  <si>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</si>
  <si>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</si>
  <si>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</si>
  <si>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</si>
  <si>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</si>
  <si>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</si>
  <si>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</si>
  <si>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</si>
  <si>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</si>
  <si>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</si>
  <si>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</si>
  <si>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</si>
  <si>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</si>
  <si>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</si>
  <si>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</si>
  <si>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</si>
  <si>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</si>
  <si>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</si>
  <si>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</si>
  <si>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</si>
  <si>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</si>
  <si>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</si>
  <si>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</si>
  <si>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</si>
  <si>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</si>
  <si>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</si>
  <si>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</si>
  <si>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</si>
  <si>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</si>
  <si>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</si>
  <si>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</si>
  <si>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</si>
  <si>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</si>
  <si>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</si>
  <si>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</si>
  <si>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</si>
  <si>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</si>
  <si>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</si>
  <si>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</si>
  <si>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</si>
  <si>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</si>
  <si>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</si>
  <si>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</si>
  <si>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</si>
  <si>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</si>
  <si>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</si>
  <si>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</si>
  <si>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</si>
  <si>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</si>
  <si>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</si>
  <si>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</si>
  <si>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</si>
  <si>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</si>
  <si>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</si>
  <si>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</si>
  <si>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</si>
  <si>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</si>
  <si>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</si>
  <si>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</si>
  <si>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</si>
  <si>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</si>
  <si>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</si>
  <si>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</si>
  <si>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</si>
  <si>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</si>
  <si>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</si>
  <si>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</si>
  <si>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</si>
  <si>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</si>
  <si>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</si>
  <si>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</si>
  <si>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</si>
  <si>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</si>
  <si>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</si>
  <si>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</si>
  <si>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</si>
  <si>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</si>
  <si>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</si>
  <si>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</si>
  <si>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</si>
  <si>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</si>
  <si>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</si>
  <si>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</si>
  <si>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</si>
  <si>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</si>
  <si>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</si>
  <si>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</si>
  <si>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</si>
  <si>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</si>
  <si>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</si>
  <si>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</si>
  <si>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</si>
  <si>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</si>
  <si>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</si>
  <si>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</si>
  <si>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</si>
  <si>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</si>
  <si>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</si>
  <si>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</si>
  <si>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</si>
  <si>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</si>
  <si>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</si>
  <si>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</si>
  <si>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</si>
  <si>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</si>
  <si>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</si>
  <si>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</si>
  <si>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</si>
  <si>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</si>
  <si>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</si>
  <si>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</si>
  <si>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</si>
  <si>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</si>
  <si>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</si>
  <si>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</si>
  <si>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</si>
  <si>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</si>
  <si>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</si>
  <si>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</si>
  <si>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</si>
  <si>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</si>
  <si>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</si>
  <si>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</si>
  <si>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</si>
  <si>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</si>
  <si>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SBs</t>
  </si>
  <si>
    <t>Twin Lascannon</t>
  </si>
  <si>
    <t>D6</t>
  </si>
  <si>
    <t>DCW</t>
  </si>
  <si>
    <t>Chaplain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</si>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</sst>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5" fillId="4" borderId="11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 vertical="top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DCW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Twin Lascannon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0.10534979423868313</c:v>
                </c:pt>
                <c:pt idx="1">
                  <c:v>7.9012345679012358E-2</c:v>
                </c:pt>
                <c:pt idx="2">
                  <c:v>5.2674897119341563E-2</c:v>
                </c:pt>
                <c:pt idx="3">
                  <c:v>5.2674897119341563E-2</c:v>
                </c:pt>
                <c:pt idx="4">
                  <c:v>5.2674897119341563E-2</c:v>
                </c:pt>
                <c:pt idx="5">
                  <c:v>1.8106995884773661E-2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0.11099353321575546</c:v>
                </c:pt>
                <c:pt idx="1">
                  <c:v>8.3245149911816599E-2</c:v>
                </c:pt>
                <c:pt idx="2">
                  <c:v>5.549676660787773E-2</c:v>
                </c:pt>
                <c:pt idx="3">
                  <c:v>5.549676660787773E-2</c:v>
                </c:pt>
                <c:pt idx="4">
                  <c:v>5.549676660787773E-2</c:v>
                </c:pt>
                <c:pt idx="5">
                  <c:v>2.7748383303938865E-2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74272"/>
        <c:axId val="436674664"/>
      </c:scatterChart>
      <c:valAx>
        <c:axId val="43667427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4664"/>
        <c:crosses val="autoZero"/>
        <c:crossBetween val="midCat"/>
        <c:majorUnit val="1"/>
        <c:minorUnit val="1"/>
      </c:valAx>
      <c:valAx>
        <c:axId val="436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DCW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Twin Lascannon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11.061728395061728</c:v>
                </c:pt>
                <c:pt idx="1">
                  <c:v>8.2962962962962976</c:v>
                </c:pt>
                <c:pt idx="2">
                  <c:v>5.5308641975308639</c:v>
                </c:pt>
                <c:pt idx="3">
                  <c:v>5.5308641975308639</c:v>
                </c:pt>
                <c:pt idx="4">
                  <c:v>5.5308641975308639</c:v>
                </c:pt>
                <c:pt idx="5">
                  <c:v>1.9012345679012346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11.654320987654323</c:v>
                </c:pt>
                <c:pt idx="1">
                  <c:v>8.7407407407407423</c:v>
                </c:pt>
                <c:pt idx="2">
                  <c:v>5.8271604938271615</c:v>
                </c:pt>
                <c:pt idx="3">
                  <c:v>5.8271604938271615</c:v>
                </c:pt>
                <c:pt idx="4">
                  <c:v>5.8271604938271615</c:v>
                </c:pt>
                <c:pt idx="5">
                  <c:v>2.9135802469135808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75056"/>
        <c:axId val="436673488"/>
      </c:scatterChart>
      <c:valAx>
        <c:axId val="43667505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3488"/>
        <c:crosses val="autoZero"/>
        <c:crossBetween val="midCat"/>
        <c:majorUnit val="1"/>
        <c:minorUnit val="1"/>
      </c:valAx>
      <c:valAx>
        <c:axId val="4366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checked="Checked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checked="Checked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checked="Checked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checked="Checked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checked="Checked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fmlaLink="$AF$46" lockText="1" noThreeD="1"/>
</file>

<file path=xl/ctrlProps/ctrlProp84.xml><?xml version="1.0" encoding="utf-8"?>
<formControlPr xmlns="http://schemas.microsoft.com/office/spreadsheetml/2009/9/main" objectType="CheckBox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checked="Checked" fmlaLink="$AH$39" lockText="1" noThreeD="1"/>
</file>

<file path=xl/ctrlProps/ctrlProp87.xml><?xml version="1.0" encoding="utf-8"?>
<formControlPr xmlns="http://schemas.microsoft.com/office/spreadsheetml/2009/9/main" objectType="CheckBox" checked="Checked" fmlaLink="$AH$49" lockText="1" noThreeD="1"/>
</file>

<file path=xl/ctrlProps/ctrlProp88.xml><?xml version="1.0" encoding="utf-8"?>
<formControlPr xmlns="http://schemas.microsoft.com/office/spreadsheetml/2009/9/main" objectType="CheckBox" checked="Checked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="" xmlns:a16="http://schemas.microsoft.com/office/drawing/2014/main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="" xmlns:a16="http://schemas.microsoft.com/office/drawing/2014/main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="" xmlns:a16="http://schemas.microsoft.com/office/drawing/2014/main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="" xmlns:a16="http://schemas.microsoft.com/office/drawing/2014/main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="" xmlns:a16="http://schemas.microsoft.com/office/drawing/2014/main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="" xmlns:a16="http://schemas.microsoft.com/office/drawing/2014/main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="" xmlns:a16="http://schemas.microsoft.com/office/drawing/2014/main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="" xmlns:a16="http://schemas.microsoft.com/office/drawing/2014/main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="" xmlns:a16="http://schemas.microsoft.com/office/drawing/2014/main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="" xmlns:a16="http://schemas.microsoft.com/office/drawing/2014/main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="" xmlns:a16="http://schemas.microsoft.com/office/drawing/2014/main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="" xmlns:a16="http://schemas.microsoft.com/office/drawing/2014/main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="" xmlns:a16="http://schemas.microsoft.com/office/drawing/2014/main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="" xmlns:a16="http://schemas.microsoft.com/office/drawing/2014/main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="" xmlns:a16="http://schemas.microsoft.com/office/drawing/2014/main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="" xmlns:a16="http://schemas.microsoft.com/office/drawing/2014/main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="" xmlns:a16="http://schemas.microsoft.com/office/drawing/2014/main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="" xmlns:a16="http://schemas.microsoft.com/office/drawing/2014/main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="" xmlns:a16="http://schemas.microsoft.com/office/drawing/2014/main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="" xmlns:a16="http://schemas.microsoft.com/office/drawing/2014/main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="" xmlns:a16="http://schemas.microsoft.com/office/drawing/2014/main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="" xmlns:a16="http://schemas.microsoft.com/office/drawing/2014/main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="" xmlns:a16="http://schemas.microsoft.com/office/drawing/2014/main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="" xmlns:a16="http://schemas.microsoft.com/office/drawing/2014/main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="" xmlns:a16="http://schemas.microsoft.com/office/drawing/2014/main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="" xmlns:a16="http://schemas.microsoft.com/office/drawing/2014/main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="" xmlns:a16="http://schemas.microsoft.com/office/drawing/2014/main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="" xmlns:a16="http://schemas.microsoft.com/office/drawing/2014/main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="" xmlns:a16="http://schemas.microsoft.com/office/drawing/2014/main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="" xmlns:a16="http://schemas.microsoft.com/office/drawing/2014/main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="" xmlns:a16="http://schemas.microsoft.com/office/drawing/2014/main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="" xmlns:a16="http://schemas.microsoft.com/office/drawing/2014/main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="" xmlns:a16="http://schemas.microsoft.com/office/drawing/2014/main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="" xmlns:a16="http://schemas.microsoft.com/office/drawing/2014/main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="" xmlns:a16="http://schemas.microsoft.com/office/drawing/2014/main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="" xmlns:a16="http://schemas.microsoft.com/office/drawing/2014/main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="" xmlns:a16="http://schemas.microsoft.com/office/drawing/2014/main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="" xmlns:a16="http://schemas.microsoft.com/office/drawing/2014/main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="" xmlns:a16="http://schemas.microsoft.com/office/drawing/2014/main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="" xmlns:a16="http://schemas.microsoft.com/office/drawing/2014/main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="" xmlns:a16="http://schemas.microsoft.com/office/drawing/2014/main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="" xmlns:a16="http://schemas.microsoft.com/office/drawing/2014/main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="" xmlns:a16="http://schemas.microsoft.com/office/drawing/2014/main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="" xmlns:a16="http://schemas.microsoft.com/office/drawing/2014/main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="" xmlns:a16="http://schemas.microsoft.com/office/drawing/2014/main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="" xmlns:a16="http://schemas.microsoft.com/office/drawing/2014/main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="" xmlns:a16="http://schemas.microsoft.com/office/drawing/2014/main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="" xmlns:a16="http://schemas.microsoft.com/office/drawing/2014/main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="" xmlns:a16="http://schemas.microsoft.com/office/drawing/2014/main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="" xmlns:a16="http://schemas.microsoft.com/office/drawing/2014/main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="" xmlns:a16="http://schemas.microsoft.com/office/drawing/2014/main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="" xmlns:a16="http://schemas.microsoft.com/office/drawing/2014/main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="" xmlns:a16="http://schemas.microsoft.com/office/drawing/2014/main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="" xmlns:a16="http://schemas.microsoft.com/office/drawing/2014/main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="" xmlns:a16="http://schemas.microsoft.com/office/drawing/2014/main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="" xmlns:a16="http://schemas.microsoft.com/office/drawing/2014/main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="" xmlns:a16="http://schemas.microsoft.com/office/drawing/2014/main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="" xmlns:a16="http://schemas.microsoft.com/office/drawing/2014/main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="" xmlns:a16="http://schemas.microsoft.com/office/drawing/2014/main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="" xmlns:a16="http://schemas.microsoft.com/office/drawing/2014/main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="" xmlns:a16="http://schemas.microsoft.com/office/drawing/2014/main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="" xmlns:a16="http://schemas.microsoft.com/office/drawing/2014/main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="" xmlns:a16="http://schemas.microsoft.com/office/drawing/2014/main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="" xmlns:a16="http://schemas.microsoft.com/office/drawing/2014/main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="" xmlns:a16="http://schemas.microsoft.com/office/drawing/2014/main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="" xmlns:a16="http://schemas.microsoft.com/office/drawing/2014/main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="" xmlns:a16="http://schemas.microsoft.com/office/drawing/2014/main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="" xmlns:a16="http://schemas.microsoft.com/office/drawing/2014/main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="" xmlns:a16="http://schemas.microsoft.com/office/drawing/2014/main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="" xmlns:a16="http://schemas.microsoft.com/office/drawing/2014/main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="" xmlns:a16="http://schemas.microsoft.com/office/drawing/2014/main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="" xmlns:a16="http://schemas.microsoft.com/office/drawing/2014/main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="" xmlns:a16="http://schemas.microsoft.com/office/drawing/2014/main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="" xmlns:a16="http://schemas.microsoft.com/office/drawing/2014/main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="" xmlns:a16="http://schemas.microsoft.com/office/drawing/2014/main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="" xmlns:a16="http://schemas.microsoft.com/office/drawing/2014/main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="" xmlns:a16="http://schemas.microsoft.com/office/drawing/2014/main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="" xmlns:a16="http://schemas.microsoft.com/office/drawing/2014/main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="" xmlns:a16="http://schemas.microsoft.com/office/drawing/2014/main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="" xmlns:a16="http://schemas.microsoft.com/office/drawing/2014/main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="" xmlns:a16="http://schemas.microsoft.com/office/drawing/2014/main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="" xmlns:a16="http://schemas.microsoft.com/office/drawing/2014/main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="" xmlns:a16="http://schemas.microsoft.com/office/drawing/2014/main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="" xmlns:a16="http://schemas.microsoft.com/office/drawing/2014/main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="" xmlns:a16="http://schemas.microsoft.com/office/drawing/2014/main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="" xmlns:a16="http://schemas.microsoft.com/office/drawing/2014/main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="" xmlns:a16="http://schemas.microsoft.com/office/drawing/2014/main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="" xmlns:a16="http://schemas.microsoft.com/office/drawing/2014/main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="" xmlns:a16="http://schemas.microsoft.com/office/drawing/2014/main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="" xmlns:a16="http://schemas.microsoft.com/office/drawing/2014/main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="" xmlns:a16="http://schemas.microsoft.com/office/drawing/2014/main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="" xmlns:a16="http://schemas.microsoft.com/office/drawing/2014/main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="" xmlns:a16="http://schemas.microsoft.com/office/drawing/2014/main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="" xmlns:a16="http://schemas.microsoft.com/office/drawing/2014/main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="" xmlns:a16="http://schemas.microsoft.com/office/drawing/2014/main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="" xmlns:a16="http://schemas.microsoft.com/office/drawing/2014/main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="" xmlns:a16="http://schemas.microsoft.com/office/drawing/2014/main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="" xmlns:a16="http://schemas.microsoft.com/office/drawing/2014/main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="" xmlns:a16="http://schemas.microsoft.com/office/drawing/2014/main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="" xmlns:a16="http://schemas.microsoft.com/office/drawing/2014/main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="" xmlns:a16="http://schemas.microsoft.com/office/drawing/2014/main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="" xmlns:a16="http://schemas.microsoft.com/office/drawing/2014/main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="" xmlns:a16="http://schemas.microsoft.com/office/drawing/2014/main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="" xmlns:a16="http://schemas.microsoft.com/office/drawing/2014/main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="" xmlns:a16="http://schemas.microsoft.com/office/drawing/2014/main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="" xmlns:a16="http://schemas.microsoft.com/office/drawing/2014/main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="" xmlns:a16="http://schemas.microsoft.com/office/drawing/2014/main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="" xmlns:a16="http://schemas.microsoft.com/office/drawing/2014/main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="" xmlns:a16="http://schemas.microsoft.com/office/drawing/2014/main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=""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=""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=""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=""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=""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=""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=""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=""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=""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=""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=""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=""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=""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=""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=""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=""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=""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=""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=""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=""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=""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=""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=""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=""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=""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=""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=""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=""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=""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=""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=""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=""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=""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=""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=""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=""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=""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=""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=""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=""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=""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=""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=""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=""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=""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=""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=""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=""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=""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=""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=""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=""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=""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=""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=""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=""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=""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=""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=""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=""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=""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=""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=""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=""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=""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=""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=""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=""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=""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=""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=""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=""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=""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=""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=""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=""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=""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=""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=""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=""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=""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=""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=""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=""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=""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=""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=""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=""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=""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=""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=""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=""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=""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=""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=""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=""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=""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=""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=""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=""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=""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=""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=""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=""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=""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=""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=""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27" zoomScale="75" zoomScaleNormal="75" workbookViewId="0">
      <pane xSplit="20" topLeftCell="U1" activePane="topRight" state="frozen"/>
      <selection activeCell="A27" sqref="A27"/>
      <selection pane="topRight" activeCell="I101" sqref="I101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DCW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DCW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200"/>
      <c r="AI28" s="200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00"/>
      <c r="BG28" s="200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1"/>
      <c r="CR28" s="93"/>
    </row>
    <row r="29" spans="1:165" ht="15" customHeight="1">
      <c r="A29" s="121"/>
      <c r="B29" s="212"/>
      <c r="C29" s="212"/>
      <c r="D29" s="54" t="s">
        <v>1</v>
      </c>
      <c r="E29" s="164" t="e">
        <f>IF(AND(AD29,AF36),BL29+BN29,NA())</f>
        <v>#N/A</v>
      </c>
      <c r="F29" s="30" t="e">
        <f>IFERROR(E29/P30,NA())</f>
        <v>#N/A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0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0.83333333333333337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0.83333333333333337</v>
      </c>
      <c r="AO29" s="20" t="s">
        <v>90</v>
      </c>
      <c r="AP29" s="20">
        <f>IF((AN29+X30)&gt;5/6,5/6,AN29+X30)</f>
        <v>0.83333333333333337</v>
      </c>
      <c r="AQ29" s="20" t="s">
        <v>96</v>
      </c>
      <c r="AR29" s="21">
        <f>IF(AND(AF32,X30&gt;=0),AL35*AN29,AL35*AP29)</f>
        <v>2.7777777777777781</v>
      </c>
      <c r="AS29" s="220" t="s">
        <v>121</v>
      </c>
      <c r="AT29" s="203">
        <f>IF(AND(AN29&lt;AP36,AF32),AB29*AL35,AP36*AL35)</f>
        <v>0</v>
      </c>
      <c r="AU29" s="220" t="s">
        <v>109</v>
      </c>
      <c r="AV29" s="20">
        <f>IF(AF32,AL35-(AL35*AN29),IF(AF31,(1/6)*AL35,0))</f>
        <v>0</v>
      </c>
      <c r="AW29" s="220" t="s">
        <v>60</v>
      </c>
      <c r="AX29" s="20">
        <f t="shared" ref="AX29:AX34" si="0">AV29*AP29</f>
        <v>0</v>
      </c>
      <c r="AY29" s="220" t="s">
        <v>122</v>
      </c>
      <c r="AZ29" s="20">
        <f>AV29*AP36</f>
        <v>0</v>
      </c>
      <c r="BA29" s="220" t="s">
        <v>110</v>
      </c>
      <c r="BB29" s="203">
        <f t="shared" ref="BB29:BB34" si="1">AT29+AZ29</f>
        <v>0</v>
      </c>
      <c r="BC29" s="220" t="s">
        <v>117</v>
      </c>
      <c r="BD29" s="20">
        <f t="shared" ref="BD29:BD34" si="2">SUM(AR29,AX29)</f>
        <v>2.7777777777777781</v>
      </c>
      <c r="BE29" s="220" t="s">
        <v>63</v>
      </c>
      <c r="BF29" s="203">
        <f>IF((1-(V29+V33))&gt;1,1,1-(V29+V33))</f>
        <v>0.83333333333333337</v>
      </c>
      <c r="BG29" s="203" t="s">
        <v>105</v>
      </c>
      <c r="BH29" s="20">
        <f>IF(AB32&lt;0,BB29*BF30,BB29*BF29)</f>
        <v>0</v>
      </c>
      <c r="BI29" s="220" t="s">
        <v>102</v>
      </c>
      <c r="BJ29" s="203">
        <f>BH29+((BD29-BB29)*BF29)</f>
        <v>2.3148148148148153</v>
      </c>
      <c r="BK29" s="220" t="s">
        <v>103</v>
      </c>
      <c r="BL29" s="18">
        <f>IF(AB31&gt;0,(BH29*AB31)+((BJ29-BH29)*V34),BJ29*V34)</f>
        <v>6.9444444444444464</v>
      </c>
      <c r="BM29" s="220" t="s">
        <v>65</v>
      </c>
      <c r="BN29" s="18">
        <f>(AL34*Z32)+(AB30*BB29)</f>
        <v>0</v>
      </c>
      <c r="BO29" s="220" t="s">
        <v>64</v>
      </c>
      <c r="BP29" s="203" t="e">
        <f>IF(AD29,BL29+BN29,NA())</f>
        <v>#N/A</v>
      </c>
      <c r="BQ29" s="123" t="s">
        <v>46</v>
      </c>
      <c r="BR29" s="18">
        <f>IFERROR(IF(AD29,BP29,0)+IF(AD30,BP30,0)+IF(AD31,BP31,0)+IF(AD32,BP32,0)+IF(AD33,BP33,0)+IF(AD34,BP34,0),NA())</f>
        <v>25.000000000000007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 t="e">
        <f>IF(AND(AD30,AF36),BL30+BN30,NA())</f>
        <v>#N/A</v>
      </c>
      <c r="F30" s="30" t="e">
        <f>IFERROR(E30/P30,NA())</f>
        <v>#N/A</v>
      </c>
      <c r="G30" s="214"/>
      <c r="H30" s="84"/>
      <c r="I30" s="5" t="s">
        <v>132</v>
      </c>
      <c r="J30" s="5" t="s">
        <v>20</v>
      </c>
      <c r="K30" s="5" t="s">
        <v>108</v>
      </c>
      <c r="L30" s="5">
        <v>4</v>
      </c>
      <c r="M30" s="5">
        <v>12</v>
      </c>
      <c r="N30" s="5">
        <v>-3</v>
      </c>
      <c r="O30" s="5">
        <v>3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0.83333333333333337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0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0.83333333333333337</v>
      </c>
      <c r="AO30" s="20" t="s">
        <v>91</v>
      </c>
      <c r="AP30" s="20">
        <f>IF((AN30+X30)&gt;5/6,5/6,AN30+X30)</f>
        <v>0.83333333333333337</v>
      </c>
      <c r="AQ30" s="20" t="s">
        <v>97</v>
      </c>
      <c r="AR30" s="21">
        <f>IF(AND(AF32,X30&gt;=0),AL35*AN30,AL35*AP30)</f>
        <v>2.7777777777777781</v>
      </c>
      <c r="AS30" s="220"/>
      <c r="AT30" s="203">
        <f>IF(AND(AN30&lt;AP36,AF32),AB29*AL35,AP36*AL35)</f>
        <v>0</v>
      </c>
      <c r="AU30" s="220"/>
      <c r="AV30" s="20">
        <f>IF(AF32,AL35-(AL35*AN30),IF(AF31,(1/6)*AL35,0))</f>
        <v>0</v>
      </c>
      <c r="AW30" s="220"/>
      <c r="AX30" s="20">
        <f t="shared" si="0"/>
        <v>0</v>
      </c>
      <c r="AY30" s="220"/>
      <c r="AZ30" s="20">
        <f>AV30*AP36</f>
        <v>0</v>
      </c>
      <c r="BA30" s="220"/>
      <c r="BB30" s="203">
        <f t="shared" si="1"/>
        <v>0</v>
      </c>
      <c r="BC30" s="220"/>
      <c r="BD30" s="20">
        <f t="shared" si="2"/>
        <v>2.7777777777777781</v>
      </c>
      <c r="BE30" s="220"/>
      <c r="BF30" s="203">
        <f>IF((1-(V29+AB32))&gt;1,1,1-(V29+AB32))</f>
        <v>0.33333333333333337</v>
      </c>
      <c r="BG30" s="203" t="s">
        <v>104</v>
      </c>
      <c r="BH30" s="20">
        <f>IF(AB32&lt;0,BB30*BF30,BB30*BF29)</f>
        <v>0</v>
      </c>
      <c r="BI30" s="220"/>
      <c r="BJ30" s="203">
        <f>BH30+((BD30-BB30)*BF29)</f>
        <v>2.3148148148148153</v>
      </c>
      <c r="BK30" s="220"/>
      <c r="BL30" s="18">
        <f>IF(AB31&gt;0,(BH30*AB31)+((BJ30-BH30)*V34),BJ30*V34)</f>
        <v>6.9444444444444464</v>
      </c>
      <c r="BM30" s="220"/>
      <c r="BN30" s="18">
        <f>(AL34*Z32)+(AB30*BB30)</f>
        <v>0</v>
      </c>
      <c r="BO30" s="220"/>
      <c r="BP30" s="203" t="e">
        <f t="shared" ref="BP30:BP34" si="3">IF(AD30,BL30+BN30,NA())</f>
        <v>#N/A</v>
      </c>
      <c r="BQ30" s="123" t="s">
        <v>47</v>
      </c>
      <c r="BR30" s="18">
        <f>IFERROR(BR29/AD35,NA())</f>
        <v>6.2500000000000018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 t="e">
        <f>IF(AND(AD31,AF36),BL31+BN31,NA())</f>
        <v>#N/A</v>
      </c>
      <c r="F31" s="30" t="e">
        <f>IFERROR(E31/P30,NA())</f>
        <v>#N/A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4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3.3333333333333335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0.83333333333333337</v>
      </c>
      <c r="AO31" s="20" t="s">
        <v>92</v>
      </c>
      <c r="AP31" s="20">
        <f>IF((AN31+X30)&gt;5/6,5/6,AN31+X30)</f>
        <v>0.83333333333333337</v>
      </c>
      <c r="AQ31" s="20" t="s">
        <v>98</v>
      </c>
      <c r="AR31" s="21">
        <f>IF(AND(AF32,X30&gt;=0),AL35*AN31,AL35*AP31)</f>
        <v>2.7777777777777781</v>
      </c>
      <c r="AS31" s="220"/>
      <c r="AT31" s="203">
        <f>IF(AND(AN31&lt;AP36,AF32),AB29*AL35,AP36*AL35)</f>
        <v>0</v>
      </c>
      <c r="AU31" s="220"/>
      <c r="AV31" s="20">
        <f>IF(AF32,AL35-(AL35*AN31),IF(AF31,(1/6)*AL35,0))</f>
        <v>0</v>
      </c>
      <c r="AW31" s="220"/>
      <c r="AX31" s="20">
        <f t="shared" si="0"/>
        <v>0</v>
      </c>
      <c r="AY31" s="220"/>
      <c r="AZ31" s="20">
        <f>AV31*AP36</f>
        <v>0</v>
      </c>
      <c r="BA31" s="220"/>
      <c r="BB31" s="203">
        <f t="shared" si="1"/>
        <v>0</v>
      </c>
      <c r="BC31" s="220"/>
      <c r="BD31" s="20">
        <f t="shared" si="2"/>
        <v>2.7777777777777781</v>
      </c>
      <c r="BE31" s="220"/>
      <c r="BF31" s="203"/>
      <c r="BG31" s="203"/>
      <c r="BH31" s="20">
        <f>IF(AB32&lt;0,BB31*BF30,BB31*BF29)</f>
        <v>0</v>
      </c>
      <c r="BI31" s="220"/>
      <c r="BJ31" s="203">
        <f>BH31+((BD31-BB31)*BF29)</f>
        <v>2.3148148148148153</v>
      </c>
      <c r="BK31" s="220"/>
      <c r="BL31" s="18">
        <f>IF(AB31&gt;0,(BH31*AB31)+((BJ31-BH31)*V34),BJ31*V34)</f>
        <v>6.9444444444444464</v>
      </c>
      <c r="BM31" s="220"/>
      <c r="BN31" s="18">
        <f>(AL34*Z32)+(AB30*BB31)</f>
        <v>0</v>
      </c>
      <c r="BO31" s="220"/>
      <c r="BP31" s="203">
        <f t="shared" si="3"/>
        <v>6.9444444444444464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 t="e">
        <f>IF(AND(AD32,AF36),BL32+BN32,NA())</f>
        <v>#N/A</v>
      </c>
      <c r="F32" s="30" t="e">
        <f>IFERROR(E32/P30,NA())</f>
        <v>#N/A</v>
      </c>
      <c r="G32" s="214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12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0.83333333333333337</v>
      </c>
      <c r="AO32" s="20" t="s">
        <v>93</v>
      </c>
      <c r="AP32" s="20">
        <f>IF((AN32+X30)&gt;5/6,5/6,AN32+X30)</f>
        <v>0.83333333333333337</v>
      </c>
      <c r="AQ32" s="20" t="s">
        <v>99</v>
      </c>
      <c r="AR32" s="21">
        <f>IF(AND(AF32,X30&gt;=0),AL35*AN32,AL35*AP32)</f>
        <v>2.7777777777777781</v>
      </c>
      <c r="AS32" s="220"/>
      <c r="AT32" s="203">
        <f>IF(AND(AN32&lt;AP36,AF32),AB29*AL35,AP36*AL35)</f>
        <v>0</v>
      </c>
      <c r="AU32" s="220"/>
      <c r="AV32" s="20">
        <f>IF(AF32,AL35-(AL35*AN32),IF(AF31,(1/6)*AL35,0))</f>
        <v>0</v>
      </c>
      <c r="AW32" s="220"/>
      <c r="AX32" s="20">
        <f t="shared" si="0"/>
        <v>0</v>
      </c>
      <c r="AY32" s="220"/>
      <c r="AZ32" s="20">
        <f>AV32*AP36</f>
        <v>0</v>
      </c>
      <c r="BA32" s="220"/>
      <c r="BB32" s="203">
        <f t="shared" si="1"/>
        <v>0</v>
      </c>
      <c r="BC32" s="220"/>
      <c r="BD32" s="20">
        <f t="shared" si="2"/>
        <v>2.7777777777777781</v>
      </c>
      <c r="BE32" s="220"/>
      <c r="BF32" s="203"/>
      <c r="BG32" s="203"/>
      <c r="BH32" s="20">
        <f>IF(AB32&lt;0,BB32*BF30,BB32*BF29)</f>
        <v>0</v>
      </c>
      <c r="BI32" s="220"/>
      <c r="BJ32" s="203">
        <f>BH32+((BD32-BB32)*BF29)</f>
        <v>2.3148148148148153</v>
      </c>
      <c r="BK32" s="220"/>
      <c r="BL32" s="18">
        <f>IF(AB31&gt;0,(BH32*AB31)+((BJ32-BH32)*V34),BJ32*V34)</f>
        <v>6.9444444444444464</v>
      </c>
      <c r="BM32" s="220"/>
      <c r="BN32" s="18">
        <f>(AL34*Z32)+(AB30*BB32)</f>
        <v>0</v>
      </c>
      <c r="BO32" s="220"/>
      <c r="BP32" s="203">
        <f t="shared" si="3"/>
        <v>6.9444444444444464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 t="e">
        <f>IF(AND(AD33,AF36),BL33+BN33,NA())</f>
        <v>#N/A</v>
      </c>
      <c r="F33" s="30" t="e">
        <f>IFERROR(E33/P30,NA())</f>
        <v>#N/A</v>
      </c>
      <c r="G33" s="214"/>
      <c r="H33" s="87"/>
      <c r="I33" s="80"/>
      <c r="J33" s="20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-0.5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0.66666666666666663</v>
      </c>
      <c r="AO33" s="20" t="s">
        <v>94</v>
      </c>
      <c r="AP33" s="20">
        <f>IF((AN33+X30)&gt;5/6,5/6,AN33+X30)</f>
        <v>0.66666666666666663</v>
      </c>
      <c r="AQ33" s="20" t="s">
        <v>100</v>
      </c>
      <c r="AR33" s="21">
        <f>IF(AND(AF32,X30&gt;=0),AL35*AN33,AL35*AP33)</f>
        <v>2.2222222222222223</v>
      </c>
      <c r="AS33" s="220"/>
      <c r="AT33" s="203">
        <f>IF(AND(AN33&lt;AP36,AF32),AB29*AL35,AP36*AL35)</f>
        <v>0</v>
      </c>
      <c r="AU33" s="220"/>
      <c r="AV33" s="20">
        <f>IF(AF32,AL35-(AL35*AN33),IF(AF31,(1/6)*AL35,0))</f>
        <v>0</v>
      </c>
      <c r="AW33" s="220"/>
      <c r="AX33" s="20">
        <f t="shared" si="0"/>
        <v>0</v>
      </c>
      <c r="AY33" s="220"/>
      <c r="AZ33" s="20">
        <f>AV33*AP36</f>
        <v>0</v>
      </c>
      <c r="BA33" s="220"/>
      <c r="BB33" s="203">
        <f t="shared" si="1"/>
        <v>0</v>
      </c>
      <c r="BC33" s="220"/>
      <c r="BD33" s="20">
        <f t="shared" si="2"/>
        <v>2.2222222222222223</v>
      </c>
      <c r="BE33" s="220"/>
      <c r="BF33" s="203"/>
      <c r="BG33" s="203"/>
      <c r="BH33" s="20">
        <f>IF(AB32&lt;0,BB33*BF30,BB33*BF29)</f>
        <v>0</v>
      </c>
      <c r="BI33" s="220"/>
      <c r="BJ33" s="203">
        <f>BH33+((BD33-BB33)*BF29)</f>
        <v>1.8518518518518521</v>
      </c>
      <c r="BK33" s="220"/>
      <c r="BL33" s="18">
        <f>IF(AB31&gt;0,(BH33*AB31)+((BJ33-BH33)*V34),BJ33*V34)</f>
        <v>5.5555555555555562</v>
      </c>
      <c r="BM33" s="220"/>
      <c r="BN33" s="18">
        <f>(AL34*Z32)+(AB30*BB33)</f>
        <v>0</v>
      </c>
      <c r="BO33" s="220"/>
      <c r="BP33" s="203">
        <f t="shared" si="3"/>
        <v>5.5555555555555562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14"/>
      <c r="H34" s="84"/>
      <c r="I34" s="222" t="s">
        <v>30</v>
      </c>
      <c r="J34" s="222"/>
      <c r="K34" s="222" t="s">
        <v>31</v>
      </c>
      <c r="L34" s="222"/>
      <c r="M34" s="222"/>
      <c r="N34" s="219" t="s">
        <v>29</v>
      </c>
      <c r="O34" s="219"/>
      <c r="P34" s="5">
        <v>0</v>
      </c>
      <c r="Q34" s="219" t="s">
        <v>45</v>
      </c>
      <c r="R34" s="219"/>
      <c r="S34" s="5">
        <v>0</v>
      </c>
      <c r="T34" s="86"/>
      <c r="V34" s="161">
        <f>IF(O30="D3",2,IF(O30="2D3",4,IF(O30="D6",3.5,IF(O30="2D6",7,IF(O30="2D6 pick highest",161/36,IF(O30="Less than 3 counts as 3",4,O30))))))</f>
        <v>3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0.66666666666666663</v>
      </c>
      <c r="AO34" s="20" t="s">
        <v>95</v>
      </c>
      <c r="AP34" s="20">
        <f>IF((AN34+X30)&gt;5/6,5/6,AN34+X30)</f>
        <v>0.66666666666666663</v>
      </c>
      <c r="AQ34" s="20" t="s">
        <v>101</v>
      </c>
      <c r="AR34" s="20">
        <f>IF(AND(AF32,X30&gt;=0),AL35*AN34,AL35*AP34)</f>
        <v>2.2222222222222223</v>
      </c>
      <c r="AS34" s="220"/>
      <c r="AT34" s="203">
        <f>IF(AND(AN34&lt;AP36,AF32),AB29*AL35,AP36*AL35)</f>
        <v>0</v>
      </c>
      <c r="AU34" s="220"/>
      <c r="AV34" s="20">
        <f>IF(AF32,AL35-(AL35*AN34),IF(AF31,(1/6)*AL35,0))</f>
        <v>0</v>
      </c>
      <c r="AW34" s="220"/>
      <c r="AX34" s="20">
        <f t="shared" si="0"/>
        <v>0</v>
      </c>
      <c r="AY34" s="220"/>
      <c r="AZ34" s="20">
        <f>AV34*AP36</f>
        <v>0</v>
      </c>
      <c r="BA34" s="220"/>
      <c r="BB34" s="203">
        <f t="shared" si="1"/>
        <v>0</v>
      </c>
      <c r="BC34" s="220"/>
      <c r="BD34" s="20">
        <f t="shared" si="2"/>
        <v>2.2222222222222223</v>
      </c>
      <c r="BE34" s="220"/>
      <c r="BF34" s="203"/>
      <c r="BG34" s="203"/>
      <c r="BH34" s="20">
        <f>IF(AB32&lt;0,BB34*BF30,BB34*BF29)</f>
        <v>0</v>
      </c>
      <c r="BI34" s="220"/>
      <c r="BJ34" s="203">
        <f>BH34+((BD34-BB34)*BF29)</f>
        <v>1.8518518518518521</v>
      </c>
      <c r="BK34" s="220"/>
      <c r="BL34" s="18">
        <f>IF(AB31&gt;0,(BH34*AB31)+((BJ34-BH34)*V34),BJ34*V34)</f>
        <v>5.5555555555555562</v>
      </c>
      <c r="BM34" s="220"/>
      <c r="BN34" s="18">
        <f>(AL34*Z32)+(AB30*BB34)</f>
        <v>0</v>
      </c>
      <c r="BO34" s="220"/>
      <c r="BP34" s="203">
        <f t="shared" si="3"/>
        <v>5.5555555555555562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19" t="s">
        <v>26</v>
      </c>
      <c r="O35" s="219"/>
      <c r="P35" s="5">
        <v>0</v>
      </c>
      <c r="Q35" s="223" t="s">
        <v>58</v>
      </c>
      <c r="R35" s="223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4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3.3333333333333335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6.2500000000000018</v>
      </c>
      <c r="F36" s="3" t="e">
        <f>IFERROR(E36/P30,NA())</f>
        <v>#N/A</v>
      </c>
      <c r="G36" s="214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0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SBs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SBs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200"/>
      <c r="AI38" s="200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200"/>
      <c r="BG38" s="200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1"/>
    </row>
    <row r="39" spans="1:71" ht="15" customHeight="1">
      <c r="A39" s="126"/>
      <c r="B39" s="225"/>
      <c r="C39" s="225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1</v>
      </c>
      <c r="AG39" s="14" t="s">
        <v>52</v>
      </c>
      <c r="AH39" s="14" t="b">
        <v>1</v>
      </c>
      <c r="AI39" s="14" t="s">
        <v>72</v>
      </c>
      <c r="AJ39" s="20">
        <f>IF((V40+X39)&gt;5/6,5/6,V40+X39)</f>
        <v>0.66666666666666663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0.66666666666666663</v>
      </c>
      <c r="AQ39" s="20" t="s">
        <v>96</v>
      </c>
      <c r="AR39" s="21">
        <f>IF(AND(AF42,X40&gt;=0),AL45*AN39,AL45*AP39)</f>
        <v>10.370370370370368</v>
      </c>
      <c r="AS39" s="220" t="s">
        <v>121</v>
      </c>
      <c r="AT39" s="203">
        <f>IF(AND(AN39&lt;AP46,AF42),AB39*AL45,AP46*AL45)</f>
        <v>0</v>
      </c>
      <c r="AU39" s="220" t="s">
        <v>109</v>
      </c>
      <c r="AV39" s="20">
        <f>IF(AF42,AL45-(AL45*AN39),IF(AF41,(1/6)*AL45,0))</f>
        <v>0</v>
      </c>
      <c r="AW39" s="220" t="s">
        <v>60</v>
      </c>
      <c r="AX39" s="20">
        <f t="shared" ref="AX39:AX44" si="4">AV39*AP39</f>
        <v>0</v>
      </c>
      <c r="AY39" s="220" t="s">
        <v>122</v>
      </c>
      <c r="AZ39" s="20">
        <f>AV39*AP46</f>
        <v>0</v>
      </c>
      <c r="BA39" s="220" t="s">
        <v>110</v>
      </c>
      <c r="BB39" s="203">
        <f t="shared" ref="BB39:BB44" si="5">AT39+AZ39</f>
        <v>0</v>
      </c>
      <c r="BC39" s="220" t="s">
        <v>117</v>
      </c>
      <c r="BD39" s="20">
        <f t="shared" ref="BD39:BD44" si="6">SUM(AR39,AX39)</f>
        <v>10.370370370370368</v>
      </c>
      <c r="BE39" s="220" t="s">
        <v>63</v>
      </c>
      <c r="BF39" s="203">
        <f>IF((1-(V39+V43))&gt;1,1,1-(V39+V43))</f>
        <v>0.33333333333333337</v>
      </c>
      <c r="BG39" s="203" t="s">
        <v>105</v>
      </c>
      <c r="BH39" s="20">
        <f>IF(AB42&lt;0,BB39*BF40,BB39*BF39)</f>
        <v>0</v>
      </c>
      <c r="BI39" s="220" t="s">
        <v>102</v>
      </c>
      <c r="BJ39" s="203">
        <f>BH39+((BD39-BB39)*BF39)</f>
        <v>3.4567901234567899</v>
      </c>
      <c r="BK39" s="220" t="s">
        <v>103</v>
      </c>
      <c r="BL39" s="18">
        <f>IF(AB41&gt;0,(BH39*AB41)+((BJ39-BH39)*V44),BJ39*V44)</f>
        <v>3.4567901234567899</v>
      </c>
      <c r="BM39" s="220" t="s">
        <v>65</v>
      </c>
      <c r="BN39" s="18">
        <f>(AL44*Z42)+(AB40*BB39)</f>
        <v>0</v>
      </c>
      <c r="BO39" s="220" t="s">
        <v>64</v>
      </c>
      <c r="BP39" s="203">
        <f>IF(AD39,BL39+BN39,NA())</f>
        <v>3.4567901234567899</v>
      </c>
      <c r="BQ39" s="123" t="s">
        <v>46</v>
      </c>
      <c r="BR39" s="18">
        <f>IFERROR(IF(AD39,BP39,0)+IF(AD40,BP40,0)+IF(AD41,BP41,0)+IF(AD42,BP42,0)+IF(AD43,BP43,0)+IF(AD44,BP44,0),NA())</f>
        <v>11.234567901234568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27"/>
      <c r="H40" s="84"/>
      <c r="I40" s="5" t="s">
        <v>129</v>
      </c>
      <c r="J40" s="5" t="s">
        <v>20</v>
      </c>
      <c r="K40" s="5" t="s">
        <v>20</v>
      </c>
      <c r="L40" s="5">
        <v>20</v>
      </c>
      <c r="M40" s="5">
        <v>4</v>
      </c>
      <c r="N40" s="5">
        <v>0</v>
      </c>
      <c r="O40" s="5">
        <v>1</v>
      </c>
      <c r="P40" s="5"/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0.66666666666666663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0.5</v>
      </c>
      <c r="AQ40" s="20" t="s">
        <v>97</v>
      </c>
      <c r="AR40" s="21">
        <f>IF(AND(AF42,X40&gt;=0),AL45*AN40,AL45*AP40)</f>
        <v>7.7777777777777768</v>
      </c>
      <c r="AS40" s="220"/>
      <c r="AT40" s="203">
        <f>IF(AND(AN40&lt;AP46,AF42),AB39*AL45,AP46*AL45)</f>
        <v>0</v>
      </c>
      <c r="AU40" s="220"/>
      <c r="AV40" s="20">
        <f>IF(AF42,AL45-(AL45*AN40),IF(AF41,(1/6)*AL45,0))</f>
        <v>0</v>
      </c>
      <c r="AW40" s="220"/>
      <c r="AX40" s="20">
        <f t="shared" si="4"/>
        <v>0</v>
      </c>
      <c r="AY40" s="220"/>
      <c r="AZ40" s="20">
        <f>AV40*AP46</f>
        <v>0</v>
      </c>
      <c r="BA40" s="220"/>
      <c r="BB40" s="203">
        <f t="shared" si="5"/>
        <v>0</v>
      </c>
      <c r="BC40" s="220"/>
      <c r="BD40" s="20">
        <f t="shared" si="6"/>
        <v>7.7777777777777768</v>
      </c>
      <c r="BE40" s="220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20"/>
      <c r="BJ40" s="203">
        <f>BH40+((BD40-BB40)*BF39)</f>
        <v>2.5925925925925926</v>
      </c>
      <c r="BK40" s="220"/>
      <c r="BL40" s="18">
        <f>IF(AB41&gt;0,(BH40*AB41)+((BJ40-BH40)*V44),BJ40*V44)</f>
        <v>2.5925925925925926</v>
      </c>
      <c r="BM40" s="220"/>
      <c r="BN40" s="18">
        <f>(AL44*Z42)+(AB40*BB40)</f>
        <v>0</v>
      </c>
      <c r="BO40" s="220"/>
      <c r="BP40" s="203">
        <f t="shared" ref="BP40:BP44" si="7">IF(AD40,BL40+BN40,NA())</f>
        <v>2.5925925925925926</v>
      </c>
      <c r="BQ40" s="123" t="s">
        <v>47</v>
      </c>
      <c r="BR40" s="18">
        <f>IFERROR(BR39/AD45,NA())</f>
        <v>2.2469135802469138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 t="e">
        <f>IF(AND(AD41,AF46),BL41+BN41,NA())</f>
        <v>#N/A</v>
      </c>
      <c r="F41" s="30" t="e">
        <f>IFERROR(E41/P40,NA())</f>
        <v>#N/A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20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13.333333333333332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0.33333333333333331</v>
      </c>
      <c r="AQ41" s="20" t="s">
        <v>98</v>
      </c>
      <c r="AR41" s="21">
        <f>IF(AND(AF42,X40&gt;=0),AL45*AN41,AL45*AP41)</f>
        <v>5.1851851851851842</v>
      </c>
      <c r="AS41" s="220"/>
      <c r="AT41" s="203">
        <f>IF(AND(AN41&lt;AP46,AF42),AB39*AL45,AP46*AL45)</f>
        <v>0</v>
      </c>
      <c r="AU41" s="220"/>
      <c r="AV41" s="20">
        <f>IF(AF42,AL45-(AL45*AN41),IF(AF41,(1/6)*AL45,0))</f>
        <v>0</v>
      </c>
      <c r="AW41" s="220"/>
      <c r="AX41" s="20">
        <f t="shared" si="4"/>
        <v>0</v>
      </c>
      <c r="AY41" s="220"/>
      <c r="AZ41" s="20">
        <f>AV41*AP46</f>
        <v>0</v>
      </c>
      <c r="BA41" s="220"/>
      <c r="BB41" s="203">
        <f t="shared" si="5"/>
        <v>0</v>
      </c>
      <c r="BC41" s="220"/>
      <c r="BD41" s="20">
        <f t="shared" si="6"/>
        <v>5.1851851851851842</v>
      </c>
      <c r="BE41" s="220"/>
      <c r="BF41" s="203"/>
      <c r="BG41" s="203"/>
      <c r="BH41" s="20">
        <f>IF(AB42&lt;0,BB41*BF40,BB41*BF39)</f>
        <v>0</v>
      </c>
      <c r="BI41" s="220"/>
      <c r="BJ41" s="203">
        <f>BH41+((BD41-BB41)*BF39)</f>
        <v>1.728395061728395</v>
      </c>
      <c r="BK41" s="220"/>
      <c r="BL41" s="18">
        <f>IF(AB41&gt;0,(BH41*AB41)+((BJ41-BH41)*V44),BJ41*V44)</f>
        <v>1.728395061728395</v>
      </c>
      <c r="BM41" s="220"/>
      <c r="BN41" s="18">
        <f>(AL44*Z42)+(AB40*BB41)</f>
        <v>0</v>
      </c>
      <c r="BO41" s="220"/>
      <c r="BP41" s="203">
        <f t="shared" si="7"/>
        <v>1.728395061728395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 t="e">
        <f>IF(AND(AD42,AF46),BL42+BN42,NA())</f>
        <v>#N/A</v>
      </c>
      <c r="F42" s="30" t="e">
        <f>IFERROR(E42/P40,NA())</f>
        <v>#N/A</v>
      </c>
      <c r="G42" s="227"/>
      <c r="H42" s="84"/>
      <c r="I42" s="201" t="str">
        <f>"+- to hit"</f>
        <v>+- to hit</v>
      </c>
      <c r="J42" s="5">
        <v>0</v>
      </c>
      <c r="K42" s="79"/>
      <c r="L42" s="201" t="str">
        <f>"+- to wound"</f>
        <v>+- to wound</v>
      </c>
      <c r="M42" s="5">
        <v>0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0.33333333333333331</v>
      </c>
      <c r="AQ42" s="20" t="s">
        <v>99</v>
      </c>
      <c r="AR42" s="21">
        <f>IF(AND(AF42,X40&gt;=0),AL45*AN42,AL45*AP42)</f>
        <v>5.1851851851851842</v>
      </c>
      <c r="AS42" s="220"/>
      <c r="AT42" s="203">
        <f>IF(AND(AN42&lt;AP46,AF42),AB39*AL45,AP46*AL45)</f>
        <v>0</v>
      </c>
      <c r="AU42" s="220"/>
      <c r="AV42" s="20">
        <f>IF(AF42,AL45-(AL45*AN42),IF(AF41,(1/6)*AL45,0))</f>
        <v>0</v>
      </c>
      <c r="AW42" s="220"/>
      <c r="AX42" s="20">
        <f t="shared" si="4"/>
        <v>0</v>
      </c>
      <c r="AY42" s="220"/>
      <c r="AZ42" s="20">
        <f>AV42*AP46</f>
        <v>0</v>
      </c>
      <c r="BA42" s="220"/>
      <c r="BB42" s="203">
        <f t="shared" si="5"/>
        <v>0</v>
      </c>
      <c r="BC42" s="220"/>
      <c r="BD42" s="20">
        <f t="shared" si="6"/>
        <v>5.1851851851851842</v>
      </c>
      <c r="BE42" s="220"/>
      <c r="BF42" s="203"/>
      <c r="BG42" s="203"/>
      <c r="BH42" s="20">
        <f>IF(AB42&lt;0,BB42*BF40,BB42*BF39)</f>
        <v>0</v>
      </c>
      <c r="BI42" s="220"/>
      <c r="BJ42" s="203">
        <f>BH42+((BD42-BB42)*BF39)</f>
        <v>1.728395061728395</v>
      </c>
      <c r="BK42" s="220"/>
      <c r="BL42" s="18">
        <f>IF(AB41&gt;0,(BH42*AB41)+((BJ42-BH42)*V44),BJ42*V44)</f>
        <v>1.728395061728395</v>
      </c>
      <c r="BM42" s="220"/>
      <c r="BN42" s="18">
        <f>(AL44*Z42)+(AB40*BB42)</f>
        <v>0</v>
      </c>
      <c r="BO42" s="220"/>
      <c r="BP42" s="203">
        <f t="shared" si="7"/>
        <v>1.728395061728395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 t="e">
        <f>IF(AND(AD43,AF46),BL43+BN43,NA())</f>
        <v>#N/A</v>
      </c>
      <c r="F43" s="30" t="e">
        <f>IFERROR(E43/P40,NA())</f>
        <v>#N/A</v>
      </c>
      <c r="G43" s="227"/>
      <c r="H43" s="87"/>
      <c r="I43" s="80"/>
      <c r="J43" s="20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3.333333333333333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0.33333333333333331</v>
      </c>
      <c r="AQ43" s="20" t="s">
        <v>100</v>
      </c>
      <c r="AR43" s="21">
        <f>IF(AND(AF42,X40&gt;=0),AL45*AN43,AL45*AP43)</f>
        <v>5.1851851851851842</v>
      </c>
      <c r="AS43" s="220"/>
      <c r="AT43" s="203">
        <f>IF(AND(AN43&lt;AP46,AF42),AB39*AL45,AP46*AL45)</f>
        <v>0</v>
      </c>
      <c r="AU43" s="220"/>
      <c r="AV43" s="20">
        <f>IF(AF42,AL45-(AL45*AN43),IF(AF41,(1/6)*AL45,0))</f>
        <v>0</v>
      </c>
      <c r="AW43" s="220"/>
      <c r="AX43" s="20">
        <f t="shared" si="4"/>
        <v>0</v>
      </c>
      <c r="AY43" s="220"/>
      <c r="AZ43" s="20">
        <f>AV43*AP46</f>
        <v>0</v>
      </c>
      <c r="BA43" s="220"/>
      <c r="BB43" s="203">
        <f t="shared" si="5"/>
        <v>0</v>
      </c>
      <c r="BC43" s="220"/>
      <c r="BD43" s="20">
        <f t="shared" si="6"/>
        <v>5.1851851851851842</v>
      </c>
      <c r="BE43" s="220"/>
      <c r="BF43" s="203"/>
      <c r="BG43" s="203"/>
      <c r="BH43" s="20">
        <f>IF(AB42&lt;0,BB43*BF40,BB43*BF39)</f>
        <v>0</v>
      </c>
      <c r="BI43" s="220"/>
      <c r="BJ43" s="203">
        <f>BH43+((BD43-BB43)*BF39)</f>
        <v>1.728395061728395</v>
      </c>
      <c r="BK43" s="220"/>
      <c r="BL43" s="18">
        <f>IF(AB41&gt;0,(BH43*AB41)+((BJ43-BH43)*V44),BJ43*V44)</f>
        <v>1.728395061728395</v>
      </c>
      <c r="BM43" s="220"/>
      <c r="BN43" s="18">
        <f>(AL44*Z42)+(AB40*BB43)</f>
        <v>0</v>
      </c>
      <c r="BO43" s="220"/>
      <c r="BP43" s="203">
        <f t="shared" si="7"/>
        <v>1.728395061728395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 t="e">
        <f>IF(AND(AD44,AF46),BL44+BN44,NA())</f>
        <v>#N/A</v>
      </c>
      <c r="F44" s="30" t="e">
        <f>IFERROR(E44/P40,NA())</f>
        <v>#N/A</v>
      </c>
      <c r="G44" s="227"/>
      <c r="H44" s="84"/>
      <c r="I44" s="222" t="s">
        <v>30</v>
      </c>
      <c r="J44" s="222"/>
      <c r="K44" s="222" t="s">
        <v>31</v>
      </c>
      <c r="L44" s="222"/>
      <c r="M44" s="222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0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2.2222222222222219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0.16666666666666666</v>
      </c>
      <c r="AQ44" s="20" t="s">
        <v>101</v>
      </c>
      <c r="AR44" s="20">
        <f>IF(AND(AF42,X40&gt;=0),AL45*AN44,AL45*AP44)</f>
        <v>2.5925925925925921</v>
      </c>
      <c r="AS44" s="220"/>
      <c r="AT44" s="203">
        <f>IF(AND(AN44&lt;AP46,AF42),AB39*AL45,AP46*AL45)</f>
        <v>0</v>
      </c>
      <c r="AU44" s="220"/>
      <c r="AV44" s="20">
        <f>IF(AF42,AL45-(AL45*AN44),IF(AF41,(1/6)*AL45,0))</f>
        <v>0</v>
      </c>
      <c r="AW44" s="220"/>
      <c r="AX44" s="20">
        <f t="shared" si="4"/>
        <v>0</v>
      </c>
      <c r="AY44" s="220"/>
      <c r="AZ44" s="20">
        <f>AV44*AP46</f>
        <v>0</v>
      </c>
      <c r="BA44" s="220"/>
      <c r="BB44" s="203">
        <f t="shared" si="5"/>
        <v>0</v>
      </c>
      <c r="BC44" s="220"/>
      <c r="BD44" s="20">
        <f t="shared" si="6"/>
        <v>2.5925925925925921</v>
      </c>
      <c r="BE44" s="220"/>
      <c r="BF44" s="203"/>
      <c r="BG44" s="203"/>
      <c r="BH44" s="20">
        <f>IF(AB42&lt;0,BB44*BF40,BB44*BF39)</f>
        <v>0</v>
      </c>
      <c r="BI44" s="220"/>
      <c r="BJ44" s="203">
        <f>BH44+((BD44-BB44)*BF39)</f>
        <v>0.86419753086419748</v>
      </c>
      <c r="BK44" s="220"/>
      <c r="BL44" s="18">
        <f>IF(AB41&gt;0,(BH44*AB41)+((BJ44-BH44)*V44),BJ44*V44)</f>
        <v>0.86419753086419748</v>
      </c>
      <c r="BM44" s="220"/>
      <c r="BN44" s="18">
        <f>(AL44*Z42)+(AB40*BB44)</f>
        <v>0</v>
      </c>
      <c r="BO44" s="220"/>
      <c r="BP44" s="203" t="e">
        <f t="shared" si="7"/>
        <v>#N/A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19" t="s">
        <v>26</v>
      </c>
      <c r="O45" s="219"/>
      <c r="P45" s="5">
        <v>0</v>
      </c>
      <c r="Q45" s="223" t="s">
        <v>58</v>
      </c>
      <c r="R45" s="223"/>
      <c r="S45" s="5">
        <v>0</v>
      </c>
      <c r="T45" s="86"/>
      <c r="V45" s="162">
        <f>IF(AH39,C46,"")</f>
        <v>1</v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5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15.555555555555554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2.2469135802469138</v>
      </c>
      <c r="F46" s="3" t="e">
        <f>IFERROR(E46/P40,NA())</f>
        <v>#N/A</v>
      </c>
      <c r="G46" s="227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0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Falchions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Falchions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200"/>
      <c r="AI48" s="200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00"/>
      <c r="BG48" s="200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1"/>
    </row>
    <row r="49" spans="1:71" ht="15" customHeight="1">
      <c r="A49" s="129"/>
      <c r="B49" s="229"/>
      <c r="C49" s="229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1</v>
      </c>
      <c r="AG49" s="14" t="s">
        <v>52</v>
      </c>
      <c r="AH49" s="14" t="b">
        <v>1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5.7037037037037033</v>
      </c>
      <c r="AS49" s="220" t="s">
        <v>121</v>
      </c>
      <c r="AT49" s="203">
        <f>IF(AND(AN49&lt;AP56,AF52),AB49*AL55,AP56*AL55)</f>
        <v>0</v>
      </c>
      <c r="AU49" s="220" t="s">
        <v>109</v>
      </c>
      <c r="AV49" s="20">
        <f>IF(AF52,AL55-(AL55*AN49),IF(AF51,(1/6)*AL55,0))</f>
        <v>0</v>
      </c>
      <c r="AW49" s="220" t="s">
        <v>60</v>
      </c>
      <c r="AX49" s="20">
        <f t="shared" ref="AX49:AX54" si="8">AV49*AP49</f>
        <v>0</v>
      </c>
      <c r="AY49" s="220" t="s">
        <v>122</v>
      </c>
      <c r="AZ49" s="20">
        <f>AV49*AP56</f>
        <v>0</v>
      </c>
      <c r="BA49" s="220" t="s">
        <v>110</v>
      </c>
      <c r="BB49" s="203">
        <f t="shared" ref="BB49:BB54" si="9">AT49+AZ49</f>
        <v>0</v>
      </c>
      <c r="BC49" s="220" t="s">
        <v>117</v>
      </c>
      <c r="BD49" s="20">
        <f t="shared" ref="BD49:BD54" si="10">SUM(AR49,AX49)</f>
        <v>5.7037037037037033</v>
      </c>
      <c r="BE49" s="220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20" t="s">
        <v>102</v>
      </c>
      <c r="BJ49" s="203">
        <f>BH49+((BD49-BB49)*BF49)</f>
        <v>3.8024691358024691</v>
      </c>
      <c r="BK49" s="220" t="s">
        <v>103</v>
      </c>
      <c r="BL49" s="18">
        <f>IF(AB51&gt;0,(BH49*AB51)+((BJ49-BH49)*V54),BJ49*V54)</f>
        <v>7.6049382716049383</v>
      </c>
      <c r="BM49" s="220" t="s">
        <v>65</v>
      </c>
      <c r="BN49" s="18">
        <f>(AL54*Z52)+(AB50*BB49)</f>
        <v>0</v>
      </c>
      <c r="BO49" s="220" t="s">
        <v>64</v>
      </c>
      <c r="BP49" s="203">
        <f>IF(AD49,BL49+BN49,NA())</f>
        <v>7.6049382716049383</v>
      </c>
      <c r="BQ49" s="123" t="s">
        <v>46</v>
      </c>
      <c r="BR49" s="18">
        <f>IFERROR(IF(AD49,BP49,0)+IF(AD50,BP50,0)+IF(AD51,BP51,0)+IF(AD52,BP52,0)+IF(AD53,BP53,0)+IF(AD54,BP54,0),NA())</f>
        <v>26.617283950617281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31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 t="s">
        <v>128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4.2777777777777777</v>
      </c>
      <c r="AS50" s="220"/>
      <c r="AT50" s="203">
        <f>IF(AND(AN50&lt;AP56,AF52),AB49*AL55,AP56*AL55)</f>
        <v>0</v>
      </c>
      <c r="AU50" s="220"/>
      <c r="AV50" s="20">
        <f>IF(AF52,AL55-(AL55*AN50),IF(AF51,(1/6)*AL55,0))</f>
        <v>0</v>
      </c>
      <c r="AW50" s="220"/>
      <c r="AX50" s="20">
        <f t="shared" si="8"/>
        <v>0</v>
      </c>
      <c r="AY50" s="220"/>
      <c r="AZ50" s="20">
        <f>AV50*AP56</f>
        <v>0</v>
      </c>
      <c r="BA50" s="220"/>
      <c r="BB50" s="203">
        <f t="shared" si="9"/>
        <v>0</v>
      </c>
      <c r="BC50" s="220"/>
      <c r="BD50" s="20">
        <f t="shared" si="10"/>
        <v>4.2777777777777777</v>
      </c>
      <c r="BE50" s="220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20"/>
      <c r="BJ50" s="203">
        <f>BH50+((BD50-BB50)*BF49)</f>
        <v>2.8518518518518521</v>
      </c>
      <c r="BK50" s="220"/>
      <c r="BL50" s="18">
        <f>IF(AB51&gt;0,(BH50*AB51)+((BJ50-BH50)*V54),BJ50*V54)</f>
        <v>5.7037037037037042</v>
      </c>
      <c r="BM50" s="220"/>
      <c r="BN50" s="18">
        <f>(AL54*Z52)+(AB50*BB50)</f>
        <v>0</v>
      </c>
      <c r="BO50" s="220"/>
      <c r="BP50" s="203">
        <f t="shared" ref="BP50:BP54" si="11">IF(AD50,BL50+BN50,NA())</f>
        <v>5.7037037037037042</v>
      </c>
      <c r="BQ50" s="123" t="s">
        <v>47</v>
      </c>
      <c r="BR50" s="18">
        <f>IFERROR(BR49/AD55,NA())</f>
        <v>4.4362139917695469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2.8518518518518516</v>
      </c>
      <c r="AS51" s="220"/>
      <c r="AT51" s="203">
        <f>IF(AND(AN51&lt;AP56,AF52),AB49*AL55,AP56*AL55)</f>
        <v>0</v>
      </c>
      <c r="AU51" s="220"/>
      <c r="AV51" s="20">
        <f>IF(AF52,AL55-(AL55*AN51),IF(AF51,(1/6)*AL55,0))</f>
        <v>0</v>
      </c>
      <c r="AW51" s="220"/>
      <c r="AX51" s="20">
        <f t="shared" si="8"/>
        <v>0</v>
      </c>
      <c r="AY51" s="220"/>
      <c r="AZ51" s="20">
        <f>AV51*AP56</f>
        <v>0</v>
      </c>
      <c r="BA51" s="220"/>
      <c r="BB51" s="203">
        <f t="shared" si="9"/>
        <v>0</v>
      </c>
      <c r="BC51" s="220"/>
      <c r="BD51" s="20">
        <f t="shared" si="10"/>
        <v>2.8518518518518516</v>
      </c>
      <c r="BE51" s="220"/>
      <c r="BF51" s="203"/>
      <c r="BG51" s="203"/>
      <c r="BH51" s="20">
        <f>IF(AB52&lt;0,BB51*BF50,BB51*BF49)</f>
        <v>0</v>
      </c>
      <c r="BI51" s="220"/>
      <c r="BJ51" s="203">
        <f>BH51+((BD51-BB51)*BF49)</f>
        <v>1.9012345679012346</v>
      </c>
      <c r="BK51" s="220"/>
      <c r="BL51" s="18">
        <f>IF(AB51&gt;0,(BH51*AB51)+((BJ51-BH51)*V54),BJ51*V54)</f>
        <v>3.8024691358024691</v>
      </c>
      <c r="BM51" s="220"/>
      <c r="BN51" s="18">
        <f>(AL54*Z52)+(AB50*BB51)</f>
        <v>0</v>
      </c>
      <c r="BO51" s="220"/>
      <c r="BP51" s="203">
        <f t="shared" si="11"/>
        <v>3.8024691358024691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31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2.8518518518518516</v>
      </c>
      <c r="AS52" s="220"/>
      <c r="AT52" s="203">
        <f>IF(AND(AN52&lt;AP56,AF52),AB49*AL55,AP56*AL55)</f>
        <v>0</v>
      </c>
      <c r="AU52" s="220"/>
      <c r="AV52" s="20">
        <f>IF(AF52,AL55-(AL55*AN52),IF(AF51,(1/6)*AL55,0))</f>
        <v>0</v>
      </c>
      <c r="AW52" s="220"/>
      <c r="AX52" s="20">
        <f t="shared" si="8"/>
        <v>0</v>
      </c>
      <c r="AY52" s="220"/>
      <c r="AZ52" s="20">
        <f>AV52*AP56</f>
        <v>0</v>
      </c>
      <c r="BA52" s="220"/>
      <c r="BB52" s="203">
        <f t="shared" si="9"/>
        <v>0</v>
      </c>
      <c r="BC52" s="220"/>
      <c r="BD52" s="20">
        <f t="shared" si="10"/>
        <v>2.8518518518518516</v>
      </c>
      <c r="BE52" s="220"/>
      <c r="BF52" s="203"/>
      <c r="BG52" s="203"/>
      <c r="BH52" s="20">
        <f>IF(AB52&lt;0,BB52*BF50,BB52*BF49)</f>
        <v>0</v>
      </c>
      <c r="BI52" s="220"/>
      <c r="BJ52" s="203">
        <f>BH52+((BD52-BB52)*BF49)</f>
        <v>1.9012345679012346</v>
      </c>
      <c r="BK52" s="220"/>
      <c r="BL52" s="18">
        <f>IF(AB51&gt;0,(BH52*AB51)+((BJ52-BH52)*V54),BJ52*V54)</f>
        <v>3.8024691358024691</v>
      </c>
      <c r="BM52" s="220"/>
      <c r="BN52" s="18">
        <f>(AL54*Z52)+(AB50*BB52)</f>
        <v>0</v>
      </c>
      <c r="BO52" s="220"/>
      <c r="BP52" s="203">
        <f t="shared" si="11"/>
        <v>3.8024691358024691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31"/>
      <c r="H53" s="87"/>
      <c r="I53" s="80"/>
      <c r="J53" s="20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1.8333333333333333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2.8518518518518516</v>
      </c>
      <c r="AS53" s="220"/>
      <c r="AT53" s="203">
        <f>IF(AND(AN53&lt;AP56,AF52),AB49*AL55,AP56*AL55)</f>
        <v>0</v>
      </c>
      <c r="AU53" s="220"/>
      <c r="AV53" s="20">
        <f>IF(AF52,AL55-(AL55*AN53),IF(AF51,(1/6)*AL55,0))</f>
        <v>0</v>
      </c>
      <c r="AW53" s="220"/>
      <c r="AX53" s="20">
        <f t="shared" si="8"/>
        <v>0</v>
      </c>
      <c r="AY53" s="220"/>
      <c r="AZ53" s="20">
        <f>AV53*AP56</f>
        <v>0</v>
      </c>
      <c r="BA53" s="220"/>
      <c r="BB53" s="203">
        <f t="shared" si="9"/>
        <v>0</v>
      </c>
      <c r="BC53" s="220"/>
      <c r="BD53" s="20">
        <f t="shared" si="10"/>
        <v>2.8518518518518516</v>
      </c>
      <c r="BE53" s="220"/>
      <c r="BF53" s="203"/>
      <c r="BG53" s="203"/>
      <c r="BH53" s="20">
        <f>IF(AB52&lt;0,BB53*BF50,BB53*BF49)</f>
        <v>0</v>
      </c>
      <c r="BI53" s="220"/>
      <c r="BJ53" s="203">
        <f>BH53+((BD53-BB53)*BF49)</f>
        <v>1.9012345679012346</v>
      </c>
      <c r="BK53" s="220"/>
      <c r="BL53" s="18">
        <f>IF(AB51&gt;0,(BH53*AB51)+((BJ53-BH53)*V54),BJ53*V54)</f>
        <v>3.8024691358024691</v>
      </c>
      <c r="BM53" s="220"/>
      <c r="BN53" s="18">
        <f>(AL54*Z52)+(AB50*BB53)</f>
        <v>0</v>
      </c>
      <c r="BO53" s="220"/>
      <c r="BP53" s="203">
        <f t="shared" si="11"/>
        <v>3.8024691358024691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31"/>
      <c r="H54" s="84"/>
      <c r="I54" s="222" t="s">
        <v>30</v>
      </c>
      <c r="J54" s="222"/>
      <c r="K54" s="222" t="s">
        <v>31</v>
      </c>
      <c r="L54" s="222"/>
      <c r="M54" s="222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2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1.2222222222222221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1.4259259259259258</v>
      </c>
      <c r="AS54" s="220"/>
      <c r="AT54" s="203">
        <f>IF(AND(AN54&lt;AP56,AF52),AB49*AL55,AP56*AL55)</f>
        <v>0</v>
      </c>
      <c r="AU54" s="220"/>
      <c r="AV54" s="20">
        <f>IF(AF52,AL55-(AL55*AN54),IF(AF51,(1/6)*AL55,0))</f>
        <v>0</v>
      </c>
      <c r="AW54" s="220"/>
      <c r="AX54" s="20">
        <f t="shared" si="8"/>
        <v>0</v>
      </c>
      <c r="AY54" s="220"/>
      <c r="AZ54" s="20">
        <f>AV54*AP56</f>
        <v>0</v>
      </c>
      <c r="BA54" s="220"/>
      <c r="BB54" s="203">
        <f t="shared" si="9"/>
        <v>0</v>
      </c>
      <c r="BC54" s="220"/>
      <c r="BD54" s="20">
        <f t="shared" si="10"/>
        <v>1.4259259259259258</v>
      </c>
      <c r="BE54" s="220"/>
      <c r="BF54" s="203"/>
      <c r="BG54" s="203"/>
      <c r="BH54" s="20">
        <f>IF(AB52&lt;0,BB54*BF50,BB54*BF49)</f>
        <v>0</v>
      </c>
      <c r="BI54" s="220"/>
      <c r="BJ54" s="203">
        <f>BH54+((BD54-BB54)*BF49)</f>
        <v>0.95061728395061729</v>
      </c>
      <c r="BK54" s="220"/>
      <c r="BL54" s="18">
        <f>IF(AB51&gt;0,(BH54*AB51)+((BJ54-BH54)*V54),BJ54*V54)</f>
        <v>1.9012345679012346</v>
      </c>
      <c r="BM54" s="220"/>
      <c r="BN54" s="18">
        <f>(AL54*Z52)+(AB50*BB54)</f>
        <v>0</v>
      </c>
      <c r="BO54" s="220"/>
      <c r="BP54" s="203">
        <f t="shared" si="11"/>
        <v>1.9012345679012346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19" t="s">
        <v>26</v>
      </c>
      <c r="O55" s="219"/>
      <c r="P55" s="5">
        <v>0</v>
      </c>
      <c r="Q55" s="223" t="s">
        <v>58</v>
      </c>
      <c r="R55" s="223"/>
      <c r="S55" s="5">
        <v>0</v>
      </c>
      <c r="T55" s="86"/>
      <c r="V55" s="162">
        <f>IF(AH49,C56,"")</f>
        <v>1</v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8.5555555555555554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4.4362139917695469</v>
      </c>
      <c r="F56" s="3" t="e">
        <f>IFERROR(E56/P50,NA())</f>
        <v>#N/A</v>
      </c>
      <c r="G56" s="231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SBs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SBs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200"/>
      <c r="AI58" s="200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200"/>
      <c r="BG58" s="200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1"/>
    </row>
    <row r="59" spans="1:71" ht="15" customHeight="1">
      <c r="A59" s="132"/>
      <c r="B59" s="233"/>
      <c r="C59" s="233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1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8.8888888888888875</v>
      </c>
      <c r="AS59" s="220" t="s">
        <v>121</v>
      </c>
      <c r="AT59" s="203">
        <f>IF(AND(AN59&lt;AP66,AF62),AB59*AL65,AP66*AL65)</f>
        <v>0</v>
      </c>
      <c r="AU59" s="220" t="s">
        <v>109</v>
      </c>
      <c r="AV59" s="20">
        <f>IF(AF62,AL65-(AL65*AN59),IF(AF61,(1/6)*AL65,0))</f>
        <v>0</v>
      </c>
      <c r="AW59" s="220" t="s">
        <v>60</v>
      </c>
      <c r="AX59" s="20">
        <f t="shared" ref="AX59:AX64" si="12">AV59*AP59</f>
        <v>0</v>
      </c>
      <c r="AY59" s="220" t="s">
        <v>122</v>
      </c>
      <c r="AZ59" s="20">
        <f>AV59*AP66</f>
        <v>0</v>
      </c>
      <c r="BA59" s="220" t="s">
        <v>110</v>
      </c>
      <c r="BB59" s="203">
        <f t="shared" ref="BB59:BB64" si="13">AT59+AZ59</f>
        <v>0</v>
      </c>
      <c r="BC59" s="220" t="s">
        <v>117</v>
      </c>
      <c r="BD59" s="20">
        <f t="shared" ref="BD59:BD64" si="14">SUM(AR59,AX59)</f>
        <v>8.8888888888888875</v>
      </c>
      <c r="BE59" s="220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20" t="s">
        <v>102</v>
      </c>
      <c r="BJ59" s="203">
        <f>BH59+((BD59-BB59)*BF59)</f>
        <v>2.9629629629629628</v>
      </c>
      <c r="BK59" s="220" t="s">
        <v>103</v>
      </c>
      <c r="BL59" s="18">
        <f>IF(AB61&gt;0,(BH59*AB61)+((BJ59-BH59)*V64),BJ59*V64)</f>
        <v>2.9629629629629628</v>
      </c>
      <c r="BM59" s="220" t="s">
        <v>65</v>
      </c>
      <c r="BN59" s="18">
        <f>(AL64*Z62)+(AB60*BB59)</f>
        <v>0</v>
      </c>
      <c r="BO59" s="220" t="s">
        <v>64</v>
      </c>
      <c r="BP59" s="203">
        <f>IF(AD59,BL59+BN59,NA())</f>
        <v>2.9629629629629628</v>
      </c>
      <c r="BQ59" s="123" t="s">
        <v>46</v>
      </c>
      <c r="BR59" s="18">
        <f>IFERROR(IF(AD59,BP59,0)+IF(AD60,BP60,0)+IF(AD61,BP61,0)+IF(AD62,BP62,0)+IF(AD63,BP63,0)+IF(AD64,BP64,0),NA())</f>
        <v>10.370370370370368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35"/>
      <c r="H60" s="84"/>
      <c r="I60" s="5" t="s">
        <v>129</v>
      </c>
      <c r="J60" s="5" t="s">
        <v>20</v>
      </c>
      <c r="K60" s="5" t="s">
        <v>20</v>
      </c>
      <c r="L60" s="5">
        <v>20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6.6666666666666661</v>
      </c>
      <c r="AS60" s="220"/>
      <c r="AT60" s="203">
        <f>IF(AND(AN60&lt;AP66,AF62),AB59*AL65,AP66*AL65)</f>
        <v>0</v>
      </c>
      <c r="AU60" s="220"/>
      <c r="AV60" s="20">
        <f>IF(AF62,AL65-(AL65*AN60),IF(AF61,(1/6)*AL65,0))</f>
        <v>0</v>
      </c>
      <c r="AW60" s="220"/>
      <c r="AX60" s="20">
        <f t="shared" si="12"/>
        <v>0</v>
      </c>
      <c r="AY60" s="220"/>
      <c r="AZ60" s="20">
        <f>AV60*AP66</f>
        <v>0</v>
      </c>
      <c r="BA60" s="220"/>
      <c r="BB60" s="203">
        <f t="shared" si="13"/>
        <v>0</v>
      </c>
      <c r="BC60" s="220"/>
      <c r="BD60" s="20">
        <f t="shared" si="14"/>
        <v>6.6666666666666661</v>
      </c>
      <c r="BE60" s="220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20"/>
      <c r="BJ60" s="203">
        <f>BH60+((BD60-BB60)*BF59)</f>
        <v>2.2222222222222223</v>
      </c>
      <c r="BK60" s="220"/>
      <c r="BL60" s="18">
        <f>IF(AB61&gt;0,(BH60*AB61)+((BJ60-BH60)*V64),BJ60*V64)</f>
        <v>2.2222222222222223</v>
      </c>
      <c r="BM60" s="220"/>
      <c r="BN60" s="18">
        <f>(AL64*Z62)+(AB60*BB60)</f>
        <v>0</v>
      </c>
      <c r="BO60" s="220"/>
      <c r="BP60" s="203">
        <f t="shared" ref="BP60:BP64" si="15">IF(AD60,BL60+BN60,NA())</f>
        <v>2.2222222222222223</v>
      </c>
      <c r="BQ60" s="123" t="s">
        <v>47</v>
      </c>
      <c r="BR60" s="18">
        <f>IFERROR(BR59/AD65,NA())</f>
        <v>1.7283950617283947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20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13.333333333333332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4.4444444444444438</v>
      </c>
      <c r="AS61" s="220"/>
      <c r="AT61" s="203">
        <f>IF(AND(AN61&lt;AP66,AF62),AB59*AL65,AP66*AL65)</f>
        <v>0</v>
      </c>
      <c r="AU61" s="220"/>
      <c r="AV61" s="20">
        <f>IF(AF62,AL65-(AL65*AN61),IF(AF61,(1/6)*AL65,0))</f>
        <v>0</v>
      </c>
      <c r="AW61" s="220"/>
      <c r="AX61" s="20">
        <f t="shared" si="12"/>
        <v>0</v>
      </c>
      <c r="AY61" s="220"/>
      <c r="AZ61" s="20">
        <f>AV61*AP66</f>
        <v>0</v>
      </c>
      <c r="BA61" s="220"/>
      <c r="BB61" s="203">
        <f t="shared" si="13"/>
        <v>0</v>
      </c>
      <c r="BC61" s="220"/>
      <c r="BD61" s="20">
        <f t="shared" si="14"/>
        <v>4.4444444444444438</v>
      </c>
      <c r="BE61" s="220"/>
      <c r="BF61" s="203"/>
      <c r="BG61" s="203"/>
      <c r="BH61" s="20">
        <f>IF(AB62&lt;0,BB61*BF60,BB61*BF59)</f>
        <v>0</v>
      </c>
      <c r="BI61" s="220"/>
      <c r="BJ61" s="203">
        <f>BH61+((BD61-BB61)*BF59)</f>
        <v>1.4814814814814814</v>
      </c>
      <c r="BK61" s="220"/>
      <c r="BL61" s="18">
        <f>IF(AB61&gt;0,(BH61*AB61)+((BJ61-BH61)*V64),BJ61*V64)</f>
        <v>1.4814814814814814</v>
      </c>
      <c r="BM61" s="220"/>
      <c r="BN61" s="18">
        <f>(AL64*Z62)+(AB60*BB61)</f>
        <v>0</v>
      </c>
      <c r="BO61" s="220"/>
      <c r="BP61" s="203">
        <f t="shared" si="15"/>
        <v>1.4814814814814814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35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4.4444444444444438</v>
      </c>
      <c r="AS62" s="220"/>
      <c r="AT62" s="203">
        <f>IF(AND(AN62&lt;AP66,AF62),AB59*AL65,AP66*AL65)</f>
        <v>0</v>
      </c>
      <c r="AU62" s="220"/>
      <c r="AV62" s="20">
        <f>IF(AF62,AL65-(AL65*AN62),IF(AF61,(1/6)*AL65,0))</f>
        <v>0</v>
      </c>
      <c r="AW62" s="220"/>
      <c r="AX62" s="20">
        <f t="shared" si="12"/>
        <v>0</v>
      </c>
      <c r="AY62" s="220"/>
      <c r="AZ62" s="20">
        <f>AV62*AP66</f>
        <v>0</v>
      </c>
      <c r="BA62" s="220"/>
      <c r="BB62" s="203">
        <f t="shared" si="13"/>
        <v>0</v>
      </c>
      <c r="BC62" s="220"/>
      <c r="BD62" s="20">
        <f t="shared" si="14"/>
        <v>4.4444444444444438</v>
      </c>
      <c r="BE62" s="220"/>
      <c r="BF62" s="203"/>
      <c r="BG62" s="203"/>
      <c r="BH62" s="20">
        <f>IF(AB62&lt;0,BB62*BF60,BB62*BF59)</f>
        <v>0</v>
      </c>
      <c r="BI62" s="220"/>
      <c r="BJ62" s="203">
        <f>BH62+((BD62-BB62)*BF59)</f>
        <v>1.4814814814814814</v>
      </c>
      <c r="BK62" s="220"/>
      <c r="BL62" s="18">
        <f>IF(AB61&gt;0,(BH62*AB61)+((BJ62-BH62)*V64),BJ62*V64)</f>
        <v>1.4814814814814814</v>
      </c>
      <c r="BM62" s="220"/>
      <c r="BN62" s="18">
        <f>(AL64*Z62)+(AB60*BB62)</f>
        <v>0</v>
      </c>
      <c r="BO62" s="220"/>
      <c r="BP62" s="203">
        <f t="shared" si="15"/>
        <v>1.4814814814814814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35"/>
      <c r="H63" s="87"/>
      <c r="I63" s="80"/>
      <c r="J63" s="20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4.4444444444444438</v>
      </c>
      <c r="AS63" s="220"/>
      <c r="AT63" s="203">
        <f>IF(AND(AN63&lt;AP66,AF62),AB59*AL65,AP66*AL65)</f>
        <v>0</v>
      </c>
      <c r="AU63" s="220"/>
      <c r="AV63" s="20">
        <f>IF(AF62,AL65-(AL65*AN63),IF(AF61,(1/6)*AL65,0))</f>
        <v>0</v>
      </c>
      <c r="AW63" s="220"/>
      <c r="AX63" s="20">
        <f t="shared" si="12"/>
        <v>0</v>
      </c>
      <c r="AY63" s="220"/>
      <c r="AZ63" s="20">
        <f>AV63*AP66</f>
        <v>0</v>
      </c>
      <c r="BA63" s="220"/>
      <c r="BB63" s="203">
        <f t="shared" si="13"/>
        <v>0</v>
      </c>
      <c r="BC63" s="220"/>
      <c r="BD63" s="20">
        <f t="shared" si="14"/>
        <v>4.4444444444444438</v>
      </c>
      <c r="BE63" s="220"/>
      <c r="BF63" s="203"/>
      <c r="BG63" s="203"/>
      <c r="BH63" s="20">
        <f>IF(AB62&lt;0,BB63*BF60,BB63*BF59)</f>
        <v>0</v>
      </c>
      <c r="BI63" s="220"/>
      <c r="BJ63" s="203">
        <f>BH63+((BD63-BB63)*BF59)</f>
        <v>1.4814814814814814</v>
      </c>
      <c r="BK63" s="220"/>
      <c r="BL63" s="18">
        <f>IF(AB61&gt;0,(BH63*AB61)+((BJ63-BH63)*V64),BJ63*V64)</f>
        <v>1.4814814814814814</v>
      </c>
      <c r="BM63" s="220"/>
      <c r="BN63" s="18">
        <f>(AL64*Z62)+(AB60*BB63)</f>
        <v>0</v>
      </c>
      <c r="BO63" s="220"/>
      <c r="BP63" s="203">
        <f t="shared" si="15"/>
        <v>1.4814814814814814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35"/>
      <c r="H64" s="84"/>
      <c r="I64" s="222" t="s">
        <v>30</v>
      </c>
      <c r="J64" s="222"/>
      <c r="K64" s="222" t="s">
        <v>31</v>
      </c>
      <c r="L64" s="222"/>
      <c r="M64" s="222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2.2222222222222219</v>
      </c>
      <c r="AS64" s="220"/>
      <c r="AT64" s="203">
        <f>IF(AND(AN64&lt;AP66,AF62),AB59*AL65,AP66*AL65)</f>
        <v>0</v>
      </c>
      <c r="AU64" s="220"/>
      <c r="AV64" s="20">
        <f>IF(AF62,AL65-(AL65*AN64),IF(AF61,(1/6)*AL65,0))</f>
        <v>0</v>
      </c>
      <c r="AW64" s="220"/>
      <c r="AX64" s="20">
        <f t="shared" si="12"/>
        <v>0</v>
      </c>
      <c r="AY64" s="220"/>
      <c r="AZ64" s="20">
        <f>AV64*AP66</f>
        <v>0</v>
      </c>
      <c r="BA64" s="220"/>
      <c r="BB64" s="203">
        <f t="shared" si="13"/>
        <v>0</v>
      </c>
      <c r="BC64" s="220"/>
      <c r="BD64" s="20">
        <f t="shared" si="14"/>
        <v>2.2222222222222219</v>
      </c>
      <c r="BE64" s="220"/>
      <c r="BF64" s="203"/>
      <c r="BG64" s="203"/>
      <c r="BH64" s="20">
        <f>IF(AB62&lt;0,BB64*BF60,BB64*BF59)</f>
        <v>0</v>
      </c>
      <c r="BI64" s="220"/>
      <c r="BJ64" s="203">
        <f>BH64+((BD64-BB64)*BF59)</f>
        <v>0.7407407407407407</v>
      </c>
      <c r="BK64" s="220"/>
      <c r="BL64" s="18">
        <f>IF(AB61&gt;0,(BH64*AB61)+((BJ64-BH64)*V64),BJ64*V64)</f>
        <v>0.7407407407407407</v>
      </c>
      <c r="BM64" s="220"/>
      <c r="BN64" s="18">
        <f>(AL64*Z62)+(AB60*BB64)</f>
        <v>0</v>
      </c>
      <c r="BO64" s="220"/>
      <c r="BP64" s="203">
        <f t="shared" si="15"/>
        <v>0.7407407407407407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19" t="s">
        <v>26</v>
      </c>
      <c r="O65" s="219"/>
      <c r="P65" s="5">
        <v>0</v>
      </c>
      <c r="Q65" s="223" t="s">
        <v>58</v>
      </c>
      <c r="R65" s="223"/>
      <c r="S65" s="5">
        <v>0</v>
      </c>
      <c r="T65" s="86"/>
      <c r="V65" s="162">
        <f>IF(AH59,C66,"")</f>
        <v>2</v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13.333333333333332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1.7283950617283947</v>
      </c>
      <c r="F66" s="3" t="e">
        <f>IFERROR(E66/P60,NA())</f>
        <v>#N/A</v>
      </c>
      <c r="G66" s="235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Falchions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Falchions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200"/>
      <c r="AI68" s="200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200"/>
      <c r="BG68" s="200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1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1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6.518518518518519</v>
      </c>
      <c r="AS69" s="220" t="s">
        <v>121</v>
      </c>
      <c r="AT69" s="203">
        <f>IF(AND(AN69&lt;AP76,AF72),AB69*AL75,AP76*AL75)</f>
        <v>0</v>
      </c>
      <c r="AU69" s="220" t="s">
        <v>109</v>
      </c>
      <c r="AV69" s="20">
        <f>IF(AF72,AL75-(AL75*AN69),IF(AF71,(1/6)*AL75,0))</f>
        <v>0</v>
      </c>
      <c r="AW69" s="220" t="s">
        <v>60</v>
      </c>
      <c r="AX69" s="20">
        <f t="shared" ref="AX69:AX74" si="16">AV69*AP69</f>
        <v>0</v>
      </c>
      <c r="AY69" s="220" t="s">
        <v>122</v>
      </c>
      <c r="AZ69" s="20">
        <f>AV69*AP76</f>
        <v>0</v>
      </c>
      <c r="BA69" s="220" t="s">
        <v>110</v>
      </c>
      <c r="BB69" s="203">
        <f t="shared" ref="BB69:BB74" si="17">AT69+AZ69</f>
        <v>0</v>
      </c>
      <c r="BC69" s="220" t="s">
        <v>117</v>
      </c>
      <c r="BD69" s="20">
        <f t="shared" ref="BD69:BD74" si="18">SUM(AR69,AX69)</f>
        <v>6.518518518518519</v>
      </c>
      <c r="BE69" s="220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20" t="s">
        <v>102</v>
      </c>
      <c r="BJ69" s="203">
        <f>BH69+((BD69-BB69)*BF69)</f>
        <v>4.3456790123456797</v>
      </c>
      <c r="BK69" s="220" t="s">
        <v>103</v>
      </c>
      <c r="BL69" s="18">
        <f>IF(AB71&gt;0,(BH69*AB71)+((BJ69-BH69)*V74),BJ69*V74)</f>
        <v>8.6913580246913593</v>
      </c>
      <c r="BM69" s="220" t="s">
        <v>65</v>
      </c>
      <c r="BN69" s="18">
        <f>(AL74*Z72)+(AB70*BB69)</f>
        <v>0</v>
      </c>
      <c r="BO69" s="220" t="s">
        <v>64</v>
      </c>
      <c r="BP69" s="203">
        <f>IF(AD69,BL69+BN69,NA())</f>
        <v>8.6913580246913593</v>
      </c>
      <c r="BQ69" s="123" t="s">
        <v>46</v>
      </c>
      <c r="BR69" s="18">
        <f>IFERROR(IF(AD69,BP69,0)+IF(AD70,BP70,0)+IF(AD71,BP71,0)+IF(AD72,BP72,0)+IF(AD73,BP73,0)+IF(AD74,BP74,0),NA())</f>
        <v>30.41975308641976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4.8888888888888893</v>
      </c>
      <c r="AS70" s="220"/>
      <c r="AT70" s="203">
        <f>IF(AND(AN70&lt;AP76,AF72),AB69*AL75,AP76*AL75)</f>
        <v>0</v>
      </c>
      <c r="AU70" s="220"/>
      <c r="AV70" s="20">
        <f>IF(AF72,AL75-(AL75*AN70),IF(AF71,(1/6)*AL75,0))</f>
        <v>0</v>
      </c>
      <c r="AW70" s="220"/>
      <c r="AX70" s="20">
        <f t="shared" si="16"/>
        <v>0</v>
      </c>
      <c r="AY70" s="220"/>
      <c r="AZ70" s="20">
        <f>AV70*AP76</f>
        <v>0</v>
      </c>
      <c r="BA70" s="220"/>
      <c r="BB70" s="203">
        <f t="shared" si="17"/>
        <v>0</v>
      </c>
      <c r="BC70" s="220"/>
      <c r="BD70" s="20">
        <f t="shared" si="18"/>
        <v>4.8888888888888893</v>
      </c>
      <c r="BE70" s="220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20"/>
      <c r="BJ70" s="203">
        <f>BH70+((BD70-BB70)*BF69)</f>
        <v>3.25925925925926</v>
      </c>
      <c r="BK70" s="220"/>
      <c r="BL70" s="18">
        <f>IF(AB71&gt;0,(BH70*AB71)+((BJ70-BH70)*V74),BJ70*V74)</f>
        <v>6.5185185185185199</v>
      </c>
      <c r="BM70" s="220"/>
      <c r="BN70" s="18">
        <f>(AL74*Z72)+(AB70*BB70)</f>
        <v>0</v>
      </c>
      <c r="BO70" s="220"/>
      <c r="BP70" s="203">
        <f t="shared" ref="BP70:BP74" si="19">IF(AD70,BL70+BN70,NA())</f>
        <v>6.5185185185185199</v>
      </c>
      <c r="BQ70" s="123" t="s">
        <v>47</v>
      </c>
      <c r="BR70" s="18">
        <f>IFERROR(BR69/AD75,NA())</f>
        <v>5.0699588477366264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3.2592592592592595</v>
      </c>
      <c r="AS71" s="220"/>
      <c r="AT71" s="203">
        <f>IF(AND(AN71&lt;AP76,AF72),AB69*AL75,AP76*AL75)</f>
        <v>0</v>
      </c>
      <c r="AU71" s="220"/>
      <c r="AV71" s="20">
        <f>IF(AF72,AL75-(AL75*AN71),IF(AF71,(1/6)*AL75,0))</f>
        <v>0</v>
      </c>
      <c r="AW71" s="220"/>
      <c r="AX71" s="20">
        <f t="shared" si="16"/>
        <v>0</v>
      </c>
      <c r="AY71" s="220"/>
      <c r="AZ71" s="20">
        <f>AV71*AP76</f>
        <v>0</v>
      </c>
      <c r="BA71" s="220"/>
      <c r="BB71" s="203">
        <f t="shared" si="17"/>
        <v>0</v>
      </c>
      <c r="BC71" s="220"/>
      <c r="BD71" s="20">
        <f t="shared" si="18"/>
        <v>3.2592592592592595</v>
      </c>
      <c r="BE71" s="220"/>
      <c r="BF71" s="203"/>
      <c r="BG71" s="203"/>
      <c r="BH71" s="20">
        <f>IF(AB72&lt;0,BB71*BF70,BB71*BF69)</f>
        <v>0</v>
      </c>
      <c r="BI71" s="220"/>
      <c r="BJ71" s="203">
        <f>BH71+((BD71-BB71)*BF69)</f>
        <v>2.1728395061728398</v>
      </c>
      <c r="BK71" s="220"/>
      <c r="BL71" s="18">
        <f>IF(AB71&gt;0,(BH71*AB71)+((BJ71-BH71)*V74),BJ71*V74)</f>
        <v>4.3456790123456797</v>
      </c>
      <c r="BM71" s="220"/>
      <c r="BN71" s="18">
        <f>(AL74*Z72)+(AB70*BB71)</f>
        <v>0</v>
      </c>
      <c r="BO71" s="220"/>
      <c r="BP71" s="203">
        <f t="shared" si="19"/>
        <v>4.3456790123456797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3.2592592592592595</v>
      </c>
      <c r="AS72" s="220"/>
      <c r="AT72" s="203">
        <f>IF(AND(AN72&lt;AP76,AF72),AB69*AL75,AP76*AL75)</f>
        <v>0</v>
      </c>
      <c r="AU72" s="220"/>
      <c r="AV72" s="20">
        <f>IF(AF72,AL75-(AL75*AN72),IF(AF71,(1/6)*AL75,0))</f>
        <v>0</v>
      </c>
      <c r="AW72" s="220"/>
      <c r="AX72" s="20">
        <f t="shared" si="16"/>
        <v>0</v>
      </c>
      <c r="AY72" s="220"/>
      <c r="AZ72" s="20">
        <f>AV72*AP76</f>
        <v>0</v>
      </c>
      <c r="BA72" s="220"/>
      <c r="BB72" s="203">
        <f t="shared" si="17"/>
        <v>0</v>
      </c>
      <c r="BC72" s="220"/>
      <c r="BD72" s="20">
        <f t="shared" si="18"/>
        <v>3.2592592592592595</v>
      </c>
      <c r="BE72" s="220"/>
      <c r="BF72" s="203"/>
      <c r="BG72" s="203"/>
      <c r="BH72" s="20">
        <f>IF(AB72&lt;0,BB72*BF70,BB72*BF69)</f>
        <v>0</v>
      </c>
      <c r="BI72" s="220"/>
      <c r="BJ72" s="203">
        <f>BH72+((BD72-BB72)*BF69)</f>
        <v>2.1728395061728398</v>
      </c>
      <c r="BK72" s="220"/>
      <c r="BL72" s="18">
        <f>IF(AB71&gt;0,(BH72*AB71)+((BJ72-BH72)*V74),BJ72*V74)</f>
        <v>4.3456790123456797</v>
      </c>
      <c r="BM72" s="220"/>
      <c r="BN72" s="18">
        <f>(AL74*Z72)+(AB70*BB72)</f>
        <v>0</v>
      </c>
      <c r="BO72" s="220"/>
      <c r="BP72" s="203">
        <f t="shared" si="19"/>
        <v>4.3456790123456797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20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3.666666666666667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3.2592592592592595</v>
      </c>
      <c r="AS73" s="220"/>
      <c r="AT73" s="203">
        <f>IF(AND(AN73&lt;AP76,AF72),AB69*AL75,AP76*AL75)</f>
        <v>0</v>
      </c>
      <c r="AU73" s="220"/>
      <c r="AV73" s="20">
        <f>IF(AF72,AL75-(AL75*AN73),IF(AF71,(1/6)*AL75,0))</f>
        <v>0</v>
      </c>
      <c r="AW73" s="220"/>
      <c r="AX73" s="20">
        <f t="shared" si="16"/>
        <v>0</v>
      </c>
      <c r="AY73" s="220"/>
      <c r="AZ73" s="20">
        <f>AV73*AP76</f>
        <v>0</v>
      </c>
      <c r="BA73" s="220"/>
      <c r="BB73" s="203">
        <f t="shared" si="17"/>
        <v>0</v>
      </c>
      <c r="BC73" s="220"/>
      <c r="BD73" s="20">
        <f t="shared" si="18"/>
        <v>3.2592592592592595</v>
      </c>
      <c r="BE73" s="220"/>
      <c r="BF73" s="203"/>
      <c r="BG73" s="203"/>
      <c r="BH73" s="20">
        <f>IF(AB72&lt;0,BB73*BF70,BB73*BF69)</f>
        <v>0</v>
      </c>
      <c r="BI73" s="220"/>
      <c r="BJ73" s="203">
        <f>BH73+((BD73-BB73)*BF69)</f>
        <v>2.1728395061728398</v>
      </c>
      <c r="BK73" s="220"/>
      <c r="BL73" s="18">
        <f>IF(AB71&gt;0,(BH73*AB71)+((BJ73-BH73)*V74),BJ73*V74)</f>
        <v>4.3456790123456797</v>
      </c>
      <c r="BM73" s="220"/>
      <c r="BN73" s="18">
        <f>(AL74*Z72)+(AB70*BB73)</f>
        <v>0</v>
      </c>
      <c r="BO73" s="220"/>
      <c r="BP73" s="203">
        <f t="shared" si="19"/>
        <v>4.3456790123456797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2" t="s">
        <v>30</v>
      </c>
      <c r="J74" s="222"/>
      <c r="K74" s="222" t="s">
        <v>31</v>
      </c>
      <c r="L74" s="222"/>
      <c r="M74" s="222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2.4444444444444446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1.6296296296296298</v>
      </c>
      <c r="AS74" s="220"/>
      <c r="AT74" s="203">
        <f>IF(AND(AN74&lt;AP76,AF72),AB69*AL75,AP76*AL75)</f>
        <v>0</v>
      </c>
      <c r="AU74" s="220"/>
      <c r="AV74" s="20">
        <f>IF(AF72,AL75-(AL75*AN74),IF(AF71,(1/6)*AL75,0))</f>
        <v>0</v>
      </c>
      <c r="AW74" s="220"/>
      <c r="AX74" s="20">
        <f t="shared" si="16"/>
        <v>0</v>
      </c>
      <c r="AY74" s="220"/>
      <c r="AZ74" s="20">
        <f>AV74*AP76</f>
        <v>0</v>
      </c>
      <c r="BA74" s="220"/>
      <c r="BB74" s="203">
        <f t="shared" si="17"/>
        <v>0</v>
      </c>
      <c r="BC74" s="220"/>
      <c r="BD74" s="20">
        <f t="shared" si="18"/>
        <v>1.6296296296296298</v>
      </c>
      <c r="BE74" s="220"/>
      <c r="BF74" s="203"/>
      <c r="BG74" s="203"/>
      <c r="BH74" s="20">
        <f>IF(AB72&lt;0,BB74*BF70,BB74*BF69)</f>
        <v>0</v>
      </c>
      <c r="BI74" s="220"/>
      <c r="BJ74" s="203">
        <f>BH74+((BD74-BB74)*BF69)</f>
        <v>1.0864197530864199</v>
      </c>
      <c r="BK74" s="220"/>
      <c r="BL74" s="18">
        <f>IF(AB71&gt;0,(BH74*AB71)+((BJ74-BH74)*V74),BJ74*V74)</f>
        <v>2.1728395061728398</v>
      </c>
      <c r="BM74" s="220"/>
      <c r="BN74" s="18">
        <f>(AL74*Z72)+(AB70*BB74)</f>
        <v>0</v>
      </c>
      <c r="BO74" s="220"/>
      <c r="BP74" s="203">
        <f t="shared" si="19"/>
        <v>2.1728395061728398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19" t="s">
        <v>26</v>
      </c>
      <c r="O75" s="219"/>
      <c r="P75" s="5">
        <v>0</v>
      </c>
      <c r="Q75" s="223" t="s">
        <v>58</v>
      </c>
      <c r="R75" s="223"/>
      <c r="S75" s="5">
        <v>0</v>
      </c>
      <c r="T75" s="86"/>
      <c r="V75" s="162">
        <f>IF(AH69,C76,"")</f>
        <v>2</v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9.7777777777777786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5.0699588477366264</v>
      </c>
      <c r="F76" s="3" t="e">
        <f>IFERROR(E76/P70,NA())</f>
        <v>#N/A</v>
      </c>
      <c r="G76" s="239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40" t="str">
        <f>IF(I80="","",I80)</f>
        <v>Twin Lascannon</v>
      </c>
      <c r="C78" s="240"/>
      <c r="D78" s="36"/>
      <c r="E78" s="37" t="s">
        <v>11</v>
      </c>
      <c r="F78" s="36" t="s">
        <v>7</v>
      </c>
      <c r="G78" s="242"/>
      <c r="H78" s="82"/>
      <c r="I78" s="215" t="str">
        <f>IF(I80="","",I80)</f>
        <v>Twin Lascannon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200"/>
      <c r="AI78" s="200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200"/>
      <c r="BG78" s="200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1"/>
    </row>
    <row r="79" spans="1:71" ht="15" customHeight="1">
      <c r="A79" s="155"/>
      <c r="B79" s="241"/>
      <c r="C79" s="241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43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1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1.2962962962962965</v>
      </c>
      <c r="AS79" s="220" t="s">
        <v>121</v>
      </c>
      <c r="AT79" s="203">
        <f>IF(AND(AN79&lt;AP86,AF82),AB79*AL85,AP86*AL85)</f>
        <v>0</v>
      </c>
      <c r="AU79" s="220" t="s">
        <v>109</v>
      </c>
      <c r="AV79" s="20">
        <f>IF(AF82,AL85-(AL85*AN79),IF(AF81,(1/6)*AL85,0))</f>
        <v>0</v>
      </c>
      <c r="AW79" s="220" t="s">
        <v>60</v>
      </c>
      <c r="AX79" s="20">
        <f t="shared" ref="AX79:AX84" si="20">AV79*AP79</f>
        <v>0</v>
      </c>
      <c r="AY79" s="220" t="s">
        <v>122</v>
      </c>
      <c r="AZ79" s="20">
        <f>AV79*AP86</f>
        <v>0</v>
      </c>
      <c r="BA79" s="220" t="s">
        <v>110</v>
      </c>
      <c r="BB79" s="203">
        <f t="shared" ref="BB79:BB84" si="21">AT79+AZ79</f>
        <v>0</v>
      </c>
      <c r="BC79" s="220" t="s">
        <v>117</v>
      </c>
      <c r="BD79" s="20">
        <f t="shared" ref="BD79:BD84" si="22">SUM(AR79,AX79)</f>
        <v>1.2962962962962965</v>
      </c>
      <c r="BE79" s="220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20" t="s">
        <v>102</v>
      </c>
      <c r="BJ79" s="203">
        <f>BH79+((BD79-BB79)*BF79)</f>
        <v>1.080246913580247</v>
      </c>
      <c r="BK79" s="220" t="s">
        <v>103</v>
      </c>
      <c r="BL79" s="18">
        <f>IF(AB81&gt;0,(BH79*AB81)+((BJ79-BH79)*V84),BJ79*V84)</f>
        <v>3.7808641975308648</v>
      </c>
      <c r="BM79" s="220" t="s">
        <v>65</v>
      </c>
      <c r="BN79" s="18">
        <f>(AL84*Z82)+(AB80*BB79)</f>
        <v>0</v>
      </c>
      <c r="BO79" s="220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12.098765432098768</v>
      </c>
      <c r="BS79" s="160" t="s">
        <v>67</v>
      </c>
    </row>
    <row r="80" spans="1:71" ht="15" customHeight="1">
      <c r="A80" s="155"/>
      <c r="B80" s="241"/>
      <c r="C80" s="241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43"/>
      <c r="H80" s="84"/>
      <c r="I80" s="5" t="s">
        <v>130</v>
      </c>
      <c r="J80" s="5" t="s">
        <v>20</v>
      </c>
      <c r="K80" s="5" t="s">
        <v>108</v>
      </c>
      <c r="L80" s="5">
        <v>2</v>
      </c>
      <c r="M80" s="5">
        <v>9</v>
      </c>
      <c r="N80" s="5">
        <v>-3</v>
      </c>
      <c r="O80" s="5" t="s">
        <v>131</v>
      </c>
      <c r="P80" s="5">
        <v>50</v>
      </c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1.2962962962962965</v>
      </c>
      <c r="AS80" s="220"/>
      <c r="AT80" s="203">
        <f>IF(AND(AN80&lt;AP86,AF82),AB79*AL85,AP86*AL85)</f>
        <v>0</v>
      </c>
      <c r="AU80" s="220"/>
      <c r="AV80" s="20">
        <f>IF(AF82,AL85-(AL85*AN80),IF(AF81,(1/6)*AL85,0))</f>
        <v>0</v>
      </c>
      <c r="AW80" s="220"/>
      <c r="AX80" s="20">
        <f t="shared" si="20"/>
        <v>0</v>
      </c>
      <c r="AY80" s="220"/>
      <c r="AZ80" s="20">
        <f>AV80*AP86</f>
        <v>0</v>
      </c>
      <c r="BA80" s="220"/>
      <c r="BB80" s="203">
        <f t="shared" si="21"/>
        <v>0</v>
      </c>
      <c r="BC80" s="220"/>
      <c r="BD80" s="20">
        <f t="shared" si="22"/>
        <v>1.2962962962962965</v>
      </c>
      <c r="BE80" s="220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20"/>
      <c r="BJ80" s="203">
        <f>BH80+((BD80-BB80)*BF79)</f>
        <v>1.080246913580247</v>
      </c>
      <c r="BK80" s="220"/>
      <c r="BL80" s="18">
        <f>IF(AB81&gt;0,(BH80*AB81)+((BJ80-BH80)*V84),BJ80*V84)</f>
        <v>3.7808641975308648</v>
      </c>
      <c r="BM80" s="220"/>
      <c r="BN80" s="18">
        <f>(AL84*Z82)+(AB80*BB80)</f>
        <v>0</v>
      </c>
      <c r="BO80" s="220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3.0246913580246919</v>
      </c>
      <c r="BS80" s="160" t="s">
        <v>11</v>
      </c>
    </row>
    <row r="81" spans="1:83" ht="15" customHeight="1">
      <c r="A81" s="155"/>
      <c r="B81" s="241"/>
      <c r="C81" s="241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43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2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1.3333333333333335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1.0370370370370372</v>
      </c>
      <c r="AS81" s="220"/>
      <c r="AT81" s="203">
        <f>IF(AND(AN81&lt;AP86,AF82),AB79*AL85,AP86*AL85)</f>
        <v>0</v>
      </c>
      <c r="AU81" s="220"/>
      <c r="AV81" s="20">
        <f>IF(AF82,AL85-(AL85*AN81),IF(AF81,(1/6)*AL85,0))</f>
        <v>0</v>
      </c>
      <c r="AW81" s="220"/>
      <c r="AX81" s="20">
        <f t="shared" si="20"/>
        <v>0</v>
      </c>
      <c r="AY81" s="220"/>
      <c r="AZ81" s="20">
        <f>AV81*AP86</f>
        <v>0</v>
      </c>
      <c r="BA81" s="220"/>
      <c r="BB81" s="203">
        <f t="shared" si="21"/>
        <v>0</v>
      </c>
      <c r="BC81" s="220"/>
      <c r="BD81" s="20">
        <f t="shared" si="22"/>
        <v>1.0370370370370372</v>
      </c>
      <c r="BE81" s="220"/>
      <c r="BF81" s="203"/>
      <c r="BG81" s="203"/>
      <c r="BH81" s="20">
        <f>IF(AB82&lt;0,BB81*BF80,BB81*BF79)</f>
        <v>0</v>
      </c>
      <c r="BI81" s="220"/>
      <c r="BJ81" s="203">
        <f>BH81+((BD81-BB81)*BF79)</f>
        <v>0.8641975308641977</v>
      </c>
      <c r="BK81" s="220"/>
      <c r="BL81" s="18">
        <f>IF(AB81&gt;0,(BH81*AB81)+((BJ81-BH81)*V84),BJ81*V84)</f>
        <v>3.0246913580246919</v>
      </c>
      <c r="BM81" s="220"/>
      <c r="BN81" s="18">
        <f>(AL84*Z82)+(AB80*BB81)</f>
        <v>0</v>
      </c>
      <c r="BO81" s="220"/>
      <c r="BP81" s="203">
        <f t="shared" si="23"/>
        <v>3.0246913580246919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43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9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1.0370370370370372</v>
      </c>
      <c r="AS82" s="220"/>
      <c r="AT82" s="203">
        <f>IF(AND(AN82&lt;AP86,AF82),AB79*AL85,AP86*AL85)</f>
        <v>0</v>
      </c>
      <c r="AU82" s="220"/>
      <c r="AV82" s="20">
        <f>IF(AF82,AL85-(AL85*AN82),IF(AF81,(1/6)*AL85,0))</f>
        <v>0</v>
      </c>
      <c r="AW82" s="220"/>
      <c r="AX82" s="20">
        <f t="shared" si="20"/>
        <v>0</v>
      </c>
      <c r="AY82" s="220"/>
      <c r="AZ82" s="20">
        <f>AV82*AP86</f>
        <v>0</v>
      </c>
      <c r="BA82" s="220"/>
      <c r="BB82" s="203">
        <f t="shared" si="21"/>
        <v>0</v>
      </c>
      <c r="BC82" s="220"/>
      <c r="BD82" s="20">
        <f t="shared" si="22"/>
        <v>1.0370370370370372</v>
      </c>
      <c r="BE82" s="220"/>
      <c r="BF82" s="203"/>
      <c r="BG82" s="203"/>
      <c r="BH82" s="20">
        <f>IF(AB82&lt;0,BB82*BF80,BB82*BF79)</f>
        <v>0</v>
      </c>
      <c r="BI82" s="220"/>
      <c r="BJ82" s="203">
        <f>BH82+((BD82-BB82)*BF79)</f>
        <v>0.8641975308641977</v>
      </c>
      <c r="BK82" s="220"/>
      <c r="BL82" s="18">
        <f>IF(AB81&gt;0,(BH82*AB81)+((BJ82-BH82)*V84),BJ82*V84)</f>
        <v>3.0246913580246919</v>
      </c>
      <c r="BM82" s="220"/>
      <c r="BN82" s="18">
        <f>(AL84*Z82)+(AB80*BB82)</f>
        <v>0</v>
      </c>
      <c r="BO82" s="220"/>
      <c r="BP82" s="203">
        <f t="shared" si="23"/>
        <v>3.0246913580246919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43"/>
      <c r="H83" s="87"/>
      <c r="I83" s="80"/>
      <c r="J83" s="20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0.33333333333333331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1.0370370370370372</v>
      </c>
      <c r="AS83" s="220"/>
      <c r="AT83" s="203">
        <f>IF(AND(AN83&lt;AP86,AF82),AB79*AL85,AP86*AL85)</f>
        <v>0</v>
      </c>
      <c r="AU83" s="220"/>
      <c r="AV83" s="20">
        <f>IF(AF82,AL85-(AL85*AN83),IF(AF81,(1/6)*AL85,0))</f>
        <v>0</v>
      </c>
      <c r="AW83" s="220"/>
      <c r="AX83" s="20">
        <f t="shared" si="20"/>
        <v>0</v>
      </c>
      <c r="AY83" s="220"/>
      <c r="AZ83" s="20">
        <f>AV83*AP86</f>
        <v>0</v>
      </c>
      <c r="BA83" s="220"/>
      <c r="BB83" s="203">
        <f t="shared" si="21"/>
        <v>0</v>
      </c>
      <c r="BC83" s="220"/>
      <c r="BD83" s="20">
        <f t="shared" si="22"/>
        <v>1.0370370370370372</v>
      </c>
      <c r="BE83" s="220"/>
      <c r="BF83" s="203"/>
      <c r="BG83" s="203"/>
      <c r="BH83" s="20">
        <f>IF(AB82&lt;0,BB83*BF80,BB83*BF79)</f>
        <v>0</v>
      </c>
      <c r="BI83" s="220"/>
      <c r="BJ83" s="203">
        <f>BH83+((BD83-BB83)*BF79)</f>
        <v>0.8641975308641977</v>
      </c>
      <c r="BK83" s="220"/>
      <c r="BL83" s="18">
        <f>IF(AB81&gt;0,(BH83*AB81)+((BJ83-BH83)*V84),BJ83*V84)</f>
        <v>3.0246913580246919</v>
      </c>
      <c r="BM83" s="220"/>
      <c r="BN83" s="18">
        <f>(AL84*Z82)+(AB80*BB83)</f>
        <v>0</v>
      </c>
      <c r="BO83" s="220"/>
      <c r="BP83" s="203">
        <f t="shared" si="23"/>
        <v>3.0246913580246919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43"/>
      <c r="H84" s="84"/>
      <c r="I84" s="222" t="s">
        <v>30</v>
      </c>
      <c r="J84" s="222"/>
      <c r="K84" s="222" t="s">
        <v>31</v>
      </c>
      <c r="L84" s="222"/>
      <c r="M84" s="222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3.5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0.22222222222222224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0.66666666666666663</v>
      </c>
      <c r="AO84" s="20" t="s">
        <v>95</v>
      </c>
      <c r="AP84" s="20">
        <f>IF((AN84+X80)&gt;5/6,5/6,AN84+X80)</f>
        <v>0.66666666666666663</v>
      </c>
      <c r="AQ84" s="20" t="s">
        <v>101</v>
      </c>
      <c r="AR84" s="20">
        <f>IF(AND(AF82,X80&gt;=0),AL85*AN84,AL85*AP84)</f>
        <v>1.0370370370370372</v>
      </c>
      <c r="AS84" s="220"/>
      <c r="AT84" s="203">
        <f>IF(AND(AN84&lt;AP86,AF82),AB79*AL85,AP86*AL85)</f>
        <v>0</v>
      </c>
      <c r="AU84" s="220"/>
      <c r="AV84" s="20">
        <f>IF(AF82,AL85-(AL85*AN84),IF(AF81,(1/6)*AL85,0))</f>
        <v>0</v>
      </c>
      <c r="AW84" s="220"/>
      <c r="AX84" s="20">
        <f t="shared" si="20"/>
        <v>0</v>
      </c>
      <c r="AY84" s="220"/>
      <c r="AZ84" s="20">
        <f>AV84*AP86</f>
        <v>0</v>
      </c>
      <c r="BA84" s="220"/>
      <c r="BB84" s="203">
        <f t="shared" si="21"/>
        <v>0</v>
      </c>
      <c r="BC84" s="220"/>
      <c r="BD84" s="20">
        <f t="shared" si="22"/>
        <v>1.0370370370370372</v>
      </c>
      <c r="BE84" s="220"/>
      <c r="BF84" s="203"/>
      <c r="BG84" s="203"/>
      <c r="BH84" s="20">
        <f>IF(AB82&lt;0,BB84*BF80,BB84*BF79)</f>
        <v>0</v>
      </c>
      <c r="BI84" s="220"/>
      <c r="BJ84" s="203">
        <f>BH84+((BD84-BB84)*BF79)</f>
        <v>0.8641975308641977</v>
      </c>
      <c r="BK84" s="220"/>
      <c r="BL84" s="18">
        <f>IF(AB81&gt;0,(BH84*AB81)+((BJ84-BH84)*V84),BJ84*V84)</f>
        <v>3.0246913580246919</v>
      </c>
      <c r="BM84" s="220"/>
      <c r="BN84" s="18">
        <f>(AL84*Z82)+(AB80*BB84)</f>
        <v>0</v>
      </c>
      <c r="BO84" s="220"/>
      <c r="BP84" s="203">
        <f t="shared" si="23"/>
        <v>3.0246913580246919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43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19" t="s">
        <v>26</v>
      </c>
      <c r="O85" s="219"/>
      <c r="P85" s="5">
        <v>0</v>
      </c>
      <c r="Q85" s="223" t="s">
        <v>58</v>
      </c>
      <c r="R85" s="223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1.5555555555555558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3.0246913580246919</v>
      </c>
      <c r="F86" s="3">
        <f>IFERROR(E86/P80,NA())</f>
        <v>6.049382716049384E-2</v>
      </c>
      <c r="G86" s="243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4" t="s">
        <v>85</v>
      </c>
      <c r="B89" s="245"/>
      <c r="C89" s="245"/>
      <c r="D89" s="95"/>
      <c r="E89" s="96" t="s">
        <v>11</v>
      </c>
      <c r="F89" s="95" t="s">
        <v>7</v>
      </c>
      <c r="G89" s="248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6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6"/>
      <c r="B90" s="247"/>
      <c r="C90" s="247"/>
      <c r="D90" s="97" t="s">
        <v>1</v>
      </c>
      <c r="E90" s="164">
        <f>IF(AND(AF96,AD90),V90,NA())</f>
        <v>11.061728395061728</v>
      </c>
      <c r="F90" s="30">
        <f>IFERROR(E90/J90,NA())</f>
        <v>0.10534979423868313</v>
      </c>
      <c r="G90" s="249"/>
      <c r="I90" s="4" t="s">
        <v>134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11.061728395061728</v>
      </c>
      <c r="W90" s="23" t="s">
        <v>78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37.851851851851855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6"/>
      <c r="B91" s="247"/>
      <c r="C91" s="247"/>
      <c r="D91" s="97" t="s">
        <v>2</v>
      </c>
      <c r="E91" s="164">
        <f>IF(AND(AF96,AD91),V91,NA())</f>
        <v>8.2962962962962976</v>
      </c>
      <c r="F91" s="30">
        <f>IFERROR(E91/J90,NA())</f>
        <v>7.9012345679012358E-2</v>
      </c>
      <c r="G91" s="249"/>
      <c r="U91" s="17"/>
      <c r="V91" s="162">
        <f>SUM(IF(V35=1,IFERROR(BP30,0),0),IF(V45=1,IFERROR(BP40,0),0),IF(V55=1,IFERROR(BP50,0),0),IF(V65=1,IFERROR(BP60,0),0),IF(V75=1,IFERROR(BP70,0),0),IF(V85=1,IFERROR(BP80,0),0))</f>
        <v>8.2962962962962976</v>
      </c>
      <c r="W91" s="23" t="s">
        <v>79</v>
      </c>
      <c r="AD91" s="18" t="b">
        <v>1</v>
      </c>
      <c r="AE91" s="23" t="s">
        <v>47</v>
      </c>
      <c r="AH91" s="18">
        <f>IFERROR(AH90/AD96,NA())</f>
        <v>6.3086419753086425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6"/>
      <c r="B92" s="247"/>
      <c r="C92" s="247"/>
      <c r="D92" s="97" t="s">
        <v>3</v>
      </c>
      <c r="E92" s="164">
        <f>IF(AND(AF96,AD92),V92,NA())</f>
        <v>5.5308641975308639</v>
      </c>
      <c r="F92" s="30">
        <f>IFERROR(E92/J90,NA())</f>
        <v>5.2674897119341563E-2</v>
      </c>
      <c r="G92" s="249"/>
      <c r="U92" s="17"/>
      <c r="V92" s="162">
        <f>SUM(IF(V35=1,IFERROR(BP31,0),0),IF(V45=1,IFERROR(BP41,0),0),IF(V55=1,IFERROR(BP51,0),0),IF(V65=1,IFERROR(BP61,0),0),IF(V75=1,IFERROR(BP71,0),0),IF(V85=1,IFERROR(BP81,0),0))</f>
        <v>5.5308641975308639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6"/>
      <c r="B93" s="247"/>
      <c r="C93" s="247"/>
      <c r="D93" s="97" t="s">
        <v>4</v>
      </c>
      <c r="E93" s="164">
        <f>IF(AND(AF96,AD93),V93,NA())</f>
        <v>5.5308641975308639</v>
      </c>
      <c r="F93" s="30">
        <f>IFERROR(E93/J90,NA())</f>
        <v>5.2674897119341563E-2</v>
      </c>
      <c r="G93" s="249"/>
      <c r="U93" s="17"/>
      <c r="V93" s="162">
        <f>SUM(IF(V35=1,IFERROR(BP32,0),0),IF(V45=1,IFERROR(BP42,0),0),IF(V55=1,IFERROR(BP52,0),0),IF(V65=1,IFERROR(BP62,0),0),IF(V75=1,IFERROR(BP72,0),0),IF(V85=1,IFERROR(BP82,0),0))</f>
        <v>5.5308641975308639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6"/>
      <c r="B94" s="247"/>
      <c r="C94" s="247"/>
      <c r="D94" s="97" t="s">
        <v>5</v>
      </c>
      <c r="E94" s="164">
        <f>IF(AND(AF96,AD94),V94,NA())</f>
        <v>5.5308641975308639</v>
      </c>
      <c r="F94" s="30">
        <f>IFERROR(E94/J90,NA())</f>
        <v>5.2674897119341563E-2</v>
      </c>
      <c r="G94" s="249"/>
      <c r="U94" s="17"/>
      <c r="V94" s="162">
        <f>SUM(IF(V35=1,IFERROR(BP33,0),0),IF(V45=1,IFERROR(BP43,0),0),IF(V55=1,IFERROR(BP53,0),0),IF(V65=1,IFERROR(BP63,0),0),IF(V75=1,IFERROR(BP73,0),0),IF(V85=1,IFERROR(BP83,0),0))</f>
        <v>5.5308641975308639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>
        <f>IF(AND(AF96,AD95),V95,NA())</f>
        <v>1.9012345679012346</v>
      </c>
      <c r="F95" s="30">
        <f>IFERROR(E95/J90,NA())</f>
        <v>1.8106995884773661E-2</v>
      </c>
      <c r="G95" s="249"/>
      <c r="U95" s="17"/>
      <c r="V95" s="162">
        <f>SUM(IF(V35=1,IFERROR(BP34,0),0),IF(V45=1,IFERROR(BP44,0),0),IF(V55=1,IFERROR(BP54,0),0),IF(V65=1,IFERROR(BP64,0),0),IF(V75=1,IFERROR(BP74,0),0),IF(V85=1,IFERROR(BP84,0),0))</f>
        <v>1.9012345679012346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9"/>
      <c r="U96" s="17"/>
      <c r="V96" s="115"/>
      <c r="AD96" s="18">
        <f>COUNTIF(AD90:AD95,TRUE)</f>
        <v>6</v>
      </c>
      <c r="AE96" s="23" t="s">
        <v>66</v>
      </c>
      <c r="AF96" s="18" t="b">
        <v>1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>
        <f>IFERROR(AH91,NA())</f>
        <v>6.3086419753086425</v>
      </c>
      <c r="F97" s="3">
        <f>IFERROR(E97/J90,NA())</f>
        <v>6.0082304526748974E-2</v>
      </c>
      <c r="G97" s="249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7" t="s">
        <v>86</v>
      </c>
      <c r="B99" s="258"/>
      <c r="C99" s="258"/>
      <c r="D99" s="105"/>
      <c r="E99" s="106" t="s">
        <v>11</v>
      </c>
      <c r="F99" s="105" t="s">
        <v>7</v>
      </c>
      <c r="G99" s="261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9"/>
      <c r="B100" s="260"/>
      <c r="C100" s="260"/>
      <c r="D100" s="107" t="s">
        <v>1</v>
      </c>
      <c r="E100" s="164">
        <f>IF(AND(AF106,AD100),V100,NA())</f>
        <v>11.654320987654323</v>
      </c>
      <c r="F100" s="30">
        <f>IFERROR(E100/J100,NA())</f>
        <v>0.11099353321575546</v>
      </c>
      <c r="G100" s="262"/>
      <c r="I100" s="4" t="s">
        <v>133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11.654320987654323</v>
      </c>
      <c r="W100" s="23" t="s">
        <v>78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40.790123456790127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9"/>
      <c r="B101" s="260"/>
      <c r="C101" s="260"/>
      <c r="D101" s="107" t="s">
        <v>2</v>
      </c>
      <c r="E101" s="164">
        <f>IF(AND(AF106,AD101),V101,NA())</f>
        <v>8.7407407407407423</v>
      </c>
      <c r="F101" s="30">
        <f>IFERROR(E101/J100,NA())</f>
        <v>8.3245149911816599E-2</v>
      </c>
      <c r="G101" s="262"/>
      <c r="U101" s="17"/>
      <c r="V101" s="162">
        <f>SUM(IF(V35=2,IFERROR(BP30,0),0),IF(V45=2,IFERROR(BP40,0),0),IF(V55=2,IFERROR(BP50,0),0),IF(V65=2,IFERROR(BP60,0),0),IF(V75=2,IFERROR(BP70,0),0),IF(V85=2,IFERROR(BP80,0),0))</f>
        <v>8.7407407407407423</v>
      </c>
      <c r="W101" s="23" t="s">
        <v>79</v>
      </c>
      <c r="AD101" s="18" t="b">
        <v>1</v>
      </c>
      <c r="AE101" s="23" t="s">
        <v>47</v>
      </c>
      <c r="AH101" s="18">
        <f>IFERROR(AH100/AD106,NA())</f>
        <v>6.7983539094650212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9"/>
      <c r="B102" s="260"/>
      <c r="C102" s="260"/>
      <c r="D102" s="107" t="s">
        <v>3</v>
      </c>
      <c r="E102" s="164">
        <f>IF(AND(AF106,AD102),V102,NA())</f>
        <v>5.8271604938271615</v>
      </c>
      <c r="F102" s="30">
        <f>IFERROR(E102/J100,NA())</f>
        <v>5.549676660787773E-2</v>
      </c>
      <c r="G102" s="262"/>
      <c r="U102" s="17"/>
      <c r="V102" s="162">
        <f>SUM(IF(V35=2,IFERROR(BP31,0),0),IF(V45=2,IFERROR(BP41,0),0),IF(V55=2,IFERROR(BP51,0),0),IF(V65=2,IFERROR(BP61,0),0),IF(V75=2,IFERROR(BP71,0),0),IF(V85=2,IFERROR(BP81,0),0))</f>
        <v>5.8271604938271615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9"/>
      <c r="B103" s="260"/>
      <c r="C103" s="260"/>
      <c r="D103" s="107" t="s">
        <v>4</v>
      </c>
      <c r="E103" s="164">
        <f>IF(AND(AF106,AD103),V103,NA())</f>
        <v>5.8271604938271615</v>
      </c>
      <c r="F103" s="30">
        <f>IFERROR(E103/J100,NA())</f>
        <v>5.549676660787773E-2</v>
      </c>
      <c r="G103" s="262"/>
      <c r="U103" s="45"/>
      <c r="V103" s="162">
        <f>SUM(IF(V35=2,IFERROR(BP32,0),0),IF(V45=2,IFERROR(BP42,0),0),IF(V55=2,IFERROR(BP52,0),0),IF(V65=2,IFERROR(BP62,0),0),IF(V75=2,IFERROR(BP72,0),0),IF(V85=2,IFERROR(BP82,0),0))</f>
        <v>5.8271604938271615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9"/>
      <c r="B104" s="260"/>
      <c r="C104" s="260"/>
      <c r="D104" s="107" t="s">
        <v>5</v>
      </c>
      <c r="E104" s="164">
        <f>IF(AND(AF106,AD104),V104,NA())</f>
        <v>5.8271604938271615</v>
      </c>
      <c r="F104" s="30">
        <f>IFERROR(E104/J100,NA())</f>
        <v>5.549676660787773E-2</v>
      </c>
      <c r="G104" s="262"/>
      <c r="U104" s="17"/>
      <c r="V104" s="162">
        <f>SUM(IF(V35=2,IFERROR(BP33,0),0),IF(V45=2,IFERROR(BP43,0),0),IF(V55=2,IFERROR(BP53,0),0),IF(V65=2,IFERROR(BP63,0),0),IF(V75=2,IFERROR(BP73,0),0),IF(V85=2,IFERROR(BP83,0),0))</f>
        <v>5.8271604938271615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>
        <f>IF(AND(AF106,AD105),V105,NA())</f>
        <v>2.9135802469135808</v>
      </c>
      <c r="F105" s="30">
        <f>IFERROR(E105/J100,NA())</f>
        <v>2.7748383303938865E-2</v>
      </c>
      <c r="G105" s="26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2.9135802469135808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6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1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>
        <f>IFERROR(AH101,NA())</f>
        <v>6.7983539094650212</v>
      </c>
      <c r="F107" s="3">
        <f>IFERROR(E107/J100,NA())</f>
        <v>6.4746227709190682E-2</v>
      </c>
      <c r="G107" s="26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50" t="s">
        <v>87</v>
      </c>
      <c r="B109" s="251"/>
      <c r="C109" s="251"/>
      <c r="D109" s="141"/>
      <c r="E109" s="142" t="s">
        <v>11</v>
      </c>
      <c r="F109" s="141" t="s">
        <v>7</v>
      </c>
      <c r="G109" s="25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52"/>
      <c r="B110" s="253"/>
      <c r="C110" s="253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5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52"/>
      <c r="B111" s="253"/>
      <c r="C111" s="253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52"/>
      <c r="B112" s="253"/>
      <c r="C112" s="253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52"/>
      <c r="B113" s="253"/>
      <c r="C113" s="253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52"/>
      <c r="B114" s="253"/>
      <c r="C114" s="253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5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5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5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5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6.2500000000000018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 t="str">
        <f>IFERROR(F46,"")</f>
        <v/>
      </c>
      <c r="CR142" s="138">
        <f>IFERROR(E46,"")</f>
        <v>2.2469135802469138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4.4362139917695469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1.7283950617283947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5.0699588477366264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6.049382716049384E-2</v>
      </c>
      <c r="CR146" s="138">
        <f>IFERROR(E86,"")</f>
        <v>3.0246913580246919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>
        <f>IFERROR(F97,"")</f>
        <v>6.0082304526748974E-2</v>
      </c>
      <c r="CR147" s="138">
        <f>IFERROR(E97,"")</f>
        <v>6.3086419753086425</v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>
        <f>IFERROR(F107,"")</f>
        <v>6.4746227709190682E-2</v>
      </c>
      <c r="CR148" s="138">
        <f>IFERROR(E107,"")</f>
        <v>6.7983539094650212</v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  <mergeCell ref="N83:O83"/>
    <mergeCell ref="Q83:R83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AD1" activePane="topRight" state="frozen"/>
      <selection activeCell="A27" sqref="A27"/>
      <selection pane="topRight" activeCell="AN29" sqref="AN29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10"/>
      <c r="W17" s="210"/>
      <c r="X17" s="210"/>
      <c r="Y17" s="210"/>
      <c r="Z17" s="210"/>
      <c r="AA17" s="210"/>
      <c r="AB17" s="210"/>
      <c r="AC17" s="210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10"/>
      <c r="W25" s="210"/>
      <c r="X25" s="210"/>
      <c r="Y25" s="210"/>
      <c r="Z25" s="210"/>
      <c r="AA25" s="210"/>
      <c r="AB25" s="210"/>
      <c r="AC25" s="210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11" t="str">
        <f>IF(I30="","",I30)</f>
        <v>Falchions</v>
      </c>
      <c r="C28" s="211"/>
      <c r="D28" s="6"/>
      <c r="E28" s="15" t="s">
        <v>11</v>
      </c>
      <c r="F28" s="6" t="s">
        <v>7</v>
      </c>
      <c r="G28" s="213"/>
      <c r="H28" s="82"/>
      <c r="I28" s="215" t="str">
        <f>IF(I30="","",I30)</f>
        <v>Falchions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83"/>
      <c r="V28" s="216" t="s">
        <v>15</v>
      </c>
      <c r="W28" s="217"/>
      <c r="X28" s="217"/>
      <c r="Y28" s="217"/>
      <c r="Z28" s="217"/>
      <c r="AA28" s="217"/>
      <c r="AB28" s="217"/>
      <c r="AC28" s="217"/>
      <c r="AD28" s="217" t="s">
        <v>21</v>
      </c>
      <c r="AE28" s="217"/>
      <c r="AF28" s="217"/>
      <c r="AG28" s="217"/>
      <c r="AH28" s="189"/>
      <c r="AI28" s="189"/>
      <c r="AJ28" s="217" t="s">
        <v>73</v>
      </c>
      <c r="AK28" s="217"/>
      <c r="AL28" s="217"/>
      <c r="AM28" s="217"/>
      <c r="AN28" s="217"/>
      <c r="AO28" s="217" t="s">
        <v>74</v>
      </c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189"/>
      <c r="BG28" s="189"/>
      <c r="BH28" s="217" t="s">
        <v>75</v>
      </c>
      <c r="BI28" s="217"/>
      <c r="BJ28" s="217"/>
      <c r="BK28" s="217"/>
      <c r="BL28" s="217"/>
      <c r="BM28" s="217"/>
      <c r="BN28" s="217"/>
      <c r="BO28" s="217"/>
      <c r="BP28" s="217"/>
      <c r="BQ28" s="217"/>
      <c r="BR28" s="217" t="s">
        <v>76</v>
      </c>
      <c r="BS28" s="221"/>
      <c r="CR28" s="93"/>
    </row>
    <row r="29" spans="1:165" ht="15" customHeight="1">
      <c r="A29" s="121"/>
      <c r="B29" s="212"/>
      <c r="C29" s="212"/>
      <c r="D29" s="54" t="s">
        <v>1</v>
      </c>
      <c r="E29" s="164">
        <f>IF(AND(AD29,AF36),BL29+BN29,NA())</f>
        <v>4.0740740740740744</v>
      </c>
      <c r="F29" s="30">
        <f>IFERROR(E29/P30,NA())</f>
        <v>3.2592592592592597E-2</v>
      </c>
      <c r="G29" s="214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0.83333333333333326</v>
      </c>
      <c r="AQ29" s="20" t="s">
        <v>96</v>
      </c>
      <c r="AR29" s="21">
        <f>IF(AND(AF32,X30&gt;=0),AL35*AN29,AL35*AP29)</f>
        <v>6.1111111111111107</v>
      </c>
      <c r="AS29" s="220" t="s">
        <v>121</v>
      </c>
      <c r="AT29" s="199">
        <f>IF(AND(AN29&lt;AP36,AF32),AB29*AL35,AP36*AL35)</f>
        <v>0</v>
      </c>
      <c r="AU29" s="220" t="s">
        <v>109</v>
      </c>
      <c r="AV29" s="20">
        <f>IF(AF32,AL35-(AL35*AN29),IF(AF31,(1/6)*AL35,0))</f>
        <v>0</v>
      </c>
      <c r="AW29" s="220" t="s">
        <v>60</v>
      </c>
      <c r="AX29" s="20">
        <f t="shared" ref="AX29:AX34" si="0">AV29*AP29</f>
        <v>0</v>
      </c>
      <c r="AY29" s="220" t="s">
        <v>122</v>
      </c>
      <c r="AZ29" s="20">
        <f>AV29*AP36</f>
        <v>0</v>
      </c>
      <c r="BA29" s="220" t="s">
        <v>110</v>
      </c>
      <c r="BB29" s="199">
        <f t="shared" ref="BB29:BB34" si="1">AT29+AZ29</f>
        <v>0</v>
      </c>
      <c r="BC29" s="220" t="s">
        <v>117</v>
      </c>
      <c r="BD29" s="20">
        <f t="shared" ref="BD29:BD34" si="2">SUM(AR29,AX29)</f>
        <v>6.1111111111111107</v>
      </c>
      <c r="BE29" s="220" t="s">
        <v>63</v>
      </c>
      <c r="BF29" s="192">
        <f>IF((1-(V29+V33))&gt;1,1,1-(V29+V33))</f>
        <v>0.66666666666666674</v>
      </c>
      <c r="BG29" s="192" t="s">
        <v>105</v>
      </c>
      <c r="BH29" s="20">
        <f>IF(AB32&lt;0,BB29*BF30,BB29*BF29)</f>
        <v>0</v>
      </c>
      <c r="BI29" s="220" t="s">
        <v>102</v>
      </c>
      <c r="BJ29" s="192">
        <f>BH29+((BD29-BB29)*BF29)</f>
        <v>4.0740740740740744</v>
      </c>
      <c r="BK29" s="220" t="s">
        <v>103</v>
      </c>
      <c r="BL29" s="18">
        <f>IF(AB31&gt;0,(BH29*AB31)+((BJ29-BH29)*V34),BJ29*V34)</f>
        <v>4.0740740740740744</v>
      </c>
      <c r="BM29" s="220" t="s">
        <v>65</v>
      </c>
      <c r="BN29" s="18">
        <f>(AL34*Z32)+(AB30*BB29)</f>
        <v>0</v>
      </c>
      <c r="BO29" s="220" t="s">
        <v>64</v>
      </c>
      <c r="BP29" s="192">
        <f>IF(AD29,BL29+BN29,NA())</f>
        <v>4.0740740740740744</v>
      </c>
      <c r="BQ29" s="123" t="s">
        <v>46</v>
      </c>
      <c r="BR29" s="18">
        <f>IFERROR(IF(AD29,BP29,0)+IF(AD30,BP30,0)+IF(AD31,BP31,0)+IF(AD32,BP32,0)+IF(AD33,BP33,0)+IF(AD34,BP34,0),NA())</f>
        <v>16.296296296296298</v>
      </c>
      <c r="BS29" s="160" t="s">
        <v>67</v>
      </c>
      <c r="CS29" s="93"/>
    </row>
    <row r="30" spans="1:165" ht="15" customHeight="1">
      <c r="A30" s="121"/>
      <c r="B30" s="212"/>
      <c r="C30" s="212"/>
      <c r="D30" s="54" t="s">
        <v>2</v>
      </c>
      <c r="E30" s="164">
        <f>IF(AND(AD30,AF36),BL30+BN30,NA())</f>
        <v>3.2592592592592591</v>
      </c>
      <c r="F30" s="30">
        <f>IFERROR(E30/P30,NA())</f>
        <v>2.6074074074074072E-2</v>
      </c>
      <c r="G30" s="214"/>
      <c r="H30" s="84"/>
      <c r="I30" s="5" t="s">
        <v>123</v>
      </c>
      <c r="J30" s="5" t="s">
        <v>20</v>
      </c>
      <c r="K30" s="5" t="s">
        <v>20</v>
      </c>
      <c r="L30" s="5">
        <v>11</v>
      </c>
      <c r="M30" s="5">
        <v>4</v>
      </c>
      <c r="N30" s="5">
        <v>-2</v>
      </c>
      <c r="O30" s="5">
        <v>1</v>
      </c>
      <c r="P30" s="5">
        <v>125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0.16666666666666666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4.8888888888888884</v>
      </c>
      <c r="AS30" s="220"/>
      <c r="AT30" s="199">
        <f>IF(AND(AN30&lt;AP36,AF32),AB29*AL35,AP36*AL35)</f>
        <v>0</v>
      </c>
      <c r="AU30" s="220"/>
      <c r="AV30" s="20">
        <f>IF(AF32,AL35-(AL35*AN30),IF(AF31,(1/6)*AL35,0))</f>
        <v>0</v>
      </c>
      <c r="AW30" s="220"/>
      <c r="AX30" s="20">
        <f t="shared" si="0"/>
        <v>0</v>
      </c>
      <c r="AY30" s="220"/>
      <c r="AZ30" s="20">
        <f>AV30*AP36</f>
        <v>0</v>
      </c>
      <c r="BA30" s="220"/>
      <c r="BB30" s="199">
        <f t="shared" si="1"/>
        <v>0</v>
      </c>
      <c r="BC30" s="220"/>
      <c r="BD30" s="20">
        <f t="shared" si="2"/>
        <v>4.8888888888888884</v>
      </c>
      <c r="BE30" s="220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20"/>
      <c r="BJ30" s="192">
        <f>BH30+((BD30-BB30)*BF29)</f>
        <v>3.2592592592592591</v>
      </c>
      <c r="BK30" s="220"/>
      <c r="BL30" s="18">
        <f>IF(AB31&gt;0,(BH30*AB31)+((BJ30-BH30)*V34),BJ30*V34)</f>
        <v>3.2592592592592591</v>
      </c>
      <c r="BM30" s="220"/>
      <c r="BN30" s="18">
        <f>(AL34*Z32)+(AB30*BB30)</f>
        <v>0</v>
      </c>
      <c r="BO30" s="220"/>
      <c r="BP30" s="192">
        <f t="shared" ref="BP30:BP34" si="3">IF(AD30,BL30+BN30,NA())</f>
        <v>3.2592592592592591</v>
      </c>
      <c r="BQ30" s="123" t="s">
        <v>47</v>
      </c>
      <c r="BR30" s="18">
        <f>IFERROR(BR29/AD35,NA())</f>
        <v>2.7160493827160495</v>
      </c>
      <c r="BS30" s="160" t="s">
        <v>11</v>
      </c>
      <c r="CS30" s="93"/>
    </row>
    <row r="31" spans="1:165" ht="15" customHeight="1">
      <c r="A31" s="121"/>
      <c r="B31" s="212"/>
      <c r="C31" s="212"/>
      <c r="D31" s="54" t="s">
        <v>3</v>
      </c>
      <c r="E31" s="164">
        <f>IF(AND(AD31,AF36),BL31+BN31,NA())</f>
        <v>2.4444444444444446</v>
      </c>
      <c r="F31" s="30">
        <f>IFERROR(E31/P30,NA())</f>
        <v>1.9555555555555559E-2</v>
      </c>
      <c r="G31" s="214"/>
      <c r="H31" s="84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85"/>
      <c r="V31" s="161">
        <f>(IF(L30="D3",2,IF(L30="2D3",4,IF(L30="D6",3.5,IF(L30="2D6",7,IF(L30="3D6",10.5,L30))))))</f>
        <v>11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7.333333333333333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3.6666666666666665</v>
      </c>
      <c r="AS31" s="220"/>
      <c r="AT31" s="199">
        <f>IF(AND(AN31&lt;AP36,AF32),AB29*AL35,AP36*AL35)</f>
        <v>0</v>
      </c>
      <c r="AU31" s="220"/>
      <c r="AV31" s="20">
        <f>IF(AF32,AL35-(AL35*AN31),IF(AF31,(1/6)*AL35,0))</f>
        <v>0</v>
      </c>
      <c r="AW31" s="220"/>
      <c r="AX31" s="20">
        <f t="shared" si="0"/>
        <v>0</v>
      </c>
      <c r="AY31" s="220"/>
      <c r="AZ31" s="20">
        <f>AV31*AP36</f>
        <v>0</v>
      </c>
      <c r="BA31" s="220"/>
      <c r="BB31" s="199">
        <f t="shared" si="1"/>
        <v>0</v>
      </c>
      <c r="BC31" s="220"/>
      <c r="BD31" s="20">
        <f t="shared" si="2"/>
        <v>3.6666666666666665</v>
      </c>
      <c r="BE31" s="220"/>
      <c r="BF31" s="192"/>
      <c r="BG31" s="192"/>
      <c r="BH31" s="20">
        <f>IF(AB32&lt;0,BB31*BF30,BB31*BF29)</f>
        <v>0</v>
      </c>
      <c r="BI31" s="220"/>
      <c r="BJ31" s="192">
        <f>BH31+((BD31-BB31)*BF29)</f>
        <v>2.4444444444444446</v>
      </c>
      <c r="BK31" s="220"/>
      <c r="BL31" s="18">
        <f>IF(AB31&gt;0,(BH31*AB31)+((BJ31-BH31)*V34),BJ31*V34)</f>
        <v>2.4444444444444446</v>
      </c>
      <c r="BM31" s="220"/>
      <c r="BN31" s="18">
        <f>(AL34*Z32)+(AB30*BB31)</f>
        <v>0</v>
      </c>
      <c r="BO31" s="220"/>
      <c r="BP31" s="192">
        <f t="shared" si="3"/>
        <v>2.4444444444444446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2.4444444444444446</v>
      </c>
      <c r="F32" s="30">
        <f>IFERROR(E32/P30,NA())</f>
        <v>1.9555555555555559E-2</v>
      </c>
      <c r="G32" s="214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1</v>
      </c>
      <c r="N32" s="219" t="s">
        <v>24</v>
      </c>
      <c r="O32" s="219"/>
      <c r="P32" s="5" t="s">
        <v>19</v>
      </c>
      <c r="Q32" s="219" t="s">
        <v>25</v>
      </c>
      <c r="R32" s="219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0.5</v>
      </c>
      <c r="AQ32" s="20" t="s">
        <v>99</v>
      </c>
      <c r="AR32" s="21">
        <f>IF(AND(AF32,X30&gt;=0),AL35*AN32,AL35*AP32)</f>
        <v>3.6666666666666665</v>
      </c>
      <c r="AS32" s="220"/>
      <c r="AT32" s="199">
        <f>IF(AND(AN32&lt;AP36,AF32),AB29*AL35,AP36*AL35)</f>
        <v>0</v>
      </c>
      <c r="AU32" s="220"/>
      <c r="AV32" s="20">
        <f>IF(AF32,AL35-(AL35*AN32),IF(AF31,(1/6)*AL35,0))</f>
        <v>0</v>
      </c>
      <c r="AW32" s="220"/>
      <c r="AX32" s="20">
        <f t="shared" si="0"/>
        <v>0</v>
      </c>
      <c r="AY32" s="220"/>
      <c r="AZ32" s="20">
        <f>AV32*AP36</f>
        <v>0</v>
      </c>
      <c r="BA32" s="220"/>
      <c r="BB32" s="199">
        <f t="shared" si="1"/>
        <v>0</v>
      </c>
      <c r="BC32" s="220"/>
      <c r="BD32" s="20">
        <f t="shared" si="2"/>
        <v>3.6666666666666665</v>
      </c>
      <c r="BE32" s="220"/>
      <c r="BF32" s="192"/>
      <c r="BG32" s="192"/>
      <c r="BH32" s="20">
        <f>IF(AB32&lt;0,BB32*BF30,BB32*BF29)</f>
        <v>0</v>
      </c>
      <c r="BI32" s="220"/>
      <c r="BJ32" s="192">
        <f>BH32+((BD32-BB32)*BF29)</f>
        <v>2.4444444444444446</v>
      </c>
      <c r="BK32" s="220"/>
      <c r="BL32" s="18">
        <f>IF(AB31&gt;0,(BH32*AB31)+((BJ32-BH32)*V34),BJ32*V34)</f>
        <v>2.4444444444444446</v>
      </c>
      <c r="BM32" s="220"/>
      <c r="BN32" s="18">
        <f>(AL34*Z32)+(AB30*BB32)</f>
        <v>0</v>
      </c>
      <c r="BO32" s="220"/>
      <c r="BP32" s="192">
        <f t="shared" si="3"/>
        <v>2.4444444444444446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2.4444444444444446</v>
      </c>
      <c r="F33" s="30">
        <f>IFERROR(E33/P30,NA())</f>
        <v>1.9555555555555559E-2</v>
      </c>
      <c r="G33" s="214"/>
      <c r="H33" s="87"/>
      <c r="I33" s="80"/>
      <c r="J33" s="191" t="s">
        <v>16</v>
      </c>
      <c r="K33" s="219" t="s">
        <v>17</v>
      </c>
      <c r="L33" s="219"/>
      <c r="M33" s="219"/>
      <c r="N33" s="219" t="s">
        <v>28</v>
      </c>
      <c r="O33" s="219"/>
      <c r="P33" s="5">
        <v>1</v>
      </c>
      <c r="Q33" s="219" t="s">
        <v>27</v>
      </c>
      <c r="R33" s="219"/>
      <c r="S33" s="5">
        <v>0</v>
      </c>
      <c r="T33" s="86"/>
      <c r="V33" s="161">
        <f>IF(N30="D3",-2/6,IF(N30="2D3",-4/6,IF(N30="D6",-3.5/6,IF(N30="2D6",-7/6,N30/6))))</f>
        <v>-0.33333333333333331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0.5</v>
      </c>
      <c r="AQ33" s="20" t="s">
        <v>100</v>
      </c>
      <c r="AR33" s="21">
        <f>IF(AND(AF32,X30&gt;=0),AL35*AN33,AL35*AP33)</f>
        <v>3.6666666666666665</v>
      </c>
      <c r="AS33" s="220"/>
      <c r="AT33" s="199">
        <f>IF(AND(AN33&lt;AP36,AF32),AB29*AL35,AP36*AL35)</f>
        <v>0</v>
      </c>
      <c r="AU33" s="220"/>
      <c r="AV33" s="20">
        <f>IF(AF32,AL35-(AL35*AN33),IF(AF31,(1/6)*AL35,0))</f>
        <v>0</v>
      </c>
      <c r="AW33" s="220"/>
      <c r="AX33" s="20">
        <f t="shared" si="0"/>
        <v>0</v>
      </c>
      <c r="AY33" s="220"/>
      <c r="AZ33" s="20">
        <f>AV33*AP36</f>
        <v>0</v>
      </c>
      <c r="BA33" s="220"/>
      <c r="BB33" s="199">
        <f t="shared" si="1"/>
        <v>0</v>
      </c>
      <c r="BC33" s="220"/>
      <c r="BD33" s="20">
        <f t="shared" si="2"/>
        <v>3.6666666666666665</v>
      </c>
      <c r="BE33" s="220"/>
      <c r="BF33" s="192"/>
      <c r="BG33" s="192"/>
      <c r="BH33" s="20">
        <f>IF(AB32&lt;0,BB33*BF30,BB33*BF29)</f>
        <v>0</v>
      </c>
      <c r="BI33" s="220"/>
      <c r="BJ33" s="192">
        <f>BH33+((BD33-BB33)*BF29)</f>
        <v>2.4444444444444446</v>
      </c>
      <c r="BK33" s="220"/>
      <c r="BL33" s="18">
        <f>IF(AB31&gt;0,(BH33*AB31)+((BJ33-BH33)*V34),BJ33*V34)</f>
        <v>2.4444444444444446</v>
      </c>
      <c r="BM33" s="220"/>
      <c r="BN33" s="18">
        <f>(AL34*Z32)+(AB30*BB33)</f>
        <v>0</v>
      </c>
      <c r="BO33" s="220"/>
      <c r="BP33" s="192">
        <f t="shared" si="3"/>
        <v>2.4444444444444446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1.6296296296296295</v>
      </c>
      <c r="F34" s="30">
        <f>IFERROR(E34/P30,NA())</f>
        <v>1.3037037037037036E-2</v>
      </c>
      <c r="G34" s="214"/>
      <c r="H34" s="84"/>
      <c r="I34" s="222" t="s">
        <v>30</v>
      </c>
      <c r="J34" s="222"/>
      <c r="K34" s="222" t="s">
        <v>31</v>
      </c>
      <c r="L34" s="222"/>
      <c r="M34" s="222"/>
      <c r="N34" s="219" t="s">
        <v>29</v>
      </c>
      <c r="O34" s="219"/>
      <c r="P34" s="5">
        <v>0</v>
      </c>
      <c r="Q34" s="219" t="s">
        <v>45</v>
      </c>
      <c r="R34" s="21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2.4444444444444442</v>
      </c>
      <c r="AS34" s="220"/>
      <c r="AT34" s="199">
        <f>IF(AND(AN34&lt;AP36,AF32),AB29*AL35,AP36*AL35)</f>
        <v>0</v>
      </c>
      <c r="AU34" s="220"/>
      <c r="AV34" s="20">
        <f>IF(AF32,AL35-(AL35*AN34),IF(AF31,(1/6)*AL35,0))</f>
        <v>0</v>
      </c>
      <c r="AW34" s="220"/>
      <c r="AX34" s="20">
        <f t="shared" si="0"/>
        <v>0</v>
      </c>
      <c r="AY34" s="220"/>
      <c r="AZ34" s="20">
        <f>AV34*AP36</f>
        <v>0</v>
      </c>
      <c r="BA34" s="220"/>
      <c r="BB34" s="199">
        <f t="shared" si="1"/>
        <v>0</v>
      </c>
      <c r="BC34" s="220"/>
      <c r="BD34" s="20">
        <f t="shared" si="2"/>
        <v>2.4444444444444442</v>
      </c>
      <c r="BE34" s="220"/>
      <c r="BF34" s="192"/>
      <c r="BG34" s="192"/>
      <c r="BH34" s="20">
        <f>IF(AB32&lt;0,BB34*BF30,BB34*BF29)</f>
        <v>0</v>
      </c>
      <c r="BI34" s="220"/>
      <c r="BJ34" s="192">
        <f>BH34+((BD34-BB34)*BF29)</f>
        <v>1.6296296296296295</v>
      </c>
      <c r="BK34" s="220"/>
      <c r="BL34" s="18">
        <f>IF(AB31&gt;0,(BH34*AB31)+((BJ34-BH34)*V34),BJ34*V34)</f>
        <v>1.6296296296296295</v>
      </c>
      <c r="BM34" s="220"/>
      <c r="BN34" s="18">
        <f>(AL34*Z32)+(AB30*BB34)</f>
        <v>0</v>
      </c>
      <c r="BO34" s="220"/>
      <c r="BP34" s="192">
        <f t="shared" si="3"/>
        <v>1.6296296296296295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14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19" t="s">
        <v>26</v>
      </c>
      <c r="O35" s="219"/>
      <c r="P35" s="5">
        <v>0</v>
      </c>
      <c r="Q35" s="223" t="s">
        <v>58</v>
      </c>
      <c r="R35" s="223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7.333333333333333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2.7160493827160495</v>
      </c>
      <c r="F36" s="3">
        <f>IFERROR(E36/P30,NA())</f>
        <v>2.1728395061728394E-2</v>
      </c>
      <c r="G36" s="214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24" t="str">
        <f>IF(I40="","",I40)</f>
        <v>Crowe v. T3</v>
      </c>
      <c r="C38" s="224"/>
      <c r="D38" s="8"/>
      <c r="E38" s="167" t="s">
        <v>11</v>
      </c>
      <c r="F38" s="8" t="s">
        <v>7</v>
      </c>
      <c r="G38" s="226"/>
      <c r="H38" s="82"/>
      <c r="I38" s="215" t="str">
        <f>IF(I40="","",I40)</f>
        <v>Crowe v. T3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83"/>
      <c r="V38" s="216" t="s">
        <v>15</v>
      </c>
      <c r="W38" s="217"/>
      <c r="X38" s="217"/>
      <c r="Y38" s="217"/>
      <c r="Z38" s="217"/>
      <c r="AA38" s="217"/>
      <c r="AB38" s="217"/>
      <c r="AC38" s="217"/>
      <c r="AD38" s="217" t="s">
        <v>21</v>
      </c>
      <c r="AE38" s="217"/>
      <c r="AF38" s="217"/>
      <c r="AG38" s="217"/>
      <c r="AH38" s="198"/>
      <c r="AI38" s="198"/>
      <c r="AJ38" s="217" t="s">
        <v>73</v>
      </c>
      <c r="AK38" s="217"/>
      <c r="AL38" s="217"/>
      <c r="AM38" s="217"/>
      <c r="AN38" s="217"/>
      <c r="AO38" s="217" t="s">
        <v>74</v>
      </c>
      <c r="AP38" s="217"/>
      <c r="AQ38" s="217"/>
      <c r="AR38" s="217"/>
      <c r="AS38" s="217"/>
      <c r="AT38" s="217"/>
      <c r="AU38" s="217"/>
      <c r="AV38" s="217"/>
      <c r="AW38" s="217"/>
      <c r="AX38" s="217"/>
      <c r="AY38" s="217"/>
      <c r="AZ38" s="217"/>
      <c r="BA38" s="217"/>
      <c r="BB38" s="217"/>
      <c r="BC38" s="217"/>
      <c r="BD38" s="217"/>
      <c r="BE38" s="217"/>
      <c r="BF38" s="198"/>
      <c r="BG38" s="198"/>
      <c r="BH38" s="217" t="s">
        <v>75</v>
      </c>
      <c r="BI38" s="217"/>
      <c r="BJ38" s="217"/>
      <c r="BK38" s="217"/>
      <c r="BL38" s="217"/>
      <c r="BM38" s="217"/>
      <c r="BN38" s="217"/>
      <c r="BO38" s="217"/>
      <c r="BP38" s="217"/>
      <c r="BQ38" s="217"/>
      <c r="BR38" s="217" t="s">
        <v>76</v>
      </c>
      <c r="BS38" s="221"/>
    </row>
    <row r="39" spans="1:71" ht="15" customHeight="1">
      <c r="A39" s="126"/>
      <c r="B39" s="225"/>
      <c r="C39" s="225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2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20" t="s">
        <v>121</v>
      </c>
      <c r="AT39" s="199">
        <f>IF(AND(AN39&lt;AP46,AF42),AB39*AL45,AP46*AL45)</f>
        <v>0</v>
      </c>
      <c r="AU39" s="220" t="s">
        <v>109</v>
      </c>
      <c r="AV39" s="20">
        <f>IF(AF42,AL45-(AL45*AN39),IF(AF41,(1/6)*AL45,0))</f>
        <v>3.1081944444444449</v>
      </c>
      <c r="AW39" s="220" t="s">
        <v>60</v>
      </c>
      <c r="AX39" s="20">
        <f t="shared" ref="AX39:AX44" si="4">AV39*AP39</f>
        <v>2.5901620370370373</v>
      </c>
      <c r="AY39" s="220" t="s">
        <v>122</v>
      </c>
      <c r="AZ39" s="20">
        <f>AV39*AP46</f>
        <v>0</v>
      </c>
      <c r="BA39" s="220" t="s">
        <v>110</v>
      </c>
      <c r="BB39" s="199">
        <f t="shared" ref="BB39:BB44" si="5">AT39+AZ39</f>
        <v>0</v>
      </c>
      <c r="BC39" s="220" t="s">
        <v>117</v>
      </c>
      <c r="BD39" s="20">
        <f t="shared" ref="BD39:BD44" si="6">SUM(AR39,AX39)</f>
        <v>8.8065509259259258</v>
      </c>
      <c r="BE39" s="220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20" t="s">
        <v>102</v>
      </c>
      <c r="BJ39" s="199">
        <f>BH39+((BD39-BB39)*BF39)</f>
        <v>2.9355169753086421</v>
      </c>
      <c r="BK39" s="220" t="s">
        <v>103</v>
      </c>
      <c r="BL39" s="18">
        <f>IF(AB41&gt;0,(BH39*AB41)+((BJ39-BH39)*V44),BJ39*V44)</f>
        <v>2.9355169753086421</v>
      </c>
      <c r="BM39" s="220" t="s">
        <v>65</v>
      </c>
      <c r="BN39" s="18">
        <f>(AL44*Z42)+(AB40*BB39)</f>
        <v>0</v>
      </c>
      <c r="BO39" s="220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25"/>
      <c r="C40" s="225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27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20"/>
      <c r="AT40" s="199">
        <f>IF(AND(AN40&lt;AP46,AF42),AB39*AL45,AP46*AL45)</f>
        <v>0</v>
      </c>
      <c r="AU40" s="220"/>
      <c r="AV40" s="20">
        <f>IF(AF42,AL45-(AL45*AN40),IF(AF41,(1/6)*AL45,0))</f>
        <v>4.6622916666666665</v>
      </c>
      <c r="AW40" s="220"/>
      <c r="AX40" s="20">
        <f t="shared" si="4"/>
        <v>3.108194444444444</v>
      </c>
      <c r="AY40" s="220"/>
      <c r="AZ40" s="20">
        <f>AV40*AP46</f>
        <v>0</v>
      </c>
      <c r="BA40" s="220"/>
      <c r="BB40" s="199">
        <f t="shared" si="5"/>
        <v>0</v>
      </c>
      <c r="BC40" s="220"/>
      <c r="BD40" s="20">
        <f t="shared" si="6"/>
        <v>7.7704861111111105</v>
      </c>
      <c r="BE40" s="220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20"/>
      <c r="BJ40" s="199">
        <f>BH40+((BD40-BB40)*BF39)</f>
        <v>2.5901620370370373</v>
      </c>
      <c r="BK40" s="220"/>
      <c r="BL40" s="18">
        <f>IF(AB41&gt;0,(BH40*AB41)+((BJ40-BH40)*V44),BJ40*V44)</f>
        <v>2.5901620370370373</v>
      </c>
      <c r="BM40" s="220"/>
      <c r="BN40" s="18">
        <f>(AL44*Z42)+(AB40*BB40)</f>
        <v>0</v>
      </c>
      <c r="BO40" s="220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25"/>
      <c r="C41" s="225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27"/>
      <c r="H41" s="84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20"/>
      <c r="AT41" s="199">
        <f>IF(AND(AN41&lt;AP46,AF42),AB39*AL45,AP46*AL45)</f>
        <v>0</v>
      </c>
      <c r="AU41" s="220"/>
      <c r="AV41" s="20">
        <f>IF(AF42,AL45-(AL45*AN41),IF(AF41,(1/6)*AL45,0))</f>
        <v>6.216388888888889</v>
      </c>
      <c r="AW41" s="220"/>
      <c r="AX41" s="20">
        <f t="shared" si="4"/>
        <v>3.1081944444444445</v>
      </c>
      <c r="AY41" s="220"/>
      <c r="AZ41" s="20">
        <f>AV41*AP46</f>
        <v>0</v>
      </c>
      <c r="BA41" s="220"/>
      <c r="BB41" s="199">
        <f t="shared" si="5"/>
        <v>0</v>
      </c>
      <c r="BC41" s="220"/>
      <c r="BD41" s="20">
        <f t="shared" si="6"/>
        <v>6.2163888888888881</v>
      </c>
      <c r="BE41" s="220"/>
      <c r="BF41" s="199"/>
      <c r="BG41" s="199"/>
      <c r="BH41" s="20">
        <f>IF(AB42&lt;0,BB41*BF40,BB41*BF39)</f>
        <v>0</v>
      </c>
      <c r="BI41" s="220"/>
      <c r="BJ41" s="199">
        <f>BH41+((BD41-BB41)*BF39)</f>
        <v>2.0721296296296297</v>
      </c>
      <c r="BK41" s="220"/>
      <c r="BL41" s="18">
        <f>IF(AB41&gt;0,(BH41*AB41)+((BJ41-BH41)*V44),BJ41*V44)</f>
        <v>2.0721296296296297</v>
      </c>
      <c r="BM41" s="220"/>
      <c r="BN41" s="18">
        <f>(AL44*Z42)+(AB40*BB41)</f>
        <v>0</v>
      </c>
      <c r="BO41" s="220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27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19" t="s">
        <v>24</v>
      </c>
      <c r="O42" s="219"/>
      <c r="P42" s="5" t="s">
        <v>19</v>
      </c>
      <c r="Q42" s="219" t="s">
        <v>25</v>
      </c>
      <c r="R42" s="21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20"/>
      <c r="AT42" s="199">
        <f>IF(AND(AN42&lt;AP46,AF42),AB39*AL45,AP46*AL45)</f>
        <v>0</v>
      </c>
      <c r="AU42" s="220"/>
      <c r="AV42" s="20">
        <f>IF(AF42,AL45-(AL45*AN42),IF(AF41,(1/6)*AL45,0))</f>
        <v>6.216388888888889</v>
      </c>
      <c r="AW42" s="220"/>
      <c r="AX42" s="20">
        <f t="shared" si="4"/>
        <v>3.1081944444444445</v>
      </c>
      <c r="AY42" s="220"/>
      <c r="AZ42" s="20">
        <f>AV42*AP46</f>
        <v>0</v>
      </c>
      <c r="BA42" s="220"/>
      <c r="BB42" s="199">
        <f t="shared" si="5"/>
        <v>0</v>
      </c>
      <c r="BC42" s="220"/>
      <c r="BD42" s="20">
        <f t="shared" si="6"/>
        <v>6.2163888888888881</v>
      </c>
      <c r="BE42" s="220"/>
      <c r="BF42" s="199"/>
      <c r="BG42" s="199"/>
      <c r="BH42" s="20">
        <f>IF(AB42&lt;0,BB42*BF40,BB42*BF39)</f>
        <v>0</v>
      </c>
      <c r="BI42" s="220"/>
      <c r="BJ42" s="199">
        <f>BH42+((BD42-BB42)*BF39)</f>
        <v>2.0721296296296297</v>
      </c>
      <c r="BK42" s="220"/>
      <c r="BL42" s="18">
        <f>IF(AB41&gt;0,(BH42*AB41)+((BJ42-BH42)*V44),BJ42*V44)</f>
        <v>2.0721296296296297</v>
      </c>
      <c r="BM42" s="220"/>
      <c r="BN42" s="18">
        <f>(AL44*Z42)+(AB40*BB42)</f>
        <v>0</v>
      </c>
      <c r="BO42" s="220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27"/>
      <c r="H43" s="87"/>
      <c r="I43" s="80"/>
      <c r="J43" s="191" t="s">
        <v>16</v>
      </c>
      <c r="K43" s="219" t="s">
        <v>17</v>
      </c>
      <c r="L43" s="219"/>
      <c r="M43" s="219"/>
      <c r="N43" s="219" t="s">
        <v>28</v>
      </c>
      <c r="O43" s="219"/>
      <c r="P43" s="5">
        <v>0</v>
      </c>
      <c r="Q43" s="219" t="s">
        <v>27</v>
      </c>
      <c r="R43" s="21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20"/>
      <c r="AT43" s="199">
        <f>IF(AND(AN43&lt;AP46,AF42),AB39*AL45,AP46*AL45)</f>
        <v>0</v>
      </c>
      <c r="AU43" s="220"/>
      <c r="AV43" s="20">
        <f>IF(AF42,AL45-(AL45*AN43),IF(AF41,(1/6)*AL45,0))</f>
        <v>6.216388888888889</v>
      </c>
      <c r="AW43" s="220"/>
      <c r="AX43" s="20">
        <f t="shared" si="4"/>
        <v>3.1081944444444445</v>
      </c>
      <c r="AY43" s="220"/>
      <c r="AZ43" s="20">
        <f>AV43*AP46</f>
        <v>0</v>
      </c>
      <c r="BA43" s="220"/>
      <c r="BB43" s="199">
        <f t="shared" si="5"/>
        <v>0</v>
      </c>
      <c r="BC43" s="220"/>
      <c r="BD43" s="20">
        <f t="shared" si="6"/>
        <v>6.2163888888888881</v>
      </c>
      <c r="BE43" s="220"/>
      <c r="BF43" s="199"/>
      <c r="BG43" s="199"/>
      <c r="BH43" s="20">
        <f>IF(AB42&lt;0,BB43*BF40,BB43*BF39)</f>
        <v>0</v>
      </c>
      <c r="BI43" s="220"/>
      <c r="BJ43" s="199">
        <f>BH43+((BD43-BB43)*BF39)</f>
        <v>2.0721296296296297</v>
      </c>
      <c r="BK43" s="220"/>
      <c r="BL43" s="18">
        <f>IF(AB41&gt;0,(BH43*AB41)+((BJ43-BH43)*V44),BJ43*V44)</f>
        <v>2.0721296296296297</v>
      </c>
      <c r="BM43" s="220"/>
      <c r="BN43" s="18">
        <f>(AL44*Z42)+(AB40*BB43)</f>
        <v>0</v>
      </c>
      <c r="BO43" s="220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27"/>
      <c r="H44" s="84"/>
      <c r="I44" s="222" t="s">
        <v>30</v>
      </c>
      <c r="J44" s="222"/>
      <c r="K44" s="222" t="s">
        <v>31</v>
      </c>
      <c r="L44" s="222"/>
      <c r="M44" s="222"/>
      <c r="N44" s="219" t="s">
        <v>29</v>
      </c>
      <c r="O44" s="219"/>
      <c r="P44" s="5">
        <v>0</v>
      </c>
      <c r="Q44" s="219" t="s">
        <v>45</v>
      </c>
      <c r="R44" s="21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20"/>
      <c r="AT44" s="199">
        <f>IF(AND(AN44&lt;AP46,AF42),AB39*AL45,AP46*AL45)</f>
        <v>0</v>
      </c>
      <c r="AU44" s="220"/>
      <c r="AV44" s="20">
        <f>IF(AF42,AL45-(AL45*AN44),IF(AF41,(1/6)*AL45,0))</f>
        <v>7.7704861111111114</v>
      </c>
      <c r="AW44" s="220"/>
      <c r="AX44" s="20">
        <f t="shared" si="4"/>
        <v>2.5901620370370368</v>
      </c>
      <c r="AY44" s="220"/>
      <c r="AZ44" s="20">
        <f>AV44*AP46</f>
        <v>0</v>
      </c>
      <c r="BA44" s="220"/>
      <c r="BB44" s="199">
        <f t="shared" si="5"/>
        <v>0</v>
      </c>
      <c r="BC44" s="220"/>
      <c r="BD44" s="20">
        <f t="shared" si="6"/>
        <v>4.1442592592592593</v>
      </c>
      <c r="BE44" s="220"/>
      <c r="BF44" s="199"/>
      <c r="BG44" s="199"/>
      <c r="BH44" s="20">
        <f>IF(AB42&lt;0,BB44*BF40,BB44*BF39)</f>
        <v>0</v>
      </c>
      <c r="BI44" s="220"/>
      <c r="BJ44" s="199">
        <f>BH44+((BD44-BB44)*BF39)</f>
        <v>1.3814197530864198</v>
      </c>
      <c r="BK44" s="220"/>
      <c r="BL44" s="18">
        <f>IF(AB41&gt;0,(BH44*AB41)+((BJ44-BH44)*V44),BJ44*V44)</f>
        <v>1.3814197530864198</v>
      </c>
      <c r="BM44" s="220"/>
      <c r="BN44" s="18">
        <f>(AL44*Z42)+(AB40*BB44)</f>
        <v>0</v>
      </c>
      <c r="BO44" s="220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27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19" t="s">
        <v>26</v>
      </c>
      <c r="O45" s="219"/>
      <c r="P45" s="5">
        <v>0</v>
      </c>
      <c r="Q45" s="223" t="s">
        <v>58</v>
      </c>
      <c r="R45" s="223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27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28" t="str">
        <f>IF(I50="","",I50)</f>
        <v>Crowe v. T4</v>
      </c>
      <c r="C48" s="228"/>
      <c r="D48" s="10"/>
      <c r="E48" s="170" t="s">
        <v>11</v>
      </c>
      <c r="F48" s="10" t="s">
        <v>7</v>
      </c>
      <c r="G48" s="230"/>
      <c r="H48" s="82"/>
      <c r="I48" s="215" t="str">
        <f>IF(I50="","",I50)</f>
        <v>Crowe v. T4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83"/>
      <c r="V48" s="216" t="s">
        <v>15</v>
      </c>
      <c r="W48" s="217"/>
      <c r="X48" s="217"/>
      <c r="Y48" s="217"/>
      <c r="Z48" s="217"/>
      <c r="AA48" s="217"/>
      <c r="AB48" s="217"/>
      <c r="AC48" s="217"/>
      <c r="AD48" s="217" t="s">
        <v>21</v>
      </c>
      <c r="AE48" s="217"/>
      <c r="AF48" s="217"/>
      <c r="AG48" s="217"/>
      <c r="AH48" s="198"/>
      <c r="AI48" s="198"/>
      <c r="AJ48" s="217" t="s">
        <v>73</v>
      </c>
      <c r="AK48" s="217"/>
      <c r="AL48" s="217"/>
      <c r="AM48" s="217"/>
      <c r="AN48" s="217"/>
      <c r="AO48" s="217" t="s">
        <v>74</v>
      </c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198"/>
      <c r="BG48" s="198"/>
      <c r="BH48" s="217" t="s">
        <v>75</v>
      </c>
      <c r="BI48" s="217"/>
      <c r="BJ48" s="217"/>
      <c r="BK48" s="217"/>
      <c r="BL48" s="217"/>
      <c r="BM48" s="217"/>
      <c r="BN48" s="217"/>
      <c r="BO48" s="217"/>
      <c r="BP48" s="217"/>
      <c r="BQ48" s="217"/>
      <c r="BR48" s="217" t="s">
        <v>76</v>
      </c>
      <c r="BS48" s="221"/>
    </row>
    <row r="49" spans="1:71" ht="15" customHeight="1">
      <c r="A49" s="129"/>
      <c r="B49" s="229"/>
      <c r="C49" s="229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31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20" t="s">
        <v>121</v>
      </c>
      <c r="AT49" s="199">
        <f>IF(AND(AN49&lt;AP56,AF52),AB49*AL55,AP56*AL55)</f>
        <v>0</v>
      </c>
      <c r="AU49" s="220" t="s">
        <v>109</v>
      </c>
      <c r="AV49" s="20">
        <f>IF(AF52,AL55-(AL55*AN49),IF(AF51,(1/6)*AL55,0))</f>
        <v>2.9328703703703711</v>
      </c>
      <c r="AW49" s="220" t="s">
        <v>60</v>
      </c>
      <c r="AX49" s="20">
        <f t="shared" ref="AX49:AX54" si="8">AV49*AP49</f>
        <v>2.444058641975309</v>
      </c>
      <c r="AY49" s="220" t="s">
        <v>122</v>
      </c>
      <c r="AZ49" s="20">
        <f>AV49*AP56</f>
        <v>0</v>
      </c>
      <c r="BA49" s="220" t="s">
        <v>110</v>
      </c>
      <c r="BB49" s="199">
        <f t="shared" ref="BB49:BB54" si="9">AT49+AZ49</f>
        <v>0</v>
      </c>
      <c r="BC49" s="220" t="s">
        <v>117</v>
      </c>
      <c r="BD49" s="20">
        <f t="shared" ref="BD49:BD54" si="10">SUM(AR49,AX49)</f>
        <v>8.3097993827160508</v>
      </c>
      <c r="BE49" s="220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20" t="s">
        <v>102</v>
      </c>
      <c r="BJ49" s="199">
        <f>BH49+((BD49-BB49)*BF49)</f>
        <v>2.7699331275720174</v>
      </c>
      <c r="BK49" s="220" t="s">
        <v>103</v>
      </c>
      <c r="BL49" s="18">
        <f>IF(AB51&gt;0,(BH49*AB51)+((BJ49-BH49)*V54),BJ49*V54)</f>
        <v>2.7699331275720174</v>
      </c>
      <c r="BM49" s="220" t="s">
        <v>65</v>
      </c>
      <c r="BN49" s="18">
        <f>(AL54*Z52)+(AB50*BB49)</f>
        <v>0</v>
      </c>
      <c r="BO49" s="220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29"/>
      <c r="C50" s="229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31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20"/>
      <c r="AT50" s="199">
        <f>IF(AND(AN50&lt;AP56,AF52),AB49*AL55,AP56*AL55)</f>
        <v>0</v>
      </c>
      <c r="AU50" s="220"/>
      <c r="AV50" s="20">
        <f>IF(AF52,AL55-(AL55*AN50),IF(AF51,(1/6)*AL55,0))</f>
        <v>4.3993055555555562</v>
      </c>
      <c r="AW50" s="220"/>
      <c r="AX50" s="20">
        <f t="shared" si="8"/>
        <v>2.9328703703703707</v>
      </c>
      <c r="AY50" s="220"/>
      <c r="AZ50" s="20">
        <f>AV50*AP56</f>
        <v>0</v>
      </c>
      <c r="BA50" s="220"/>
      <c r="BB50" s="199">
        <f t="shared" si="9"/>
        <v>0</v>
      </c>
      <c r="BC50" s="220"/>
      <c r="BD50" s="20">
        <f t="shared" si="10"/>
        <v>7.3321759259259274</v>
      </c>
      <c r="BE50" s="220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20"/>
      <c r="BJ50" s="199">
        <f>BH50+((BD50-BB50)*BF49)</f>
        <v>2.4440586419753094</v>
      </c>
      <c r="BK50" s="220"/>
      <c r="BL50" s="18">
        <f>IF(AB51&gt;0,(BH50*AB51)+((BJ50-BH50)*V54),BJ50*V54)</f>
        <v>2.4440586419753094</v>
      </c>
      <c r="BM50" s="220"/>
      <c r="BN50" s="18">
        <f>(AL54*Z52)+(AB50*BB50)</f>
        <v>0</v>
      </c>
      <c r="BO50" s="220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29"/>
      <c r="C51" s="229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31"/>
      <c r="H51" s="84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20"/>
      <c r="AT51" s="199">
        <f>IF(AND(AN51&lt;AP56,AF52),AB49*AL55,AP56*AL55)</f>
        <v>0</v>
      </c>
      <c r="AU51" s="220"/>
      <c r="AV51" s="20">
        <f>IF(AF52,AL55-(AL55*AN51),IF(AF51,(1/6)*AL55,0))</f>
        <v>5.8657407407407423</v>
      </c>
      <c r="AW51" s="220"/>
      <c r="AX51" s="20">
        <f t="shared" si="8"/>
        <v>2.9328703703703711</v>
      </c>
      <c r="AY51" s="220"/>
      <c r="AZ51" s="20">
        <f>AV51*AP56</f>
        <v>0</v>
      </c>
      <c r="BA51" s="220"/>
      <c r="BB51" s="199">
        <f t="shared" si="9"/>
        <v>0</v>
      </c>
      <c r="BC51" s="220"/>
      <c r="BD51" s="20">
        <f t="shared" si="10"/>
        <v>5.8657407407407423</v>
      </c>
      <c r="BE51" s="220"/>
      <c r="BF51" s="199"/>
      <c r="BG51" s="199"/>
      <c r="BH51" s="20">
        <f>IF(AB52&lt;0,BB51*BF50,BB51*BF49)</f>
        <v>0</v>
      </c>
      <c r="BI51" s="220"/>
      <c r="BJ51" s="199">
        <f>BH51+((BD51-BB51)*BF49)</f>
        <v>1.9552469135802477</v>
      </c>
      <c r="BK51" s="220"/>
      <c r="BL51" s="18">
        <f>IF(AB51&gt;0,(BH51*AB51)+((BJ51-BH51)*V54),BJ51*V54)</f>
        <v>1.9552469135802477</v>
      </c>
      <c r="BM51" s="220"/>
      <c r="BN51" s="18">
        <f>(AL54*Z52)+(AB50*BB51)</f>
        <v>0</v>
      </c>
      <c r="BO51" s="220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31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19" t="s">
        <v>24</v>
      </c>
      <c r="O52" s="219"/>
      <c r="P52" s="5" t="s">
        <v>19</v>
      </c>
      <c r="Q52" s="219" t="s">
        <v>25</v>
      </c>
      <c r="R52" s="21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20"/>
      <c r="AT52" s="199">
        <f>IF(AND(AN52&lt;AP56,AF52),AB49*AL55,AP56*AL55)</f>
        <v>0</v>
      </c>
      <c r="AU52" s="220"/>
      <c r="AV52" s="20">
        <f>IF(AF52,AL55-(AL55*AN52),IF(AF51,(1/6)*AL55,0))</f>
        <v>5.8657407407407423</v>
      </c>
      <c r="AW52" s="220"/>
      <c r="AX52" s="20">
        <f t="shared" si="8"/>
        <v>2.9328703703703711</v>
      </c>
      <c r="AY52" s="220"/>
      <c r="AZ52" s="20">
        <f>AV52*AP56</f>
        <v>0</v>
      </c>
      <c r="BA52" s="220"/>
      <c r="BB52" s="199">
        <f t="shared" si="9"/>
        <v>0</v>
      </c>
      <c r="BC52" s="220"/>
      <c r="BD52" s="20">
        <f t="shared" si="10"/>
        <v>5.8657407407407423</v>
      </c>
      <c r="BE52" s="220"/>
      <c r="BF52" s="199"/>
      <c r="BG52" s="199"/>
      <c r="BH52" s="20">
        <f>IF(AB52&lt;0,BB52*BF50,BB52*BF49)</f>
        <v>0</v>
      </c>
      <c r="BI52" s="220"/>
      <c r="BJ52" s="199">
        <f>BH52+((BD52-BB52)*BF49)</f>
        <v>1.9552469135802477</v>
      </c>
      <c r="BK52" s="220"/>
      <c r="BL52" s="18">
        <f>IF(AB51&gt;0,(BH52*AB51)+((BJ52-BH52)*V54),BJ52*V54)</f>
        <v>1.9552469135802477</v>
      </c>
      <c r="BM52" s="220"/>
      <c r="BN52" s="18">
        <f>(AL54*Z52)+(AB50*BB52)</f>
        <v>0</v>
      </c>
      <c r="BO52" s="220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31"/>
      <c r="H53" s="87"/>
      <c r="I53" s="80"/>
      <c r="J53" s="191" t="s">
        <v>16</v>
      </c>
      <c r="K53" s="219" t="s">
        <v>17</v>
      </c>
      <c r="L53" s="219"/>
      <c r="M53" s="219"/>
      <c r="N53" s="219" t="s">
        <v>28</v>
      </c>
      <c r="O53" s="219"/>
      <c r="P53" s="5">
        <v>0</v>
      </c>
      <c r="Q53" s="219" t="s">
        <v>27</v>
      </c>
      <c r="R53" s="219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20"/>
      <c r="AT53" s="199">
        <f>IF(AND(AN53&lt;AP56,AF52),AB49*AL55,AP56*AL55)</f>
        <v>0</v>
      </c>
      <c r="AU53" s="220"/>
      <c r="AV53" s="20">
        <f>IF(AF52,AL55-(AL55*AN53),IF(AF51,(1/6)*AL55,0))</f>
        <v>5.8657407407407423</v>
      </c>
      <c r="AW53" s="220"/>
      <c r="AX53" s="20">
        <f t="shared" si="8"/>
        <v>2.9328703703703711</v>
      </c>
      <c r="AY53" s="220"/>
      <c r="AZ53" s="20">
        <f>AV53*AP56</f>
        <v>0</v>
      </c>
      <c r="BA53" s="220"/>
      <c r="BB53" s="199">
        <f t="shared" si="9"/>
        <v>0</v>
      </c>
      <c r="BC53" s="220"/>
      <c r="BD53" s="20">
        <f t="shared" si="10"/>
        <v>5.8657407407407423</v>
      </c>
      <c r="BE53" s="220"/>
      <c r="BF53" s="199"/>
      <c r="BG53" s="199"/>
      <c r="BH53" s="20">
        <f>IF(AB52&lt;0,BB53*BF50,BB53*BF49)</f>
        <v>0</v>
      </c>
      <c r="BI53" s="220"/>
      <c r="BJ53" s="199">
        <f>BH53+((BD53-BB53)*BF49)</f>
        <v>1.9552469135802477</v>
      </c>
      <c r="BK53" s="220"/>
      <c r="BL53" s="18">
        <f>IF(AB51&gt;0,(BH53*AB51)+((BJ53-BH53)*V54),BJ53*V54)</f>
        <v>1.9552469135802477</v>
      </c>
      <c r="BM53" s="220"/>
      <c r="BN53" s="18">
        <f>(AL54*Z52)+(AB50*BB53)</f>
        <v>0</v>
      </c>
      <c r="BO53" s="220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31"/>
      <c r="H54" s="84"/>
      <c r="I54" s="222" t="s">
        <v>30</v>
      </c>
      <c r="J54" s="222"/>
      <c r="K54" s="222" t="s">
        <v>31</v>
      </c>
      <c r="L54" s="222"/>
      <c r="M54" s="222"/>
      <c r="N54" s="219" t="s">
        <v>29</v>
      </c>
      <c r="O54" s="219"/>
      <c r="P54" s="5">
        <v>0</v>
      </c>
      <c r="Q54" s="219" t="s">
        <v>45</v>
      </c>
      <c r="R54" s="219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20"/>
      <c r="AT54" s="199">
        <f>IF(AND(AN54&lt;AP56,AF52),AB49*AL55,AP56*AL55)</f>
        <v>0</v>
      </c>
      <c r="AU54" s="220"/>
      <c r="AV54" s="20">
        <f>IF(AF52,AL55-(AL55*AN54),IF(AF51,(1/6)*AL55,0))</f>
        <v>7.3321759259259274</v>
      </c>
      <c r="AW54" s="220"/>
      <c r="AX54" s="20">
        <f t="shared" si="8"/>
        <v>2.444058641975309</v>
      </c>
      <c r="AY54" s="220"/>
      <c r="AZ54" s="20">
        <f>AV54*AP56</f>
        <v>0</v>
      </c>
      <c r="BA54" s="220"/>
      <c r="BB54" s="199">
        <f t="shared" si="9"/>
        <v>0</v>
      </c>
      <c r="BC54" s="220"/>
      <c r="BD54" s="20">
        <f t="shared" si="10"/>
        <v>3.9104938271604945</v>
      </c>
      <c r="BE54" s="220"/>
      <c r="BF54" s="199"/>
      <c r="BG54" s="199"/>
      <c r="BH54" s="20">
        <f>IF(AB52&lt;0,BB54*BF50,BB54*BF49)</f>
        <v>0</v>
      </c>
      <c r="BI54" s="220"/>
      <c r="BJ54" s="199">
        <f>BH54+((BD54-BB54)*BF49)</f>
        <v>1.3034979423868316</v>
      </c>
      <c r="BK54" s="220"/>
      <c r="BL54" s="18">
        <f>IF(AB51&gt;0,(BH54*AB51)+((BJ54-BH54)*V54),BJ54*V54)</f>
        <v>1.3034979423868316</v>
      </c>
      <c r="BM54" s="220"/>
      <c r="BN54" s="18">
        <f>(AL54*Z52)+(AB50*BB54)</f>
        <v>0</v>
      </c>
      <c r="BO54" s="220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31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19" t="s">
        <v>26</v>
      </c>
      <c r="O55" s="219"/>
      <c r="P55" s="5">
        <v>0</v>
      </c>
      <c r="Q55" s="223" t="s">
        <v>58</v>
      </c>
      <c r="R55" s="223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31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2" t="str">
        <f>IF(I60="","",I60)</f>
        <v>Crowe v. T5</v>
      </c>
      <c r="C58" s="232"/>
      <c r="D58" s="32"/>
      <c r="E58" s="173" t="s">
        <v>11</v>
      </c>
      <c r="F58" s="32" t="s">
        <v>7</v>
      </c>
      <c r="G58" s="234"/>
      <c r="H58" s="82"/>
      <c r="I58" s="215" t="str">
        <f>IF(I60="","",I60)</f>
        <v>Crowe v. T5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83"/>
      <c r="V58" s="216" t="s">
        <v>15</v>
      </c>
      <c r="W58" s="217"/>
      <c r="X58" s="217"/>
      <c r="Y58" s="217"/>
      <c r="Z58" s="217"/>
      <c r="AA58" s="217"/>
      <c r="AB58" s="217"/>
      <c r="AC58" s="217"/>
      <c r="AD58" s="217" t="s">
        <v>21</v>
      </c>
      <c r="AE58" s="217"/>
      <c r="AF58" s="217"/>
      <c r="AG58" s="217"/>
      <c r="AH58" s="198"/>
      <c r="AI58" s="198"/>
      <c r="AJ58" s="217" t="s">
        <v>73</v>
      </c>
      <c r="AK58" s="217"/>
      <c r="AL58" s="217"/>
      <c r="AM58" s="217"/>
      <c r="AN58" s="217"/>
      <c r="AO58" s="217" t="s">
        <v>74</v>
      </c>
      <c r="AP58" s="217"/>
      <c r="AQ58" s="217"/>
      <c r="AR58" s="217"/>
      <c r="AS58" s="217"/>
      <c r="AT58" s="217"/>
      <c r="AU58" s="217"/>
      <c r="AV58" s="217"/>
      <c r="AW58" s="217"/>
      <c r="AX58" s="217"/>
      <c r="AY58" s="217"/>
      <c r="AZ58" s="217"/>
      <c r="BA58" s="217"/>
      <c r="BB58" s="217"/>
      <c r="BC58" s="217"/>
      <c r="BD58" s="217"/>
      <c r="BE58" s="217"/>
      <c r="BF58" s="198"/>
      <c r="BG58" s="198"/>
      <c r="BH58" s="217" t="s">
        <v>75</v>
      </c>
      <c r="BI58" s="217"/>
      <c r="BJ58" s="217"/>
      <c r="BK58" s="217"/>
      <c r="BL58" s="217"/>
      <c r="BM58" s="217"/>
      <c r="BN58" s="217"/>
      <c r="BO58" s="217"/>
      <c r="BP58" s="217"/>
      <c r="BQ58" s="217"/>
      <c r="BR58" s="217" t="s">
        <v>76</v>
      </c>
      <c r="BS58" s="221"/>
    </row>
    <row r="59" spans="1:71" ht="15" customHeight="1">
      <c r="A59" s="132"/>
      <c r="B59" s="233"/>
      <c r="C59" s="233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35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20" t="s">
        <v>121</v>
      </c>
      <c r="AT59" s="199">
        <f>IF(AND(AN59&lt;AP66,AF62),AB59*AL65,AP66*AL65)</f>
        <v>0</v>
      </c>
      <c r="AU59" s="220" t="s">
        <v>109</v>
      </c>
      <c r="AV59" s="20">
        <f>IF(AF62,AL65-(AL65*AN59),IF(AF61,(1/6)*AL65,0))</f>
        <v>2.6703703703703709</v>
      </c>
      <c r="AW59" s="220" t="s">
        <v>60</v>
      </c>
      <c r="AX59" s="20">
        <f t="shared" ref="AX59:AX64" si="12">AV59*AP59</f>
        <v>2.225308641975309</v>
      </c>
      <c r="AY59" s="220" t="s">
        <v>122</v>
      </c>
      <c r="AZ59" s="20">
        <f>AV59*AP66</f>
        <v>0</v>
      </c>
      <c r="BA59" s="220" t="s">
        <v>110</v>
      </c>
      <c r="BB59" s="199">
        <f t="shared" ref="BB59:BB64" si="13">AT59+AZ59</f>
        <v>0</v>
      </c>
      <c r="BC59" s="220" t="s">
        <v>117</v>
      </c>
      <c r="BD59" s="20">
        <f t="shared" ref="BD59:BD64" si="14">SUM(AR59,AX59)</f>
        <v>7.5660493827160487</v>
      </c>
      <c r="BE59" s="220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20" t="s">
        <v>102</v>
      </c>
      <c r="BJ59" s="199">
        <f>BH59+((BD59-BB59)*BF59)</f>
        <v>2.5220164609053497</v>
      </c>
      <c r="BK59" s="220" t="s">
        <v>103</v>
      </c>
      <c r="BL59" s="18">
        <f>IF(AB61&gt;0,(BH59*AB61)+((BJ59-BH59)*V64),BJ59*V64)</f>
        <v>2.5220164609053497</v>
      </c>
      <c r="BM59" s="220" t="s">
        <v>65</v>
      </c>
      <c r="BN59" s="18">
        <f>(AL64*Z62)+(AB60*BB59)</f>
        <v>0</v>
      </c>
      <c r="BO59" s="220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33"/>
      <c r="C60" s="233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35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20"/>
      <c r="AT60" s="199">
        <f>IF(AND(AN60&lt;AP66,AF62),AB59*AL65,AP66*AL65)</f>
        <v>0</v>
      </c>
      <c r="AU60" s="220"/>
      <c r="AV60" s="20">
        <f>IF(AF62,AL65-(AL65*AN60),IF(AF61,(1/6)*AL65,0))</f>
        <v>4.0055555555555555</v>
      </c>
      <c r="AW60" s="220"/>
      <c r="AX60" s="20">
        <f t="shared" si="12"/>
        <v>2.6703703703703701</v>
      </c>
      <c r="AY60" s="220"/>
      <c r="AZ60" s="20">
        <f>AV60*AP66</f>
        <v>0</v>
      </c>
      <c r="BA60" s="220"/>
      <c r="BB60" s="199">
        <f t="shared" si="13"/>
        <v>0</v>
      </c>
      <c r="BC60" s="220"/>
      <c r="BD60" s="20">
        <f t="shared" si="14"/>
        <v>6.6759259259259256</v>
      </c>
      <c r="BE60" s="220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20"/>
      <c r="BJ60" s="199">
        <f>BH60+((BD60-BB60)*BF59)</f>
        <v>2.225308641975309</v>
      </c>
      <c r="BK60" s="220"/>
      <c r="BL60" s="18">
        <f>IF(AB61&gt;0,(BH60*AB61)+((BJ60-BH60)*V64),BJ60*V64)</f>
        <v>2.225308641975309</v>
      </c>
      <c r="BM60" s="220"/>
      <c r="BN60" s="18">
        <f>(AL64*Z62)+(AB60*BB60)</f>
        <v>0</v>
      </c>
      <c r="BO60" s="220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33"/>
      <c r="C61" s="233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35"/>
      <c r="H61" s="84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20"/>
      <c r="AT61" s="199">
        <f>IF(AND(AN61&lt;AP66,AF62),AB59*AL65,AP66*AL65)</f>
        <v>0</v>
      </c>
      <c r="AU61" s="220"/>
      <c r="AV61" s="20">
        <f>IF(AF62,AL65-(AL65*AN61),IF(AF61,(1/6)*AL65,0))</f>
        <v>5.340740740740741</v>
      </c>
      <c r="AW61" s="220"/>
      <c r="AX61" s="20">
        <f t="shared" si="12"/>
        <v>2.6703703703703705</v>
      </c>
      <c r="AY61" s="220"/>
      <c r="AZ61" s="20">
        <f>AV61*AP66</f>
        <v>0</v>
      </c>
      <c r="BA61" s="220"/>
      <c r="BB61" s="199">
        <f t="shared" si="13"/>
        <v>0</v>
      </c>
      <c r="BC61" s="220"/>
      <c r="BD61" s="20">
        <f t="shared" si="14"/>
        <v>5.3407407407407401</v>
      </c>
      <c r="BE61" s="220"/>
      <c r="BF61" s="199"/>
      <c r="BG61" s="199"/>
      <c r="BH61" s="20">
        <f>IF(AB62&lt;0,BB61*BF60,BB61*BF59)</f>
        <v>0</v>
      </c>
      <c r="BI61" s="220"/>
      <c r="BJ61" s="199">
        <f>BH61+((BD61-BB61)*BF59)</f>
        <v>1.780246913580247</v>
      </c>
      <c r="BK61" s="220"/>
      <c r="BL61" s="18">
        <f>IF(AB61&gt;0,(BH61*AB61)+((BJ61-BH61)*V64),BJ61*V64)</f>
        <v>1.780246913580247</v>
      </c>
      <c r="BM61" s="220"/>
      <c r="BN61" s="18">
        <f>(AL64*Z62)+(AB60*BB61)</f>
        <v>0</v>
      </c>
      <c r="BO61" s="220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35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19" t="s">
        <v>24</v>
      </c>
      <c r="O62" s="219"/>
      <c r="P62" s="5" t="s">
        <v>19</v>
      </c>
      <c r="Q62" s="219" t="s">
        <v>25</v>
      </c>
      <c r="R62" s="21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20"/>
      <c r="AT62" s="199">
        <f>IF(AND(AN62&lt;AP66,AF62),AB59*AL65,AP66*AL65)</f>
        <v>0</v>
      </c>
      <c r="AU62" s="220"/>
      <c r="AV62" s="20">
        <f>IF(AF62,AL65-(AL65*AN62),IF(AF61,(1/6)*AL65,0))</f>
        <v>5.340740740740741</v>
      </c>
      <c r="AW62" s="220"/>
      <c r="AX62" s="20">
        <f t="shared" si="12"/>
        <v>2.6703703703703705</v>
      </c>
      <c r="AY62" s="220"/>
      <c r="AZ62" s="20">
        <f>AV62*AP66</f>
        <v>0</v>
      </c>
      <c r="BA62" s="220"/>
      <c r="BB62" s="199">
        <f t="shared" si="13"/>
        <v>0</v>
      </c>
      <c r="BC62" s="220"/>
      <c r="BD62" s="20">
        <f t="shared" si="14"/>
        <v>5.3407407407407401</v>
      </c>
      <c r="BE62" s="220"/>
      <c r="BF62" s="199"/>
      <c r="BG62" s="199"/>
      <c r="BH62" s="20">
        <f>IF(AB62&lt;0,BB62*BF60,BB62*BF59)</f>
        <v>0</v>
      </c>
      <c r="BI62" s="220"/>
      <c r="BJ62" s="199">
        <f>BH62+((BD62-BB62)*BF59)</f>
        <v>1.780246913580247</v>
      </c>
      <c r="BK62" s="220"/>
      <c r="BL62" s="18">
        <f>IF(AB61&gt;0,(BH62*AB61)+((BJ62-BH62)*V64),BJ62*V64)</f>
        <v>1.780246913580247</v>
      </c>
      <c r="BM62" s="220"/>
      <c r="BN62" s="18">
        <f>(AL64*Z62)+(AB60*BB62)</f>
        <v>0</v>
      </c>
      <c r="BO62" s="220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35"/>
      <c r="H63" s="87"/>
      <c r="I63" s="80"/>
      <c r="J63" s="191" t="s">
        <v>16</v>
      </c>
      <c r="K63" s="219" t="s">
        <v>17</v>
      </c>
      <c r="L63" s="219"/>
      <c r="M63" s="219"/>
      <c r="N63" s="219" t="s">
        <v>28</v>
      </c>
      <c r="O63" s="219"/>
      <c r="P63" s="5">
        <v>0</v>
      </c>
      <c r="Q63" s="219" t="s">
        <v>27</v>
      </c>
      <c r="R63" s="21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20"/>
      <c r="AT63" s="199">
        <f>IF(AND(AN63&lt;AP66,AF62),AB59*AL65,AP66*AL65)</f>
        <v>0</v>
      </c>
      <c r="AU63" s="220"/>
      <c r="AV63" s="20">
        <f>IF(AF62,AL65-(AL65*AN63),IF(AF61,(1/6)*AL65,0))</f>
        <v>5.340740740740741</v>
      </c>
      <c r="AW63" s="220"/>
      <c r="AX63" s="20">
        <f t="shared" si="12"/>
        <v>2.6703703703703705</v>
      </c>
      <c r="AY63" s="220"/>
      <c r="AZ63" s="20">
        <f>AV63*AP66</f>
        <v>0</v>
      </c>
      <c r="BA63" s="220"/>
      <c r="BB63" s="199">
        <f t="shared" si="13"/>
        <v>0</v>
      </c>
      <c r="BC63" s="220"/>
      <c r="BD63" s="20">
        <f t="shared" si="14"/>
        <v>5.3407407407407401</v>
      </c>
      <c r="BE63" s="220"/>
      <c r="BF63" s="199"/>
      <c r="BG63" s="199"/>
      <c r="BH63" s="20">
        <f>IF(AB62&lt;0,BB63*BF60,BB63*BF59)</f>
        <v>0</v>
      </c>
      <c r="BI63" s="220"/>
      <c r="BJ63" s="199">
        <f>BH63+((BD63-BB63)*BF59)</f>
        <v>1.780246913580247</v>
      </c>
      <c r="BK63" s="220"/>
      <c r="BL63" s="18">
        <f>IF(AB61&gt;0,(BH63*AB61)+((BJ63-BH63)*V64),BJ63*V64)</f>
        <v>1.780246913580247</v>
      </c>
      <c r="BM63" s="220"/>
      <c r="BN63" s="18">
        <f>(AL64*Z62)+(AB60*BB63)</f>
        <v>0</v>
      </c>
      <c r="BO63" s="220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35"/>
      <c r="H64" s="84"/>
      <c r="I64" s="222" t="s">
        <v>30</v>
      </c>
      <c r="J64" s="222"/>
      <c r="K64" s="222" t="s">
        <v>31</v>
      </c>
      <c r="L64" s="222"/>
      <c r="M64" s="222"/>
      <c r="N64" s="219" t="s">
        <v>29</v>
      </c>
      <c r="O64" s="219"/>
      <c r="P64" s="5">
        <v>0</v>
      </c>
      <c r="Q64" s="219" t="s">
        <v>45</v>
      </c>
      <c r="R64" s="21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20"/>
      <c r="AT64" s="199">
        <f>IF(AND(AN64&lt;AP66,AF62),AB59*AL65,AP66*AL65)</f>
        <v>0</v>
      </c>
      <c r="AU64" s="220"/>
      <c r="AV64" s="20">
        <f>IF(AF62,AL65-(AL65*AN64),IF(AF61,(1/6)*AL65,0))</f>
        <v>6.6759259259259256</v>
      </c>
      <c r="AW64" s="220"/>
      <c r="AX64" s="20">
        <f t="shared" si="12"/>
        <v>2.2253086419753085</v>
      </c>
      <c r="AY64" s="220"/>
      <c r="AZ64" s="20">
        <f>AV64*AP66</f>
        <v>0</v>
      </c>
      <c r="BA64" s="220"/>
      <c r="BB64" s="199">
        <f t="shared" si="13"/>
        <v>0</v>
      </c>
      <c r="BC64" s="220"/>
      <c r="BD64" s="20">
        <f t="shared" si="14"/>
        <v>3.5604938271604936</v>
      </c>
      <c r="BE64" s="220"/>
      <c r="BF64" s="199"/>
      <c r="BG64" s="199"/>
      <c r="BH64" s="20">
        <f>IF(AB62&lt;0,BB64*BF60,BB64*BF59)</f>
        <v>0</v>
      </c>
      <c r="BI64" s="220"/>
      <c r="BJ64" s="199">
        <f>BH64+((BD64-BB64)*BF59)</f>
        <v>1.1868312757201647</v>
      </c>
      <c r="BK64" s="220"/>
      <c r="BL64" s="18">
        <f>IF(AB61&gt;0,(BH64*AB61)+((BJ64-BH64)*V64),BJ64*V64)</f>
        <v>1.1868312757201647</v>
      </c>
      <c r="BM64" s="220"/>
      <c r="BN64" s="18">
        <f>(AL64*Z62)+(AB60*BB64)</f>
        <v>0</v>
      </c>
      <c r="BO64" s="220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35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19" t="s">
        <v>26</v>
      </c>
      <c r="O65" s="219"/>
      <c r="P65" s="5">
        <v>0</v>
      </c>
      <c r="Q65" s="223" t="s">
        <v>58</v>
      </c>
      <c r="R65" s="223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35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6" t="str">
        <f>IF(I70="","",I70)</f>
        <v>Model 5</v>
      </c>
      <c r="C68" s="236"/>
      <c r="D68" s="34"/>
      <c r="E68" s="176" t="s">
        <v>11</v>
      </c>
      <c r="F68" s="34" t="s">
        <v>7</v>
      </c>
      <c r="G68" s="238"/>
      <c r="H68" s="82"/>
      <c r="I68" s="215" t="str">
        <f>IF(I70="","",I70)</f>
        <v>Model 5</v>
      </c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83"/>
      <c r="V68" s="216" t="s">
        <v>15</v>
      </c>
      <c r="W68" s="217"/>
      <c r="X68" s="217"/>
      <c r="Y68" s="217"/>
      <c r="Z68" s="217"/>
      <c r="AA68" s="217"/>
      <c r="AB68" s="217"/>
      <c r="AC68" s="217"/>
      <c r="AD68" s="217" t="s">
        <v>21</v>
      </c>
      <c r="AE68" s="217"/>
      <c r="AF68" s="217"/>
      <c r="AG68" s="217"/>
      <c r="AH68" s="198"/>
      <c r="AI68" s="198"/>
      <c r="AJ68" s="217" t="s">
        <v>73</v>
      </c>
      <c r="AK68" s="217"/>
      <c r="AL68" s="217"/>
      <c r="AM68" s="217"/>
      <c r="AN68" s="217"/>
      <c r="AO68" s="217" t="s">
        <v>74</v>
      </c>
      <c r="AP68" s="217"/>
      <c r="AQ68" s="217"/>
      <c r="AR68" s="217"/>
      <c r="AS68" s="217"/>
      <c r="AT68" s="217"/>
      <c r="AU68" s="217"/>
      <c r="AV68" s="217"/>
      <c r="AW68" s="217"/>
      <c r="AX68" s="217"/>
      <c r="AY68" s="217"/>
      <c r="AZ68" s="217"/>
      <c r="BA68" s="217"/>
      <c r="BB68" s="217"/>
      <c r="BC68" s="217"/>
      <c r="BD68" s="217"/>
      <c r="BE68" s="217"/>
      <c r="BF68" s="198"/>
      <c r="BG68" s="198"/>
      <c r="BH68" s="217" t="s">
        <v>75</v>
      </c>
      <c r="BI68" s="217"/>
      <c r="BJ68" s="217"/>
      <c r="BK68" s="217"/>
      <c r="BL68" s="217"/>
      <c r="BM68" s="217"/>
      <c r="BN68" s="217"/>
      <c r="BO68" s="217"/>
      <c r="BP68" s="217"/>
      <c r="BQ68" s="217"/>
      <c r="BR68" s="217" t="s">
        <v>76</v>
      </c>
      <c r="BS68" s="221"/>
    </row>
    <row r="69" spans="1:71" ht="15" customHeight="1">
      <c r="A69" s="152"/>
      <c r="B69" s="237"/>
      <c r="C69" s="237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9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9"/>
      <c r="R69" s="21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20" t="s">
        <v>121</v>
      </c>
      <c r="AT69" s="199">
        <f>IF(AND(AN69&lt;AP76,AF72),AB69*AL75,AP76*AL75)</f>
        <v>0</v>
      </c>
      <c r="AU69" s="220" t="s">
        <v>109</v>
      </c>
      <c r="AV69" s="20">
        <f>IF(AF72,AL75-(AL75*AN69),IF(AF71,(1/6)*AL75,0))</f>
        <v>0</v>
      </c>
      <c r="AW69" s="220" t="s">
        <v>60</v>
      </c>
      <c r="AX69" s="20">
        <f t="shared" ref="AX69:AX74" si="16">AV69*AP69</f>
        <v>0</v>
      </c>
      <c r="AY69" s="220" t="s">
        <v>122</v>
      </c>
      <c r="AZ69" s="20">
        <f>AV69*AP76</f>
        <v>0</v>
      </c>
      <c r="BA69" s="220" t="s">
        <v>110</v>
      </c>
      <c r="BB69" s="199">
        <f t="shared" ref="BB69:BB74" si="17">AT69+AZ69</f>
        <v>0</v>
      </c>
      <c r="BC69" s="220" t="s">
        <v>117</v>
      </c>
      <c r="BD69" s="20">
        <f t="shared" ref="BD69:BD74" si="18">SUM(AR69,AX69)</f>
        <v>3</v>
      </c>
      <c r="BE69" s="220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20" t="s">
        <v>102</v>
      </c>
      <c r="BJ69" s="199">
        <f>BH69+((BD69-BB69)*BF69)</f>
        <v>1</v>
      </c>
      <c r="BK69" s="220" t="s">
        <v>103</v>
      </c>
      <c r="BL69" s="18">
        <f>IF(AB71&gt;0,(BH69*AB71)+((BJ69-BH69)*V74),BJ69*V74)</f>
        <v>1</v>
      </c>
      <c r="BM69" s="220" t="s">
        <v>65</v>
      </c>
      <c r="BN69" s="18">
        <f>(AL74*Z72)+(AB70*BB69)</f>
        <v>0</v>
      </c>
      <c r="BO69" s="220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37"/>
      <c r="C70" s="237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9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19"/>
      <c r="R70" s="219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20"/>
      <c r="AT70" s="199">
        <f>IF(AND(AN70&lt;AP76,AF72),AB69*AL75,AP76*AL75)</f>
        <v>0</v>
      </c>
      <c r="AU70" s="220"/>
      <c r="AV70" s="20">
        <f>IF(AF72,AL75-(AL75*AN70),IF(AF71,(1/6)*AL75,0))</f>
        <v>0</v>
      </c>
      <c r="AW70" s="220"/>
      <c r="AX70" s="20">
        <f t="shared" si="16"/>
        <v>0</v>
      </c>
      <c r="AY70" s="220"/>
      <c r="AZ70" s="20">
        <f>AV70*AP76</f>
        <v>0</v>
      </c>
      <c r="BA70" s="220"/>
      <c r="BB70" s="199">
        <f t="shared" si="17"/>
        <v>0</v>
      </c>
      <c r="BC70" s="220"/>
      <c r="BD70" s="20">
        <f t="shared" si="18"/>
        <v>2.25</v>
      </c>
      <c r="BE70" s="220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20"/>
      <c r="BJ70" s="199">
        <f>BH70+((BD70-BB70)*BF69)</f>
        <v>0.75000000000000011</v>
      </c>
      <c r="BK70" s="220"/>
      <c r="BL70" s="18">
        <f>IF(AB71&gt;0,(BH70*AB71)+((BJ70-BH70)*V74),BJ70*V74)</f>
        <v>0.75000000000000011</v>
      </c>
      <c r="BM70" s="220"/>
      <c r="BN70" s="18">
        <f>(AL74*Z72)+(AB70*BB70)</f>
        <v>0</v>
      </c>
      <c r="BO70" s="220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37"/>
      <c r="C71" s="237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9"/>
      <c r="H71" s="84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20"/>
      <c r="AT71" s="199">
        <f>IF(AND(AN71&lt;AP76,AF72),AB69*AL75,AP76*AL75)</f>
        <v>0</v>
      </c>
      <c r="AU71" s="220"/>
      <c r="AV71" s="20">
        <f>IF(AF72,AL75-(AL75*AN71),IF(AF71,(1/6)*AL75,0))</f>
        <v>0</v>
      </c>
      <c r="AW71" s="220"/>
      <c r="AX71" s="20">
        <f t="shared" si="16"/>
        <v>0</v>
      </c>
      <c r="AY71" s="220"/>
      <c r="AZ71" s="20">
        <f>AV71*AP76</f>
        <v>0</v>
      </c>
      <c r="BA71" s="220"/>
      <c r="BB71" s="199">
        <f t="shared" si="17"/>
        <v>0</v>
      </c>
      <c r="BC71" s="220"/>
      <c r="BD71" s="20">
        <f t="shared" si="18"/>
        <v>1.5</v>
      </c>
      <c r="BE71" s="220"/>
      <c r="BF71" s="199"/>
      <c r="BG71" s="199"/>
      <c r="BH71" s="20">
        <f>IF(AB72&lt;0,BB71*BF70,BB71*BF69)</f>
        <v>0</v>
      </c>
      <c r="BI71" s="220"/>
      <c r="BJ71" s="199">
        <f>BH71+((BD71-BB71)*BF69)</f>
        <v>0.5</v>
      </c>
      <c r="BK71" s="220"/>
      <c r="BL71" s="18">
        <f>IF(AB71&gt;0,(BH71*AB71)+((BJ71-BH71)*V74),BJ71*V74)</f>
        <v>0.5</v>
      </c>
      <c r="BM71" s="220"/>
      <c r="BN71" s="18">
        <f>(AL74*Z72)+(AB70*BB71)</f>
        <v>0</v>
      </c>
      <c r="BO71" s="220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9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19" t="s">
        <v>24</v>
      </c>
      <c r="O72" s="219"/>
      <c r="P72" s="5" t="s">
        <v>19</v>
      </c>
      <c r="Q72" s="219" t="s">
        <v>25</v>
      </c>
      <c r="R72" s="21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20"/>
      <c r="AT72" s="199">
        <f>IF(AND(AN72&lt;AP76,AF72),AB69*AL75,AP76*AL75)</f>
        <v>0</v>
      </c>
      <c r="AU72" s="220"/>
      <c r="AV72" s="20">
        <f>IF(AF72,AL75-(AL75*AN72),IF(AF71,(1/6)*AL75,0))</f>
        <v>0</v>
      </c>
      <c r="AW72" s="220"/>
      <c r="AX72" s="20">
        <f t="shared" si="16"/>
        <v>0</v>
      </c>
      <c r="AY72" s="220"/>
      <c r="AZ72" s="20">
        <f>AV72*AP76</f>
        <v>0</v>
      </c>
      <c r="BA72" s="220"/>
      <c r="BB72" s="199">
        <f t="shared" si="17"/>
        <v>0</v>
      </c>
      <c r="BC72" s="220"/>
      <c r="BD72" s="20">
        <f t="shared" si="18"/>
        <v>1.5</v>
      </c>
      <c r="BE72" s="220"/>
      <c r="BF72" s="199"/>
      <c r="BG72" s="199"/>
      <c r="BH72" s="20">
        <f>IF(AB72&lt;0,BB72*BF70,BB72*BF69)</f>
        <v>0</v>
      </c>
      <c r="BI72" s="220"/>
      <c r="BJ72" s="199">
        <f>BH72+((BD72-BB72)*BF69)</f>
        <v>0.5</v>
      </c>
      <c r="BK72" s="220"/>
      <c r="BL72" s="18">
        <f>IF(AB71&gt;0,(BH72*AB71)+((BJ72-BH72)*V74),BJ72*V74)</f>
        <v>0.5</v>
      </c>
      <c r="BM72" s="220"/>
      <c r="BN72" s="18">
        <f>(AL74*Z72)+(AB70*BB72)</f>
        <v>0</v>
      </c>
      <c r="BO72" s="220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9"/>
      <c r="H73" s="87"/>
      <c r="I73" s="80"/>
      <c r="J73" s="191" t="s">
        <v>16</v>
      </c>
      <c r="K73" s="219" t="s">
        <v>17</v>
      </c>
      <c r="L73" s="219"/>
      <c r="M73" s="219"/>
      <c r="N73" s="219" t="s">
        <v>28</v>
      </c>
      <c r="O73" s="219"/>
      <c r="P73" s="5">
        <v>0</v>
      </c>
      <c r="Q73" s="219" t="s">
        <v>27</v>
      </c>
      <c r="R73" s="219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20"/>
      <c r="AT73" s="199">
        <f>IF(AND(AN73&lt;AP76,AF72),AB69*AL75,AP76*AL75)</f>
        <v>0</v>
      </c>
      <c r="AU73" s="220"/>
      <c r="AV73" s="20">
        <f>IF(AF72,AL75-(AL75*AN73),IF(AF71,(1/6)*AL75,0))</f>
        <v>0</v>
      </c>
      <c r="AW73" s="220"/>
      <c r="AX73" s="20">
        <f t="shared" si="16"/>
        <v>0</v>
      </c>
      <c r="AY73" s="220"/>
      <c r="AZ73" s="20">
        <f>AV73*AP76</f>
        <v>0</v>
      </c>
      <c r="BA73" s="220"/>
      <c r="BB73" s="199">
        <f t="shared" si="17"/>
        <v>0</v>
      </c>
      <c r="BC73" s="220"/>
      <c r="BD73" s="20">
        <f t="shared" si="18"/>
        <v>1.5</v>
      </c>
      <c r="BE73" s="220"/>
      <c r="BF73" s="199"/>
      <c r="BG73" s="199"/>
      <c r="BH73" s="20">
        <f>IF(AB72&lt;0,BB73*BF70,BB73*BF69)</f>
        <v>0</v>
      </c>
      <c r="BI73" s="220"/>
      <c r="BJ73" s="199">
        <f>BH73+((BD73-BB73)*BF69)</f>
        <v>0.5</v>
      </c>
      <c r="BK73" s="220"/>
      <c r="BL73" s="18">
        <f>IF(AB71&gt;0,(BH73*AB71)+((BJ73-BH73)*V74),BJ73*V74)</f>
        <v>0.5</v>
      </c>
      <c r="BM73" s="220"/>
      <c r="BN73" s="18">
        <f>(AL74*Z72)+(AB70*BB73)</f>
        <v>0</v>
      </c>
      <c r="BO73" s="220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9"/>
      <c r="H74" s="84"/>
      <c r="I74" s="222" t="s">
        <v>30</v>
      </c>
      <c r="J74" s="222"/>
      <c r="K74" s="222" t="s">
        <v>31</v>
      </c>
      <c r="L74" s="222"/>
      <c r="M74" s="222"/>
      <c r="N74" s="219" t="s">
        <v>29</v>
      </c>
      <c r="O74" s="219"/>
      <c r="P74" s="5">
        <v>0</v>
      </c>
      <c r="Q74" s="219" t="s">
        <v>45</v>
      </c>
      <c r="R74" s="219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20"/>
      <c r="AT74" s="199">
        <f>IF(AND(AN74&lt;AP76,AF72),AB69*AL75,AP76*AL75)</f>
        <v>0</v>
      </c>
      <c r="AU74" s="220"/>
      <c r="AV74" s="20">
        <f>IF(AF72,AL75-(AL75*AN74),IF(AF71,(1/6)*AL75,0))</f>
        <v>0</v>
      </c>
      <c r="AW74" s="220"/>
      <c r="AX74" s="20">
        <f t="shared" si="16"/>
        <v>0</v>
      </c>
      <c r="AY74" s="220"/>
      <c r="AZ74" s="20">
        <f>AV74*AP76</f>
        <v>0</v>
      </c>
      <c r="BA74" s="220"/>
      <c r="BB74" s="199">
        <f t="shared" si="17"/>
        <v>0</v>
      </c>
      <c r="BC74" s="220"/>
      <c r="BD74" s="20">
        <f t="shared" si="18"/>
        <v>0.75</v>
      </c>
      <c r="BE74" s="220"/>
      <c r="BF74" s="199"/>
      <c r="BG74" s="199"/>
      <c r="BH74" s="20">
        <f>IF(AB72&lt;0,BB74*BF70,BB74*BF69)</f>
        <v>0</v>
      </c>
      <c r="BI74" s="220"/>
      <c r="BJ74" s="199">
        <f>BH74+((BD74-BB74)*BF69)</f>
        <v>0.25</v>
      </c>
      <c r="BK74" s="220"/>
      <c r="BL74" s="18">
        <f>IF(AB71&gt;0,(BH74*AB71)+((BJ74-BH74)*V74),BJ74*V74)</f>
        <v>0.25</v>
      </c>
      <c r="BM74" s="220"/>
      <c r="BN74" s="18">
        <f>(AL74*Z72)+(AB70*BB74)</f>
        <v>0</v>
      </c>
      <c r="BO74" s="220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9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19" t="s">
        <v>26</v>
      </c>
      <c r="O75" s="219"/>
      <c r="P75" s="5">
        <v>0</v>
      </c>
      <c r="Q75" s="223" t="s">
        <v>58</v>
      </c>
      <c r="R75" s="223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39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40" t="str">
        <f>IF(I80="","",I80)</f>
        <v>Model 6</v>
      </c>
      <c r="C78" s="240"/>
      <c r="D78" s="36"/>
      <c r="E78" s="37" t="s">
        <v>11</v>
      </c>
      <c r="F78" s="36" t="s">
        <v>7</v>
      </c>
      <c r="G78" s="242"/>
      <c r="H78" s="82"/>
      <c r="I78" s="215" t="str">
        <f>IF(I80="","",I80)</f>
        <v>Model 6</v>
      </c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83"/>
      <c r="V78" s="216" t="s">
        <v>15</v>
      </c>
      <c r="W78" s="217"/>
      <c r="X78" s="217"/>
      <c r="Y78" s="217"/>
      <c r="Z78" s="217"/>
      <c r="AA78" s="217"/>
      <c r="AB78" s="217"/>
      <c r="AC78" s="217"/>
      <c r="AD78" s="217" t="s">
        <v>21</v>
      </c>
      <c r="AE78" s="217"/>
      <c r="AF78" s="217"/>
      <c r="AG78" s="217"/>
      <c r="AH78" s="198"/>
      <c r="AI78" s="198"/>
      <c r="AJ78" s="217" t="s">
        <v>73</v>
      </c>
      <c r="AK78" s="217"/>
      <c r="AL78" s="217"/>
      <c r="AM78" s="217"/>
      <c r="AN78" s="217"/>
      <c r="AO78" s="217" t="s">
        <v>74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17"/>
      <c r="BF78" s="198"/>
      <c r="BG78" s="198"/>
      <c r="BH78" s="217" t="s">
        <v>75</v>
      </c>
      <c r="BI78" s="217"/>
      <c r="BJ78" s="217"/>
      <c r="BK78" s="217"/>
      <c r="BL78" s="217"/>
      <c r="BM78" s="217"/>
      <c r="BN78" s="217"/>
      <c r="BO78" s="217"/>
      <c r="BP78" s="217"/>
      <c r="BQ78" s="217"/>
      <c r="BR78" s="217" t="s">
        <v>76</v>
      </c>
      <c r="BS78" s="221"/>
    </row>
    <row r="79" spans="1:71" ht="15" customHeight="1">
      <c r="A79" s="155"/>
      <c r="B79" s="241"/>
      <c r="C79" s="241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43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9"/>
      <c r="R79" s="21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20" t="s">
        <v>121</v>
      </c>
      <c r="AT79" s="199">
        <f>IF(AND(AN79&lt;AP86,AF82),AB79*AL85,AP86*AL85)</f>
        <v>0</v>
      </c>
      <c r="AU79" s="220" t="s">
        <v>109</v>
      </c>
      <c r="AV79" s="20">
        <f>IF(AF82,AL85-(AL85*AN79),IF(AF81,(1/6)*AL85,0))</f>
        <v>0</v>
      </c>
      <c r="AW79" s="220" t="s">
        <v>60</v>
      </c>
      <c r="AX79" s="20">
        <f t="shared" ref="AX79:AX84" si="20">AV79*AP79</f>
        <v>0</v>
      </c>
      <c r="AY79" s="220" t="s">
        <v>122</v>
      </c>
      <c r="AZ79" s="20">
        <f>AV79*AP86</f>
        <v>0</v>
      </c>
      <c r="BA79" s="220" t="s">
        <v>110</v>
      </c>
      <c r="BB79" s="199">
        <f t="shared" ref="BB79:BB84" si="21">AT79+AZ79</f>
        <v>0</v>
      </c>
      <c r="BC79" s="220" t="s">
        <v>117</v>
      </c>
      <c r="BD79" s="20">
        <f t="shared" ref="BD79:BD84" si="22">SUM(AR79,AX79)</f>
        <v>3</v>
      </c>
      <c r="BE79" s="220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20" t="s">
        <v>102</v>
      </c>
      <c r="BJ79" s="199">
        <f>BH79+((BD79-BB79)*BF79)</f>
        <v>1</v>
      </c>
      <c r="BK79" s="220" t="s">
        <v>103</v>
      </c>
      <c r="BL79" s="18">
        <f>IF(AB81&gt;0,(BH79*AB81)+((BJ79-BH79)*V84),BJ79*V84)</f>
        <v>1</v>
      </c>
      <c r="BM79" s="220" t="s">
        <v>65</v>
      </c>
      <c r="BN79" s="18">
        <f>(AL84*Z82)+(AB80*BB79)</f>
        <v>0</v>
      </c>
      <c r="BO79" s="220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41"/>
      <c r="C80" s="241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43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19"/>
      <c r="R80" s="219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20"/>
      <c r="AT80" s="199">
        <f>IF(AND(AN80&lt;AP86,AF82),AB79*AL85,AP86*AL85)</f>
        <v>0</v>
      </c>
      <c r="AU80" s="220"/>
      <c r="AV80" s="20">
        <f>IF(AF82,AL85-(AL85*AN80),IF(AF81,(1/6)*AL85,0))</f>
        <v>0</v>
      </c>
      <c r="AW80" s="220"/>
      <c r="AX80" s="20">
        <f t="shared" si="20"/>
        <v>0</v>
      </c>
      <c r="AY80" s="220"/>
      <c r="AZ80" s="20">
        <f>AV80*AP86</f>
        <v>0</v>
      </c>
      <c r="BA80" s="220"/>
      <c r="BB80" s="199">
        <f t="shared" si="21"/>
        <v>0</v>
      </c>
      <c r="BC80" s="220"/>
      <c r="BD80" s="20">
        <f t="shared" si="22"/>
        <v>2.25</v>
      </c>
      <c r="BE80" s="220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20"/>
      <c r="BJ80" s="199">
        <f>BH80+((BD80-BB80)*BF79)</f>
        <v>0.75000000000000011</v>
      </c>
      <c r="BK80" s="220"/>
      <c r="BL80" s="18">
        <f>IF(AB81&gt;0,(BH80*AB81)+((BJ80-BH80)*V84),BJ80*V84)</f>
        <v>0.75000000000000011</v>
      </c>
      <c r="BM80" s="220"/>
      <c r="BN80" s="18">
        <f>(AL84*Z82)+(AB80*BB80)</f>
        <v>0</v>
      </c>
      <c r="BO80" s="220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41"/>
      <c r="C81" s="241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43"/>
      <c r="H81" s="84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20"/>
      <c r="AT81" s="199">
        <f>IF(AND(AN81&lt;AP86,AF82),AB79*AL85,AP86*AL85)</f>
        <v>0</v>
      </c>
      <c r="AU81" s="220"/>
      <c r="AV81" s="20">
        <f>IF(AF82,AL85-(AL85*AN81),IF(AF81,(1/6)*AL85,0))</f>
        <v>0</v>
      </c>
      <c r="AW81" s="220"/>
      <c r="AX81" s="20">
        <f t="shared" si="20"/>
        <v>0</v>
      </c>
      <c r="AY81" s="220"/>
      <c r="AZ81" s="20">
        <f>AV81*AP86</f>
        <v>0</v>
      </c>
      <c r="BA81" s="220"/>
      <c r="BB81" s="199">
        <f t="shared" si="21"/>
        <v>0</v>
      </c>
      <c r="BC81" s="220"/>
      <c r="BD81" s="20">
        <f t="shared" si="22"/>
        <v>1.5</v>
      </c>
      <c r="BE81" s="220"/>
      <c r="BF81" s="199"/>
      <c r="BG81" s="199"/>
      <c r="BH81" s="20">
        <f>IF(AB82&lt;0,BB81*BF80,BB81*BF79)</f>
        <v>0</v>
      </c>
      <c r="BI81" s="220"/>
      <c r="BJ81" s="199">
        <f>BH81+((BD81-BB81)*BF79)</f>
        <v>0.5</v>
      </c>
      <c r="BK81" s="220"/>
      <c r="BL81" s="18">
        <f>IF(AB81&gt;0,(BH81*AB81)+((BJ81-BH81)*V84),BJ81*V84)</f>
        <v>0.5</v>
      </c>
      <c r="BM81" s="220"/>
      <c r="BN81" s="18">
        <f>(AL84*Z82)+(AB80*BB81)</f>
        <v>0</v>
      </c>
      <c r="BO81" s="220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43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19" t="s">
        <v>24</v>
      </c>
      <c r="O82" s="219"/>
      <c r="P82" s="5" t="s">
        <v>19</v>
      </c>
      <c r="Q82" s="219" t="s">
        <v>25</v>
      </c>
      <c r="R82" s="219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20"/>
      <c r="AT82" s="199">
        <f>IF(AND(AN82&lt;AP86,AF82),AB79*AL85,AP86*AL85)</f>
        <v>0</v>
      </c>
      <c r="AU82" s="220"/>
      <c r="AV82" s="20">
        <f>IF(AF82,AL85-(AL85*AN82),IF(AF81,(1/6)*AL85,0))</f>
        <v>0</v>
      </c>
      <c r="AW82" s="220"/>
      <c r="AX82" s="20">
        <f t="shared" si="20"/>
        <v>0</v>
      </c>
      <c r="AY82" s="220"/>
      <c r="AZ82" s="20">
        <f>AV82*AP86</f>
        <v>0</v>
      </c>
      <c r="BA82" s="220"/>
      <c r="BB82" s="199">
        <f t="shared" si="21"/>
        <v>0</v>
      </c>
      <c r="BC82" s="220"/>
      <c r="BD82" s="20">
        <f t="shared" si="22"/>
        <v>1.5</v>
      </c>
      <c r="BE82" s="220"/>
      <c r="BF82" s="199"/>
      <c r="BG82" s="199"/>
      <c r="BH82" s="20">
        <f>IF(AB82&lt;0,BB82*BF80,BB82*BF79)</f>
        <v>0</v>
      </c>
      <c r="BI82" s="220"/>
      <c r="BJ82" s="199">
        <f>BH82+((BD82-BB82)*BF79)</f>
        <v>0.5</v>
      </c>
      <c r="BK82" s="220"/>
      <c r="BL82" s="18">
        <f>IF(AB81&gt;0,(BH82*AB81)+((BJ82-BH82)*V84),BJ82*V84)</f>
        <v>0.5</v>
      </c>
      <c r="BM82" s="220"/>
      <c r="BN82" s="18">
        <f>(AL84*Z82)+(AB80*BB82)</f>
        <v>0</v>
      </c>
      <c r="BO82" s="220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43"/>
      <c r="H83" s="87"/>
      <c r="I83" s="80"/>
      <c r="J83" s="191" t="s">
        <v>16</v>
      </c>
      <c r="K83" s="219" t="s">
        <v>17</v>
      </c>
      <c r="L83" s="219"/>
      <c r="M83" s="219"/>
      <c r="N83" s="219" t="s">
        <v>28</v>
      </c>
      <c r="O83" s="219"/>
      <c r="P83" s="5">
        <v>0</v>
      </c>
      <c r="Q83" s="219" t="s">
        <v>27</v>
      </c>
      <c r="R83" s="219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20"/>
      <c r="AT83" s="199">
        <f>IF(AND(AN83&lt;AP86,AF82),AB79*AL85,AP86*AL85)</f>
        <v>0</v>
      </c>
      <c r="AU83" s="220"/>
      <c r="AV83" s="20">
        <f>IF(AF82,AL85-(AL85*AN83),IF(AF81,(1/6)*AL85,0))</f>
        <v>0</v>
      </c>
      <c r="AW83" s="220"/>
      <c r="AX83" s="20">
        <f t="shared" si="20"/>
        <v>0</v>
      </c>
      <c r="AY83" s="220"/>
      <c r="AZ83" s="20">
        <f>AV83*AP86</f>
        <v>0</v>
      </c>
      <c r="BA83" s="220"/>
      <c r="BB83" s="199">
        <f t="shared" si="21"/>
        <v>0</v>
      </c>
      <c r="BC83" s="220"/>
      <c r="BD83" s="20">
        <f t="shared" si="22"/>
        <v>1.5</v>
      </c>
      <c r="BE83" s="220"/>
      <c r="BF83" s="199"/>
      <c r="BG83" s="199"/>
      <c r="BH83" s="20">
        <f>IF(AB82&lt;0,BB83*BF80,BB83*BF79)</f>
        <v>0</v>
      </c>
      <c r="BI83" s="220"/>
      <c r="BJ83" s="199">
        <f>BH83+((BD83-BB83)*BF79)</f>
        <v>0.5</v>
      </c>
      <c r="BK83" s="220"/>
      <c r="BL83" s="18">
        <f>IF(AB81&gt;0,(BH83*AB81)+((BJ83-BH83)*V84),BJ83*V84)</f>
        <v>0.5</v>
      </c>
      <c r="BM83" s="220"/>
      <c r="BN83" s="18">
        <f>(AL84*Z82)+(AB80*BB83)</f>
        <v>0</v>
      </c>
      <c r="BO83" s="220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43"/>
      <c r="H84" s="84"/>
      <c r="I84" s="222" t="s">
        <v>30</v>
      </c>
      <c r="J84" s="222"/>
      <c r="K84" s="222" t="s">
        <v>31</v>
      </c>
      <c r="L84" s="222"/>
      <c r="M84" s="222"/>
      <c r="N84" s="219" t="s">
        <v>29</v>
      </c>
      <c r="O84" s="219"/>
      <c r="P84" s="5">
        <v>0</v>
      </c>
      <c r="Q84" s="219" t="s">
        <v>45</v>
      </c>
      <c r="R84" s="219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20"/>
      <c r="AT84" s="199">
        <f>IF(AND(AN84&lt;AP86,AF82),AB79*AL85,AP86*AL85)</f>
        <v>0</v>
      </c>
      <c r="AU84" s="220"/>
      <c r="AV84" s="20">
        <f>IF(AF82,AL85-(AL85*AN84),IF(AF81,(1/6)*AL85,0))</f>
        <v>0</v>
      </c>
      <c r="AW84" s="220"/>
      <c r="AX84" s="20">
        <f t="shared" si="20"/>
        <v>0</v>
      </c>
      <c r="AY84" s="220"/>
      <c r="AZ84" s="20">
        <f>AV84*AP86</f>
        <v>0</v>
      </c>
      <c r="BA84" s="220"/>
      <c r="BB84" s="199">
        <f t="shared" si="21"/>
        <v>0</v>
      </c>
      <c r="BC84" s="220"/>
      <c r="BD84" s="20">
        <f t="shared" si="22"/>
        <v>0.75</v>
      </c>
      <c r="BE84" s="220"/>
      <c r="BF84" s="199"/>
      <c r="BG84" s="199"/>
      <c r="BH84" s="20">
        <f>IF(AB82&lt;0,BB84*BF80,BB84*BF79)</f>
        <v>0</v>
      </c>
      <c r="BI84" s="220"/>
      <c r="BJ84" s="199">
        <f>BH84+((BD84-BB84)*BF79)</f>
        <v>0.25</v>
      </c>
      <c r="BK84" s="220"/>
      <c r="BL84" s="18">
        <f>IF(AB81&gt;0,(BH84*AB81)+((BJ84-BH84)*V84),BJ84*V84)</f>
        <v>0.25</v>
      </c>
      <c r="BM84" s="220"/>
      <c r="BN84" s="18">
        <f>(AL84*Z82)+(AB80*BB84)</f>
        <v>0</v>
      </c>
      <c r="BO84" s="220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43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19" t="s">
        <v>26</v>
      </c>
      <c r="O85" s="219"/>
      <c r="P85" s="5">
        <v>0</v>
      </c>
      <c r="Q85" s="223" t="s">
        <v>58</v>
      </c>
      <c r="R85" s="223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43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44" t="s">
        <v>85</v>
      </c>
      <c r="B89" s="245"/>
      <c r="C89" s="245"/>
      <c r="D89" s="95"/>
      <c r="E89" s="96" t="s">
        <v>11</v>
      </c>
      <c r="F89" s="95" t="s">
        <v>7</v>
      </c>
      <c r="G89" s="248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56" t="s">
        <v>77</v>
      </c>
      <c r="W89" s="210"/>
      <c r="X89" s="210"/>
      <c r="Y89" s="210"/>
      <c r="Z89" s="210"/>
      <c r="AA89" s="210"/>
      <c r="AB89" s="210"/>
      <c r="AC89" s="210"/>
      <c r="AD89" s="210" t="s">
        <v>21</v>
      </c>
      <c r="AE89" s="210"/>
      <c r="AF89" s="210"/>
      <c r="AG89" s="210"/>
      <c r="AH89" s="210" t="s">
        <v>76</v>
      </c>
      <c r="AI89" s="210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46"/>
      <c r="B90" s="247"/>
      <c r="C90" s="247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49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46"/>
      <c r="B91" s="247"/>
      <c r="C91" s="247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49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46"/>
      <c r="B92" s="247"/>
      <c r="C92" s="247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49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46"/>
      <c r="B93" s="247"/>
      <c r="C93" s="247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49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46"/>
      <c r="B94" s="247"/>
      <c r="C94" s="247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49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49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49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49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57" t="s">
        <v>86</v>
      </c>
      <c r="B99" s="258"/>
      <c r="C99" s="258"/>
      <c r="D99" s="105"/>
      <c r="E99" s="106" t="s">
        <v>11</v>
      </c>
      <c r="F99" s="105" t="s">
        <v>7</v>
      </c>
      <c r="G99" s="261"/>
      <c r="I99" s="78" t="s">
        <v>13</v>
      </c>
      <c r="J99" s="78" t="s">
        <v>8</v>
      </c>
      <c r="U99" s="17"/>
      <c r="V99" s="216" t="s">
        <v>77</v>
      </c>
      <c r="W99" s="217"/>
      <c r="X99" s="217"/>
      <c r="Y99" s="217"/>
      <c r="Z99" s="217"/>
      <c r="AA99" s="217"/>
      <c r="AB99" s="217"/>
      <c r="AC99" s="217"/>
      <c r="AD99" s="217" t="s">
        <v>21</v>
      </c>
      <c r="AE99" s="217"/>
      <c r="AF99" s="217"/>
      <c r="AG99" s="217"/>
      <c r="AH99" s="217" t="s">
        <v>76</v>
      </c>
      <c r="AI99" s="21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59"/>
      <c r="B100" s="260"/>
      <c r="C100" s="26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62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59"/>
      <c r="B101" s="260"/>
      <c r="C101" s="26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6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59"/>
      <c r="B102" s="260"/>
      <c r="C102" s="26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6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59"/>
      <c r="B103" s="260"/>
      <c r="C103" s="26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6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59"/>
      <c r="B104" s="260"/>
      <c r="C104" s="26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6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6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6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6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50" t="s">
        <v>87</v>
      </c>
      <c r="B109" s="251"/>
      <c r="C109" s="251"/>
      <c r="D109" s="141"/>
      <c r="E109" s="142" t="s">
        <v>11</v>
      </c>
      <c r="F109" s="141" t="s">
        <v>7</v>
      </c>
      <c r="G109" s="25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16" t="s">
        <v>77</v>
      </c>
      <c r="W109" s="217"/>
      <c r="X109" s="217"/>
      <c r="Y109" s="217"/>
      <c r="Z109" s="217"/>
      <c r="AA109" s="217"/>
      <c r="AB109" s="217"/>
      <c r="AC109" s="217"/>
      <c r="AD109" s="217" t="s">
        <v>21</v>
      </c>
      <c r="AE109" s="217"/>
      <c r="AF109" s="217"/>
      <c r="AG109" s="217"/>
      <c r="AH109" s="217" t="s">
        <v>76</v>
      </c>
      <c r="AI109" s="21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52"/>
      <c r="B110" s="253"/>
      <c r="C110" s="253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55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52"/>
      <c r="B111" s="253"/>
      <c r="C111" s="253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5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52"/>
      <c r="B112" s="253"/>
      <c r="C112" s="253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5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52"/>
      <c r="B113" s="253"/>
      <c r="C113" s="253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5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52"/>
      <c r="B114" s="253"/>
      <c r="C114" s="253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55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55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55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55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2.1728395061728394E-2</v>
      </c>
      <c r="CR141" s="138">
        <f>IFERROR(E36,"")</f>
        <v>2.7160493827160495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2018-01-05T10:49:10Z</dcterms:modified>
</cp:coreProperties>
</file>