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vZQyrnTlHzrTFVY+Pzv9CLq00zA=="/>
    </ext>
  </extLst>
</workbook>
</file>

<file path=xl/sharedStrings.xml><?xml version="1.0" encoding="utf-8"?>
<sst xmlns="http://schemas.openxmlformats.org/spreadsheetml/2006/main" count="3488" uniqueCount="3389">
  <si>
    <t>text_review</t>
  </si>
  <si>
    <t>text_review_english</t>
  </si>
  <si>
    <t>score</t>
  </si>
  <si>
    <t>['aplikasinya', 'lemot', 'loading', 'banget', 'speed', 'wifi', 'aman']</t>
  </si>
  <si>
    <t>['pliss', 'donk', 'bener', 'apk', 'jam', 'loading', 'doang', 'udh', 'uninstal', 'pasang', 'ttp', 'payaah', 'bener']</t>
  </si>
  <si>
    <t>['aplikasi', 'membantu', 'wifi', 'setabil', 'pakai', 'indihome', 'akses', 'cepat', 'pekerja', 'teratur', 'pokok', 'indihome', 'top', 'banget']</t>
  </si>
  <si>
    <t>['susah', 'penggunaannya', 'downgrade', 'versi', 'user', 'friendly', 'stabil', '']</t>
  </si>
  <si>
    <t>['mending', 'biznet']</t>
  </si>
  <si>
    <t>['aplikasi', 'sampah']</t>
  </si>
  <si>
    <t>['kak', 'knpa', 'apk', 'indihome', 'upgrade', 'versi', 'terbaru', 'loading', 'masuk', 'mhon', 'info', '']</t>
  </si>
  <si>
    <t>['', 'aplikasi', 'ubgrate']</t>
  </si>
  <si>
    <t>['bintang', 'ditambah', 'fitur', 'laporan', 'gangguan', 'muncul']</t>
  </si>
  <si>
    <t>['aplikasi', 'susah', 'dibuka', 'jaringan', 'bagus', 'muter', 'tolong', 'diperbaiki']</t>
  </si>
  <si>
    <t>['', 'persulit', 'login', 'akun', 'licik', 'indihome']</t>
  </si>
  <si>
    <t>[]</t>
  </si>
  <si>
    <t>['gmn', 'verifikasi', 'data', 'menit', 'udah', 'selesai', '']</t>
  </si>
  <si>
    <t>['', 'aplikasinya', 'semenjak', 'komplen', 'pembayaran', 'sesuai', 'penanganan', 'parah', 'indihome']</t>
  </si>
  <si>
    <t>['asli', 'kesel', 'banget', 'aplikasi', 'indihome', 'update', 'otomatis', 'akun', 'login', 'ulang', 'susah', 'banget', 'dibilang', 'sandi', 'salah', 'sampe', 'udah', 'ganti', 'sandi', 'login', 'dibilang', 'sandi', 'salah', 'gunain', 'telp', 'disuruh', 'masukin', 'sandi', 'verifikasi', 'kode', 'bet', 'app', 'dibawah', 'naungan', 'telkom', 'bumn', 'tolonglah', 'bener', 'diperbaiki', 'kualitas', 'nelfonin', 'pelanggang', 'jatuh', 'tempo', 'huft']</t>
  </si>
  <si>
    <t>['berguna', 'apliaksi', 'myindihome', 'berlangganan', 'internet', 'internetnya', 'stabil', 'lancar', 'pokonya', 'mantap', '']</t>
  </si>
  <si>
    <t>['sumpah', 'pasang', 'kemaren', 'paket', 'mbps', 'cuman', 'lemot', 'ampun', 'tolong', 'kualitas', 'kembangkan', 'bayar', 'nggak', 'geratis', 'taat', 'praturan', 'indihome', 'coba', 'tingkat', 'kualitas', '']</t>
  </si>
  <si>
    <t>['apk', 'praktis', 'pesen', 'wifi', 'langsung', 'apk', 'rumah']</t>
  </si>
  <si>
    <t>['parah', 'lemotnya', 'bagus', 'fiturnya', 'lolanya', 'aplikasi', 'gemes', 'setahun', 'perhatikan', 'lola', 'tuhan', 'erick', 'tohir', 'tolong', 'diperhatikan', 'perbaikan']</t>
  </si>
  <si>
    <t>['aplikasi', 'membantu', 'serba', 'online', 'pakai', 'berlangganan', 'indihome', 'rumah']</t>
  </si>
  <si>
    <t>['aplikasi', 'kesini', 'ribet', 'pengaduan', 'layanan', 'gakbisa', 'akses']</t>
  </si>
  <si>
    <t>['aplikasinya', 'nambah', 'kerjaannya', 'gangguan', 'mulu', 'dikala', 'kek', 'gini', 'mah', 'bangkrut', 'orang']</t>
  </si>
  <si>
    <t>['bagus', 'lemot', 'banget', 'kirim', 'complain']</t>
  </si>
  <si>
    <t>['myindihomex', 'dikemanain', '']</t>
  </si>
  <si>
    <t>['aplikasi', 'memudahkan', 'pembayaran', 'memilih', 'paket', 'internet', 'sesuai', 'kebutuhan', 'tks', 'indihome', '']</t>
  </si>
  <si>
    <t>['keluarga', 'indihome', 'keluarga', 'rumah', 'buffering', 'pokonya', 'lancar', 'jaya', 'program', 'program', 'bnyak', 'pilihan', 'sesuai', 'usia', 'pelayanan', 'indihome', 'ramah', 'langsung', 'gercep', 'rumah', 'sip', 'deh', '']</t>
  </si>
  <si>
    <t>['', 'indihome', 'udah', 'ngebantu', 'banget', 'pembayaran', 'aplikasi', 'fitur', 'ditampilin', 'menarik', 'banget', 'pengaduan', 'aplikasi', '']</t>
  </si>
  <si>
    <t>['apk']</t>
  </si>
  <si>
    <t>['aplikasi', 'indihome', 'membantu', 'internetnya', 'indonesia', '']</t>
  </si>
  <si>
    <t>['update', 'udh', 'indihome', 'aplikasi', 'update', 'login', 'gmna', 'solusinya', 'kecot']</t>
  </si>
  <si>
    <t>['waaa', 'aplikasi', 'bagus', 'sayang', 'sinyal', 'sungguh', 'buruk', 'dimana', 'tugas', 'selesai', 'menit', 'jam', 'selesainya', 'dimana', 'bayar', 'jaringan', 'buruk']</t>
  </si>
  <si>
    <t>['apk', 'myindihome', 'fitur', 'simpel', 'beli', 'paket', 'langganan', 'internet', 'manggil', 'teknisi', 'apk', 'keren', 'deh', 'ditingkatkan', '']</t>
  </si>
  <si>
    <t>['aplikasi', 'myindohome', 'membantu', 'pengguna', 'mengalami', 'trouble', 'jaringan']</t>
  </si>
  <si>
    <t>['bagus', 'banget', 'aplikasi', 'nggak', 'ribet', 'bayar', 'langganan', 'indihome', 'tinggal', 'top', 'indihome']</t>
  </si>
  <si>
    <t>['aplikasinya', 'ngebantu', 'banget', 'maksimalin', 'penggunaan', 'wifi', 'indihome', 'fiturnya', 'membantu', 'banget', 'semoga', 'dimaksimalin', 'indihome', 'sukses', '']</t>
  </si>
  <si>
    <t>['aplikasi', 'bermanfaat', 'memudahkan', 'penggunanya', 'diupgrade', 'nyaman']</t>
  </si>
  <si>
    <t>['aplikasi', 'lemot']</t>
  </si>
  <si>
    <t>['bug', 'login', 'susah', 'ampun']</t>
  </si>
  <si>
    <t>['petugas', 'indihome', 'nias', 'ramah', 'ramah', 'asyik', 'main', 'laporan', 'lao', 'ktr', 'hri', 'janji', 'janji', 'petugas', 'teknisi', 'rumah', 'mohon', 'penegasan', 'manajemen', 'tks']</t>
  </si>
  <si>
    <t>['aplikasi', 'menguntungkan', 'ngecek', 'harga', 'paket']</t>
  </si>
  <si>
    <t>['wifi', 'indihome', 'kelola', 'rumah', 'aman', 'ngga', 'lemot']</t>
  </si>
  <si>
    <t>['indihome', 'updet', 'masuk', 'aplikasi', 'susah', 'logi', 'masuk', 'aplikasi', 'bingung', 'aplikasi', 'indihome', '']</t>
  </si>
  <si>
    <t>['pemaikan', 'indihome', 'terbantu', 'aplikasi', 'aplikasinya', 'mudah', 'fiturnya', 'lengkap', 'memudahkan', 'gangguan', 'layanan', 'cek', 'tagihan', '']</t>
  </si>
  <si>
    <t>['', 'indihome', 'lancar', 'koneksi', 'anti', 'lelet', 'streming', 'drakor', 'kuatir', 'ngadet', 'koneksi', 'wus', 'wus', 'wuss', '']</t>
  </si>
  <si>
    <t>['aplikasinya', 'bagus', 'berguna', 'banget', 'pengguna', 'indihome', 'fitur', 'menarik', 'beragam', 'paket', 'internet', 'pilih', 'sesuai', '']</t>
  </si>
  <si>
    <t>['aplikasinya', 'bagus', 'puas', 'banget', 'apk', 'dalamnya', 'promo']</t>
  </si>
  <si>
    <t>['wifi', 'indihome', 'wajib', 'banget', 'download', 'aplikasi', 'indihome', 'karna', 'aplikasi', 'mempermudah', 'penggunanya', 'aplikasi', 'berguna', 'internet', 'stabil']</t>
  </si>
  <si>
    <t>['simple', 'apk', 'bayar', 'tagihan', 'wifi', 'tinggal', 'klik', 'voucher', 'gangguan', 'lgsg', 'diadukan', 'apk', 'mantap', 'indihome', '']</t>
  </si>
  <si>
    <t>['fitur', 'aplikasi', 'membantu', 'banget', 'keluhan', 'indihome', 'rumah', 'yeay', 'selancar', 'nyaman']</t>
  </si>
  <si>
    <t>['aplikasi', 'memudahkan', 'ribet', 'pasang', 'wifi', 'kendala', 'tinggal', 'janji', 'aplikasi', 'enaknya', 'promosi', 'bonus', '']</t>
  </si>
  <si>
    <t>['apk', 'memudahkan', 'bayar', 'tagihan', 'liat', 'date', 'komplain', 'csnya', 'kendala', 'jaringan', 'terbantu', 'deh']</t>
  </si>
  <si>
    <t>['bagus', 'kluar', 'bayar', 'tagihan', 'ditingkatkan', 'min']</t>
  </si>
  <si>
    <t>['bagus', 'era', 'digital', 'kebutuhan', 'internet', 'stabil', 'bravo', 'indihome', 'good', 'job', '']</t>
  </si>
  <si>
    <t>['aplikasi', 'hihihi', 'penawaran', 'promo', 'menarik', 'good', 'job', 'aplikasi', 'membatu', '']</t>
  </si>
  <si>
    <t>['aplikasi', 'bantu', 'banget', 'pelayanan', 'ramah', 'fast', 'respon', 'ngaduiin', 'pastinya', 'oke', 'banget', 'deh', 'penggunaan', 'indihome']</t>
  </si>
  <si>
    <t>['membantu', 'aplikasi', 'indihome']</t>
  </si>
  <si>
    <t>['aplikasi', 'bgus', 'banget', 'melibih', 'memudahkan', 'perang', 'wifian', 'suksek', 'myindihome']</t>
  </si>
  <si>
    <t>['apk', 'myindihome', 'mempermudah', 'membeli', 'paket', 'berlangganan', 'internet', 'menggunakannya', 'simpel', 'banget', 'fitur', 'bagus', 'gampang', 'banget', 'dipahamin', '']</t>
  </si>
  <si>
    <t>['jaringan', 'lumayan', 'stabil', 'lancar', 'jaya', 'harapkan', 'harga', 'kuota', 'kuota', 'tsel', 'mahal', 'mahal', 'min', 'beli', 'aktif', 'kartu', 'mahal', 'mahal', 'kasih', 'bintang', 'deh', 'semangat']</t>
  </si>
  <si>
    <t>['memudahkan', 'tracking', 'problem']</t>
  </si>
  <si>
    <t>['membantu', 'kemana', 'ketinggalan', 'info', 'bantu', 'anak', 'ngerjain', 'tugas', '']</t>
  </si>
  <si>
    <t>['apknya', 'bagus', 'gada', 'gganjel', 'udah', 'make', 'cek', 'tagihan', 'okelah', 'buruan', 'cobain']</t>
  </si>
  <si>
    <t>['aplikasi', 'praktis', 'bayar', 'tagihan', 'wifi', 'repot', 'kantor']</t>
  </si>
  <si>
    <t>['aplikasi', 'myindihome', 'membantu', 'banget', 'memantau', 'tagihan', 'pembelian', 'aktivitas', 'layanan', 'mudah', 'aplikasi', 'memiliki', 'interface', 'menarik', 'fitur', 'lengkap', 'seneng', 'aplikasi', 'promo', 'point', 'ditukar', 'merchant', '']</t>
  </si>
  <si>
    <t>['aplikasi', 'bermanfaat', 'cek', 'tagihan', 'beli', 'paket', 'berlangganan', 'internet', 'kendala', 'menu', 'bantuan', 'langsung', 'rekomen', 'aplikasi', 'deh', 'mudah', 'simple', 'penggunaannya', '']</t>
  </si>
  <si>
    <t>['bermanfaat', 'banget', 'aplikasi', 'myindihome', 'lihat', 'tagihan', 'pembelian', 'cari', 'hiburan', 'edukasi', 'mantap', 'jiwa', 'sukses', 'indihome']</t>
  </si>
  <si>
    <t>['aplikasi', 'update', 'lemot', 'ngeh', 'cek', 'riwayat', 'transaksi', 'tambahan', 'biaya', 'telepon', 'ikutnya', 'paket', 'internet', 'telefon', 'telfon', 'pakai', 'kemarin', 'telfon', 'lokal', 'ngelihat', 'paket', 'pakai']</t>
  </si>
  <si>
    <t>['aplikasi', 'myindihome', 'mudah', 'nyaman', 'dimana', 'fitur', 'aplikasinya', 'mudah', 'pahami', 'voucher', 'lohh', 'yuk', 'buruan', 'download']</t>
  </si>
  <si>
    <t>['aplikasi', 'nggak', 'bermanfaat', 'slow', 'respon', 'laporan', 'gangguan', 'susah', 'suruh', 'restart', 'modem', 'melulu', 'customer', 'care', 'care', '']</t>
  </si>
  <si>
    <t>['update', 'aplikasi', 'kaya', 'ampas', 'loadingnya', 'lamaaaa', 'bumn', 'aplikasi', 'kaya', 'fitur', 'bantuannya', 'buruk', 'pengaduan', 'kedepan', 'dijadwalkan', 'teknisi', 'ampasss']</t>
  </si>
  <si>
    <t>['komentar', 'dihapus', 'faktanya', 'langganan', 'indihome', 'ribet', '']</t>
  </si>
  <si>
    <t>['', 'indihome', 'membantu', 'disaat', 'anak', 'anak', 'belajar', 'online', 'terima', 'kasih', 'indihome', '']</t>
  </si>
  <si>
    <t>['login', 'susah', 'curhat', 'indihome', 'sulit', 'terpaksa', 'curhat', 'pemakaian', 'youtube', 'loding', 'mulu', 'lancar', 'loding', 'lancar', 'loding', 'bolakbalik', 'gtu', '']</t>
  </si>
  <si>
    <t>['knp', 'login', 'tulisan', 'mohon', 'coba', 'dlm', 'jam', 'atur', 'ulang', 'sandi', '']</t>
  </si>
  <si>
    <t>['update', 'truzz', 'tetep', 'login', '']</t>
  </si>
  <si>
    <t>['', 'upgrade', 'bukanya', 'nambah', 'bagus', 'buruk', 'perbaiki', '']</t>
  </si>
  <si>
    <t>['login', 'error', 'internet', 'lemot', 'maunya', 'apasih', '']</t>
  </si>
  <si>
    <t>['grade', 'point', 'hilang', 'woiii', 'indihome', 'aplikasi', 'sungguh', 'spanning', 'developernya', 'abal', 'abal', 'diupgrade', 'nyusahin', 'susah', 'dibuka', 'daftar', 'ulang', 'password', 'kali', 'nemu', 'aplikasi', 'useless', 'jengkelin', 'kebalikan', 'pointku', 'wooiiii', '']</t>
  </si>
  <si>
    <t>['apk', 'dipakai', '']</t>
  </si>
  <si>
    <t>['aplikasi', 'rusak', 'paketiba', 'kluar', 'sndri', 'pdhal', 'reinstal']</t>
  </si>
  <si>
    <t>['ayolah', 'perusahaan', 'masak', 'aplikasi', 'lelet', 'malu', 'kompetitor', 'udh', 'bgus', 'versi', 'lma', 'mlh', 'dirubah']</t>
  </si>
  <si>
    <t>['bagus', 'apknya', 'ribet', 'buka', 'websitenya', 'tinggal', 'klik', 'klik', 'beli', 'paket', 'langsung', 'simple', 'mudah', 'dipahami', '']</t>
  </si>
  <si>
    <t>['tolong', 'laporan', 'direspon', 'gangguan', 'teknisi', 'ngecek', 'salamm']</t>
  </si>
  <si>
    <t>['poin', 'hilang', 'skrg', 'tukar', 'poin', 'karna', 'update']</t>
  </si>
  <si>
    <t>['aneh', 'berlangganan', 'susah', 'notif', 'perbaikan']</t>
  </si>
  <si>
    <t>['gara', 'gara', 'update', 'gabisa', 'login', 'lupa', 'akun', 'ngapain', 'login', 'ulang', 'coba', 'udah', 'wifi', 'lemot', 'auto', 'ganti', 'meresahkan']</t>
  </si>
  <si>
    <t>['kacau', 'bener', 'udah', 'bagus', 'aplikasi', 'gangguan', 'lancar', 'diupgrade', 'versi', 'lemot', 'ajukan', 'pengaduan', 'lambat', 'gini']</t>
  </si>
  <si>
    <t>['apk', 'beressss', '']</t>
  </si>
  <si>
    <t>['kasih', 'aplikasi', 'sulit', 'melaporkan', 'gangguan', 'menunya', 'ruwet', 'mudah', 'melaporkan', 'gangguan', 'bintangnya']</t>
  </si>
  <si>
    <t>['useful', 'application', 'and', 'easy', 'use']</t>
  </si>
  <si>
    <t>['versi', 'terbaru', 'errornya']</t>
  </si>
  <si>
    <t>['puas', 'indihome', 'merk', 'terpercaya', 'good']</t>
  </si>
  <si>
    <t>['mohon', 'maaf', 'saran', 'rilis', 'update', 'tolong', 'diuji', 'coba', 'android', 'kompatible', 'samsung', 'lemot', 'aplikasinya', 'pindah', 'ios', 'lancar', 'tolong', 'profesional']</t>
  </si>
  <si>
    <t>['aplikasi', 'kebanyakan', 'bug', 'dibuka', 'lapor', 'indihome', '']</t>
  </si>
  <si>
    <t>['indihome', 'layanan', 'provider', 'lokal', 'memiliki', 'pilihan', 'internet', 'catchplay', 'indihome', 'study', 'benefit', 'voucher', 'games']</t>
  </si>
  <si>
    <t>['apk', 'versi', 'buruk', 'loding', 'banget', 'update']</t>
  </si>
  <si>
    <t>['upgrade', 'lemote', 'bangt', '']</t>
  </si>
  <si>
    <t>['aplikasinya', 'bagus', 'membantu', 'mengelola', 'jaringan', 'wifi', 'dirumah', 'thanks', 'indihome', 'setia', 'pokoknya']</t>
  </si>
  <si>
    <t>['aplikasi', 'membantu', 'rumah', 'bayar', 'tagihan', '']</t>
  </si>
  <si>
    <t>['upgrade', 'login']</t>
  </si>
  <si>
    <t>['upadate', 'gabisa', 'liat', 'orang', 'makenya', 'login', 'ribet']</t>
  </si>
  <si>
    <t>['oke', 'aplikasi', 'berguna', 'pengurusan', 'langganan', 'indihome', 'kebutuhan', 'hiburan', 'indihome', 'paltform', 'provider', 'internet']</t>
  </si>
  <si>
    <t>['update', 'aplikasinya', 'lola', 'lemot', 'banget', 'udah', 'bner', 'sperti', 'dlu', 'jlek', 'lolanya', 'parah', 'banget']</t>
  </si>
  <si>
    <t>['ganti', 'bintangnya', 'perbaikan', 'komplain', 'mengecek', 'tagihan', 'pemakaian', 'pulsa', 'internet', 'dpt', 'poin', 'dituker', 'voucer', 'sayangnya', 'peraturan', 'mnt', 'telp', 'lokal', 'berubah', 'sesuka', 'hati', 'indihome', 'telp', 'interlokal', '']</t>
  </si>
  <si>
    <t>['kacau', '']</t>
  </si>
  <si>
    <t>['aplikasi', 'terbuka', 'pemberitahuan']</t>
  </si>
  <si>
    <t>['paket', 'kuota', 'internet', 'kuota', 'tambahan', 'layanan', 'tontonan', 'catchplay']</t>
  </si>
  <si>
    <t>['aplikasi', 'bug', 'error', 'tolong', 'diperbaiki', '']</t>
  </si>
  <si>
    <t>['jaringan', 'lancar', 'harga', 'paket', 'ramah', 'kantong']</t>
  </si>
  <si>
    <t>['aplikasi', 'bagus', 'berguna', 'promosi', 'penawaran', 'menarik', 'cocok', 'keluarga']</t>
  </si>
  <si>
    <t>['update', 'aplikasi', 'berat', 'patah', 'patah', 'tersendat', 'sendat', 'handphone', 'samsung', 'galaxy', 'tolong', 'diperbaiki', 'diperbaiki', 'kasih', 'bintang']</t>
  </si>
  <si>
    <t>['jaringan', 'lemottt', 'tagihan', 'murah', 'custumer', 'servis', 'sedia', 'pokoknya', 'recomended', 'mah']</t>
  </si>
  <si>
    <t>['aplikasi', 'mantap', 'cek', 'penggunaan', 'wifi', 'internet', 'lancar', 'download']</t>
  </si>
  <si>
    <t>['jaringan', 'luas', 'indihome', 'akses', 'internet', 'ganggu', 'recommended']</t>
  </si>
  <si>
    <t>['goddddd']</t>
  </si>
  <si>
    <t>['aplikasi', 'berguna', 'banget', 'praktis', 'cek', 'tagihan']</t>
  </si>
  <si>
    <t>['membantu', 'pengguna', 'indihome', 'apapun', 'cepat', 'terselesaikan']</t>
  </si>
  <si>
    <t>['alhamdulillah', 'internet', 'dirumah', 'lancar', 'jarang', 'mengalami', 'kendala', 'tampilannya', 'terbaru']</t>
  </si>
  <si>
    <t>['jaringannya', 'mantep', 'easily', 'use', 'bermanfaat', 'banget', 'app', 'thanks', 'pelayanan']</t>
  </si>
  <si>
    <t>['sukak', 'aplikasinya', 'apk', 'mantau', 'tagihan', 'pembelian', 'aktivitas', 'layanan', 'lakukan', 'tetep', 'dipertahankan', '']</t>
  </si>
  <si>
    <t>['aplikasi', 'myindihome', 'menjadikan', 'layanan', 'diakses', 'mudah', 'nyaman', 'mengecek', 'biaya', 'tagihan', 'mudah', 'fitur']</t>
  </si>
  <si>
    <t>['apk', 'bodohhh']</t>
  </si>
  <si>
    <t>['fungsinya', 'update', 'aplikasi', 'sebenernya', 'udah', 'buka', 'aplikasi', 'laporan', 'durasinya']</t>
  </si>
  <si>
    <t>['aplikasi', 'perluka', 'covid', 'aplikasi', 'mudah', 'oprasionalkan']</t>
  </si>
  <si>
    <t>['gimana', 'versi', 'lola', 'parah', 'nihhh', 'fixx', 'parahhhhhhhh', 'ngeluncurin', 'versi', 'maksa', 'woy']</t>
  </si>
  <si>
    <t>['ribet', 'chat', 'indita', 'keluhan', 'lemot', 'aduhai', 'tombol', 'bantuan', 'bener', 'ngebantu', 'pilihan', 'tlpon', 'chat', 'suruh', 'restart', 'modem', 'payah', 'perbaharui', 'versi', 'udh', 'bagus', 'versi', 'ubah', '']</t>
  </si>
  <si>
    <t>['jaringannya', 'oke', 'keep', 'the', 'good', 'work', 'yaa', 'sampe', 'turun', '']</t>
  </si>
  <si>
    <t>['aplikasi', 'bagus', 'banget', 'mempermudah', 'cek', 'pemakaian', 'wifi', 'dirumah', 'sinyal', 'stabil', 'internet', 'lancar', 'bisnis', 'lancar', 'download']</t>
  </si>
  <si>
    <t>['alhamdulillah', 'cepat', 'gangguan', '']</t>
  </si>
  <si>
    <t>['alhamdulillah', 'betah', 'rumah', 'udah', 'indihome', 'kuliah', 'online', 'webinar', 'lancar', 'jaya', 'mikirin', 'takut', 'habis', 'kuota', 'ditengah', 'kuliah', 'nonton', 'drakor', 'youtube', 'lancar', 'bangettt', 'kendala', '']</t>
  </si>
  <si>
    <t>['aplikasi', 'membantu', 'serba', 'online', 'banget', 'indihome', 'udah', 'upgrade', 'nyaman', 'pakainya']</t>
  </si>
  <si>
    <t>['kendala', 'jaringan', 'gaperlu', 'repot', 'repot', 'bingung', 'cari', 'kontak', 'indihome', 'karna', 'udah', 'dipermudah', 'aplikasi']</t>
  </si>
  <si>
    <t>['aplikasi', 'mudah', 'monitoring', 'speed', 'internet', 'kecepatan', 'stabil', 'lancar', 'indihome', 'lancar', 'was', 'wus', 'was', 'wus', '']</t>
  </si>
  <si>
    <t>['kada', 'login', '']</t>
  </si>
  <si>
    <t>['update', 'skrng', 'speednya', 'mantap', 'betah', 'rumah', 'nonton', 'lancar', 'jaya', 'kya', 'jalan', 'tol', 'sukses', 'sllu', 'indihome']</t>
  </si>
  <si>
    <t>['ngelag', 'stream', 'ngentt']</t>
  </si>
  <si>
    <t>['gag', 'nyesel', 'milih', 'indihome', 'banyaknya', 'pilihan', 'paket', 'internet', 'super', 'cepet', 'gag', 'lemot', 'biayanya', 'sesuai', 'pelayanan', 'bagus', 'betah', 'dirumah', 'gag', 'kemana', 'kumpul', 'kluarga', 'betah', '']</t>
  </si>
  <si>
    <t>['mantap', 'appnya', 'mbayar', 'tagihan', 'indihome', 'gampang', 'app']</t>
  </si>
  <si>
    <t>['fitur', 'lengkap', 'banget', 'saluran', 'chanelnya', 'edukasi', 'hiburan', 'pokonya', 'komplit', 'deh', 'terimakasih', 'indihome']</t>
  </si>
  <si>
    <t>['paket', 'indihomenya', 'terjangkau', 'promonya']</t>
  </si>
  <si>
    <t>['tolong', 'cepat', 'perbaiki', 'aplikasinya', 'loadingnya', '']</t>
  </si>
  <si>
    <t>['wih', 'manteb', 'indihome', 'kenceng', 'speednya', 'betah', 'rumah', 'nonton', 'film', 'keluarga', 'srmangat', 'trus', 'indihome']</t>
  </si>
  <si>
    <t>['kereen', 'internetnya', 'kenceng', 'sperti', 'angin', 'macet', 'recomend', 'pokonya', '']</t>
  </si>
  <si>
    <t>['login', 'email', 'verifikasi', 'pakai', 'sms', '']</t>
  </si>
  <si>
    <t>['laporan', 'gangguan', 'status', 'selesai', 'selesai', 'apadahal', 'teknisi', 'memperbaiki', 'status', 'selesai', 'laporan', 'gangguan']</t>
  </si>
  <si>
    <t>['mantep', 'update', 'kali', 'nggak', 'mengecewakan', 'kemaren', 'komplain', 'cepet', 'bales', 'email']</t>
  </si>
  <si>
    <t>['pelayanan', 'mengecewakan']</t>
  </si>
  <si>
    <t>['pilihan', 'indihome', 'lebihh', 'beralih', 'karna', 'jelek', 'jaringan', 'app', 'nyaaa']</t>
  </si>
  <si>
    <t>['apl', 'dipake', 'ngabisin', 'paket', 'pungsi', '']</t>
  </si>
  <si>
    <t>['abis', 'upgrade', 'kek', 'downgrade', 'banget', 'aplikasi', 'menang', 'ditampilan', 'fasilitasnya', 'menurun', 'data', 'pengguna', 'online', 'dicariin', 'data', 'minipack', 'channel', 'subscribe', 'minipack', 'apps', 'subscribe', 'bingung', 'minipack', 'abis', 'berlaku', 'bulanan', 'tgl', 'brp', 'kayak', 'subs', 'udh', 'tanggal', 'berentinya', '']</t>
  </si>
  <si>
    <t>['tampilan', 'aplikasi', 'instal']</t>
  </si>
  <si>
    <t>['semenjak', 'ganti', 'tampilan', 'parah', '']</t>
  </si>
  <si>
    <t>['jam', 'mlm', 'eror', 'mulu', 'nonton', 'yotube', 'bisaaaaaaaa']</t>
  </si>
  <si>
    <t>['update', 'bener', 'rusak', 'parah', 'log', 'out', 'log', 'ulang', 'udah', 'seminggu', 'balasannya', 'peningkatan', 'perusahaan', 'segede', 'rekrut', 'ahli', 'ngatasin', 'kek', 'gini', 'mahal', 'doank', 'pelayanannya', 'parah', '']</t>
  </si>
  <si>
    <t>['akurasi', 'lokasi', 'kecepatan', 'internet', 'bagus', 'harga', 'pemasangan', 'sesuai', 'kualitas']</t>
  </si>
  <si>
    <t>['dirumah', 'indihome', 'aman', 'nge', 'lag']</t>
  </si>
  <si>
    <t>['apk', 'udah', 'bagus', 'hbis', 'updet', 'nga', 'bagus', 'loding', 'skli']</t>
  </si>
  <si>
    <t>['', 'update', 'aplikasi']</t>
  </si>
  <si>
    <t>['upgrade', 'lemot', 'aplikasinya', 'kacau', 'bagus', 'aplikasi', 'penyempurnaan', 'sampah', 'mending', 'bertahan', 'aplikasi']</t>
  </si>
  <si>
    <t>['minggu', 'udah', 'perbharui', 'indi', 'mexx', 'skarng', 'indi', '']</t>
  </si>
  <si>
    <t>['tagihan', 'bayar', 'rutin', 'nunggak', 'suruh', 'bayar', 'layanan', 'pengaduan', 'provider', 'teknisine', 'seng', 'profesional']</t>
  </si>
  <si>
    <t>['upgrade', 'error', 'kaya', 'progremernya', 'belajar', 'ciami']</t>
  </si>
  <si>
    <t>['gmma', 'versi', 'terbarunya', 'masukmya', 'halo', 'indihome', 'update', 'aplikasi', 'indihome', 'pembelajaran', 'update', 'aplikasi', 'jujur', 'layak', 'instal', 'parah', 'mengecewakan', 'aplikasi', 'super', 'buruk', '']</t>
  </si>
  <si>
    <t>['masuk', 'pakai', 'emal', 'daftar', 'pakai', 'email']</t>
  </si>
  <si>
    <t>['bosok', 'aplikasi', 'berhari', 'nyoba', 'login', 'disuruh', 'tunggu', 'jam', 'gitu', 'blm', 'fix', 'min', 'pembaruan']</t>
  </si>
  <si>
    <t>['upgrade', 'silahkan', 'fitur', 'jelek', 'lebij', 'buruk', 'mending', 'kasih', 'bintang', 'menyusul']</t>
  </si>
  <si>
    <t>['upgrade', 'aplikasi', 'menu', 'renew', 'fup', 'sungguh', 'kecewa', 'menyesal', 'upgrade', 'aplikasi', 'ribet', 'fitur', 'berfungsi', '']</t>
  </si>
  <si>
    <t>['maasyaaallah', 'dijamin', 'aplikasi', 'keren', 'nda', 'ngecewain', 'kak', 'buruan', 'download', 'aplikasinya', 'makasihhh', 'membantu', '']</t>
  </si>
  <si>
    <t>['bagus', 'beli', 'paket', 'wifi', 'dapet', 'point', 'ditukar', 'dehh', '']</t>
  </si>
  <si>
    <t>['mantul', 'apk', 'jaringan', 'lemot', 'lantai', 'sinyal', 'cuocokk', 'poll', 'pokonya']</t>
  </si>
  <si>
    <t>['aplikasi', 'bermanfaat', 'kalangan', 'modern', 'terimakasih', 'indihome', 'melancarkan', 'akses', 'internet', 'berbisnis']</t>
  </si>
  <si>
    <t>['tampilan', 'user', 'friendly', 'banget', 'kalangan', 'anak', 'anak', 'sampe', 'pakai', 'aplikasinya', 'tingkatkan', 'kualitasnya', 'yaa']</t>
  </si>
  <si>
    <t>['login', 'minggu', 'kemaren', 'payah', 'kemaren', 'enak', 'ajja', 'aplikasinya', 'ngopi', 'ngodingnya', 'beres', 'rilis', '']</t>
  </si>
  <si>
    <t>['bos', 'gimana', 'menu', 'speed', 'demand', 'sod', 'renewspeed', 'update', 'mohon', 'tanggapannya']</t>
  </si>
  <si>
    <t>['apk', 'parah', 'seringgangguan']</t>
  </si>
  <si>
    <t>['', 'login', 'pusing', '']</t>
  </si>
  <si>
    <t>['update', 'app', 'nov', 'parah', 'susah', 'loading', 'applikasi', 'gangguan', 'request', 'tiket', 'perbaikan', 'diarahkan', 'reset', 'modem', 'risat', 'reset', 'solusi', 'tinggal', 'tunggu', 'provider', 'masuk', 'goodbye', 'indihome']</t>
  </si>
  <si>
    <t>['enak', 'banget', 'indihome', 'internetnya', 'lancar', 'biayanya', 'terjangkau', 'lengkat', 'nonton', 'film', 'youtube', 'semoga', 'kedepannya', 'bagus', '']</t>
  </si>
  <si>
    <t>['indihome', 'the', 'best', 'harga', 'paket', 'indihome', 'terjangkau', 'tersedia', 'layanan', 'call', 'center', 'jam', 'mendukung', 'proses', 'registrasi', 'pelanggan', 'via', 'online', '']</t>
  </si>
  <si>
    <t>['upgrade', 'aplikasi', 'login', 'uda', 'laporan']</t>
  </si>
  <si>
    <t>['aplikasi', 'bagus', 'fiturnya', 'oke', 'ramah', 'banget']</t>
  </si>
  <si>
    <t>['tampilan', 'muka', 'rapi', 'suka', 'nggak', 'bingung', 'jaringan', 'indihome', 'lancar', 'jaga', 'kualitas', 'indihome', 'thx']</t>
  </si>
  <si>
    <t>['aplikasi', 'membantu', 'mengecek', 'penggunaan', 'wifi', 'dirumah', 'jaringan', 'internet', 'lancar', 'download']</t>
  </si>
  <si>
    <t>['keren', 'aplikasinya', 'memudahkan', 'cek', 'status', 'jaringan', 'pilih', 'paket', 'wifi', 'dll', 'aplikasi', 'memudahkan', 'kerjaannya', 'jualan', 'online', 'pastinya', 'berhubungan', 'erat', 'internet', 'berkat', 'aplikasi', 'pulang', 'pergi', 'telkom', '']</t>
  </si>
  <si>
    <t>['perusahaan', 'terburuk', 'abis', 'bayar', 'gangguan', 'memperbaiki', 'bangkrut', 'gimana', 'bayar', 'mahal', 'karyawan', 'males', 'malesan', 'udah', 'makan', 'duit', 'haram', '']</t>
  </si>
  <si>
    <t>['memudahkan', 'banget', 'bayar', 'tagihan', 'indihome', 'keluhan', 'tinggal', 'aplikasi', 'pokoknya', 'bagus', 'deh', 'sistemnya']</t>
  </si>
  <si>
    <t>['internet', 'lelet', 'apk', 'lelet', '']</t>
  </si>
  <si>
    <t>['indihome', 'versi', 'laporan', 'gangguan', 'mohon', 'perbaiki', 'susah', 'mendapatakan', 'penanganan', 'laporan', 'gangguan']</t>
  </si>
  <si>
    <t>['penangganan', 'mohon', 'perbaiki']</t>
  </si>
  <si>
    <t>['parah', 'lemot', 'update', 'lemot', 'muter', 'bufring', 'trus', 'tolong', 'perbaiki', 'kehilangan', 'pelanggan', '']</t>
  </si>
  <si>
    <t>['tampilan', 'bagus', 'sayang', 'rumah', 'terpelosok', 'berfungsi', 'agen', 'idihome', 'bisalah']</t>
  </si>
  <si>
    <t>['aplikasi', 'rekomendad', 'bangett', 'fitur', 'bagus', 'kece', 'pastinya', 'gampang', 'dpt', 'pahami', 'kaum', 'awam']</t>
  </si>
  <si>
    <t>['aplikasi', 'membantu', 'pengguna', 'indihome']</t>
  </si>
  <si>
    <t>['download', 'aplikasi', 'berguna', 'pengguna', 'indihome', 'simpel', 'bsa', 'info', 'indihome', 'item', 'program', 'indihom', 'jadwal', 'pembayaran', 'penawarang', 'terbaru', 'mreka', 'tawarkan', 'pengguna', 'indihom', 'pastinya', 'memudahkan', 'recommended', 'download', 'pengguna', 'indihom', 'aktifasi', 'indihome']</t>
  </si>
  <si>
    <t>['aplikasinya', 'keren', 'fiturnya', 'cek', 'tagihan', 'cek', 'point', 'myindihome', 'info', 'pemakaian', 'layanan', 'menarik', 'mantap', 'deh', 'pokonya']</t>
  </si>
  <si>
    <t>['aplikasinya', 'okey', 'banget', 'fiturnya', 'lengkap', 'cek', 'cek', 'jaringan', 'wilayah', 'deh', 'ramah', 'fast', 'respon', 'banget', '']</t>
  </si>
  <si>
    <t>['puas']</t>
  </si>
  <si>
    <t>['jelek', 'loading']</t>
  </si>
  <si>
    <t>['aplikasi', 'myi', 'memudahkan', 'pelanggan', 'monitoring', 'lapor', 'penambahan', 'layanan', 'harapannya', 'semoga', 'kedepan', 'bug', 'update', 'aplikasi', 'myi', 'minimalisir', 'bug', 'sukses', 'telkom', 'indonesia', '']</t>
  </si>
  <si>
    <t>['aplikasi', 'bagus', 'praktis', 'memudahkan', 'membeli', 'paket', 'sesuai', 'kebutuhan', 'mudah', 'jaringan']</t>
  </si>
  <si>
    <t>['ngebantu', 'banget', 'memantau', 'wifi', 'dirumah', 'fiturnya', 'lengkap', 'tagihan', 'kecepatan', 'internet', 'gangguan', 'diadukan', 'cepat', 'teratasi', 'deh', 'mantap', 'indihome']</t>
  </si>
  <si>
    <t>['pengalaman', 'indihome', 'kendala', 'apapun', 'sllu', 'informasi', 'indihome', 'kendala', 'indihome', 'sllu', 'cepat', 'menanganinya', 'sllu', 'solusi', '']</t>
  </si>
  <si>
    <t>['aplikasi', 'sangatt', 'membantu', 'mengelola', 'dirumah', 'gerai', 'telkom', 'terimakasih', 'indihome', '']</t>
  </si>
  <si>
    <t>['pilihannya', 'ngga', 'ngebosenin', 'jaringannya', 'bagus', 'cocok', 'jarang', 'nonton', '']</t>
  </si>
  <si>
    <t>['indihome', 'internet', 'lancar', 'kendala', 'bisnis', 'sosmed', 'lancar', 'banget', 'download', 'mempermudah', 'akses', 'indihome']</t>
  </si>
  <si>
    <t>['wow', 'bagus', 'aplikasi', 'membantu', 'internet', 'paketnya', 'murah', 'terima', 'kasih', 'indihome', '']</t>
  </si>
  <si>
    <t>['update', 'login', 'login', 'pakai', 'tulisan', 'pengembangan', 'perbaikan', 'dll', 'kecewa', 'gini', 'aplikasi', 'indihome']</t>
  </si>
  <si>
    <t>['aplikasi', 'membantu', 'pengguna', 'indihomeee', 'aplikasi', 'lemot', 'fiturnyaaa', 'lengkap', 'bangeeet', 'sip', 'indihome']</t>
  </si>
  <si>
    <t>['nggak', 'udah', 'nggk', 'terhubung', 'lihat', 'brpa', 'terhubung', 'wifi', '']</t>
  </si>
  <si>
    <t>['udah', 'banget', 'indihome', 'sinyal', 'kencang', 'harga', 'murah', 'hemat', 'pemakaian', 'serumah', 'orang', 'hahah', 'jarang', 'kendala', 'sukses', 'indihome', '']</t>
  </si>
  <si>
    <t>['kualitas', 'internet', 'indihome', 'bagus', 'anti', 'ngelag', 'suka', 'main', 'game', 'recomend', 'banget', 'fiks', 'pokoknya', 'banget', 'indihome', 'internet', 'lemot']</t>
  </si>
  <si>
    <t>['aplikasi', 'digital', 'modern', 'dilengkapi', 'fitur', 'keren', 'dalamnya', 'harganya', 'promo', 'mantap', 'deh']</t>
  </si>
  <si>
    <t>['aplikasi', 'oke', 'banget', 'fitur', 'fitur', 'disediakan', 'lengkap', 'ribet', 'beli', 'kuota', 'internet', 'keluhan', 'respon', 'admin', 'cepat', 'tanggap', 'membantu', 'deh', 'pokoknya', 'semoga', 'kedepannya', '']</t>
  </si>
  <si>
    <t>['semenjak', 'pakai', 'indihome', 'internet', 'teratasi', 'menghemat', 'pengeluaran', 'kualitas', 'jaringannya', 'bagus', 'fiber', 'optik', 'kli', 'yak', 'keluhan', 'tolong', 'ditambah', 'memenuhi', 'kebutuhan', 'konsumen', 'cepat', '']</t>
  </si>
  <si>
    <t>['jaringan', 'internet', 'lancar', 'error', 'fasilitas', 'myindihome', 'memuaskan']</t>
  </si>
  <si>
    <t>['gangguan', 'laporan', 'dipersulit', 'ngapain', 'coba', 'diperbaruin', 'mudh', 'sulit', 'tolong', 'gangguan', 'tolong', 'dipermudah']</t>
  </si>
  <si>
    <t>['alhamdulillah', 'lancar', 'ngadat', 'diapknya', 'harga', 'paket', 'terjangkau', 'tampilan', 'semoga', 'pengalaman', 'terbaik', 'pelanggan', 'perbaikan', 'bagus', '']</t>
  </si>
  <si>
    <t>['aplikasi', 'bagus', 'aplikasi', 'mencari', 'paket', 'internet', 'sesuai', 'budget', 'poin', 'tukar', 'mercendise', 'menarik', '']</t>
  </si>
  <si>
    <t>['lengkap', 'banget', 'pokoknya', 'oke', 'cocok', 'males', 'nonton', 'kaya', 'betah', 'dirumah']</t>
  </si>
  <si>
    <t>['transaksi', 'layanan', 'indihome', 'mudah', 'aplikasi', 'myindihome', 'pantau', 'aktivasi', 'paket', 'lapor', 'gangguan', 'banget', 'yuk', 'instal', 'lupa', '']</t>
  </si>
  <si>
    <t>['nyesel', 'install', 'aplikasi', 'kirain', 'liat', 'perangkat', 'terhubung', 'wifi', 'tampil', 'perangkat', 'terhubung', 'jaringan', 'kirain', 'respon', '']</t>
  </si>
  <si>
    <t>['wihhh', 'bagus', 'nihhh', 'aplikasinya', 'karna', 'bermanfaat', 'bingung', 'penggunaan', 'internet', 'rumah', 'uang', 'butuhkan', 'membayar', 'good', 'job']</t>
  </si>
  <si>
    <t>['bangsattt', 'upgrade', 'login', 'keparaatttt']</t>
  </si>
  <si>
    <t>['upgrade', 'susah', 'laporan', 'aduan', 'gangguan']</t>
  </si>
  <si>
    <t>['internet', 'mati', 'malam', 'mohon', 'dikirim', 'teknisi', 'kantor', 'telkom', 'malam']</t>
  </si>
  <si>
    <t>['thanks', 'indihome', 'pilihan', 'offering', 'paket', 'indihome', 'study', 'murah', 'rb', 'sebulan']</t>
  </si>
  <si>
    <t>['apan', 'sehabis', 'update', 'kinerja', 'apk', 'bagus', 'salah', 'masukan', 'password', 'password', 'aneh', 'menyusahkan', '']</t>
  </si>
  <si>
    <t>['abis', 'update', 'laporan', 'gangguan', 'suruh', 'aktifasi', 'paket', 'internet', 'udah', 'langganan', '']</t>
  </si>
  <si>
    <t>['alhamdulillah', 'konek', 'berhasil', 'harapkan', 'semoga', 'pelayanannya', 'ditingkatkan', 'kenyamanan', 'berinternet', 'ria', 'terimakasih']</t>
  </si>
  <si>
    <t>['pengaduan', 'layanan', 'berfungsi', 'restart', 'ulang', 'berkali', 'kali', 'menu', 'pengaduan', 'laporan', 'chat', 'indita']</t>
  </si>
  <si>
    <t>['knp', 'apk', 'berbentuk', 'karna', 'kotak', 'doang', 'kya', 'apk', 'rusak', 'android', '']</t>
  </si>
  <si>
    <t>['kemarin', 'suaranya', 'indihomenya', 'rusak', 'tukang', 'indihome', 'memperbaiki', 'suaranya', 'tampilan', 'bagus', 'fiturnya', 'upgrade', 'rombak', 'gitu', 'memudahkan', 'pemakai', 'remotnya', 'aneh', 'fitur', 'asisten', 'google', 'bicara', 'muncul', 'indihome', 'jaringannya', 'lelet']</t>
  </si>
  <si>
    <t>['update', 'log', 'out', 'lupa']</t>
  </si>
  <si>
    <t>['app', 'broken', 'update', 'gabisa', 'menghubungkan', 'nomor', 'indihome']</t>
  </si>
  <si>
    <t>['sinyal', 'lemot', 'byar', 'mahal', 'ngga', 'sesuai']</t>
  </si>
  <si>
    <t>['aplikasi', 'bermasalah', 'lambat', 'maintenancenya', 'pelanggan', 'menunggu', 'berhari', 'sekedar', 'perbaikan', 'pemasangan', 'cepat', 'aneh', 'telkom', 'dikotaku', 'pilihan', 'pindah', '']</t>
  </si>
  <si>
    <t>['aplikasinya', 'upgrade', 'jelek', 'susah', 'lemot', '']</t>
  </si>
  <si>
    <t>['aplikasi', 'sampah', 'segoblok', 'orang', 'bumn', 'sampe', 'aplikasi', 'kayak', 'gini', 'beres', 'aplikasi', 'update', 'update', 'profile', 'hilang', 'masukan', 'nomor', 'email', 'beserta', 'password', 'pasang', 'bodat', 'susahnya', 'nomor', 'pelanggan', 'nomor', 'nomer', 'email', 'datanya', 'dikantor', 'ente', 'inget', 'cooookkkkkkkk', 'nomer', 'email', 'password', 'bertahun', 'pasang', 'indiehome', 'kopeeetttt']</t>
  </si>
  <si>
    <t>['nyesel', 'pasang', 'indihome', 'bru', 'kemaren', 'aktif', 'hri', 'bsa', 'dipakai', '']</t>
  </si>
  <si>
    <t>['petugas', 'fix', 'status', 'perbaikannya', 'selesai', 'gimana', 'ceritanya', '']</t>
  </si>
  <si>
    <t>['renew', 'speed', 'gampang']</t>
  </si>
  <si>
    <t>['pelayanan', 'service', 'bagus', 'petugas', 'maintenance', 'grogol', 'jakarta', 'barat', 'cekatan']</t>
  </si>
  <si>
    <t>['lambat']</t>
  </si>
  <si>
    <t>['habis', 'update', 'aplikasinya', 'berat', 'dibukanya', 'user', 'friendly', 'kyak', 'pasar', 'isinya', 'jualan']</t>
  </si>
  <si>
    <t>['aplikasi', 'bobrok']</t>
  </si>
  <si>
    <t>['kesalahan', 'aplikasinya', 'muter', '']</t>
  </si>
  <si>
    <t>['aplikasi', 'lelet', 'laporan', 'pengaduan', 'ditangani', 'keterangan', 'selesai', 'disuruh', 'rating', 'teknisi', 'dateng', 'giliran', 'laporan', 'lelet', 'ampun', 'jaringan', 'celluler', 'ditest', 'download', 'lancar', '']</t>
  </si>
  <si>
    <t>['aplikasi', 'loading', 'jaringan', 'mati']</t>
  </si>
  <si>
    <t>['update', 'pershaan', 'bumn', 'msak', 'wifi', 'drmh', 'sya', 'mati', '']</t>
  </si>
  <si>
    <t>['aplikasi', 'versi', 'terbaru', 'bagus']</t>
  </si>
  <si>
    <t>['aplikasi', 'kebanyakan', 'loading', 'lemot']</t>
  </si>
  <si>
    <t>['update', 'aplikasinya', 'lemot', 'ngga', 'lapor', 'gangguang', 'woi', 'aplikasi', 'blm', 'matang', 'keluarin', '']</t>
  </si>
  <si>
    <t>['membantu', 'susah', 'update', 'jaringan', 'wifi', 'indihome']</t>
  </si>
  <si>
    <t>['perbaharui', 'pakai', 'heran']</t>
  </si>
  <si>
    <t>['bangke', 'ponit', 'tuker', 'voucher', 'cicilan', 'emas', 'point', 'voucher', 'beli', 'make', 'bangke', 'sial', 'point', 'aning', 'hilang']</t>
  </si>
  <si>
    <t>['aplikasi', 'bodoh']</t>
  </si>
  <si>
    <t>['', 'laporan', 'lemot', 'banget', 'parah', 'apps']</t>
  </si>
  <si>
    <t>['', 'logout', 'trus', 'masuk']</t>
  </si>
  <si>
    <t>['ngeleg', 'kali', 'nii', 'apk', 'gaguna', '']</t>
  </si>
  <si>
    <t>['pelayanan', 'buruk', 'laporan', 'susah', '']</t>
  </si>
  <si>
    <t>['aplikasinya', 'bagus', 'nonresponsif', 'aplikasinya', 'mohon', 'developer', 'memperbaiki', 'mencari', 'kelemahan', 'user', 'senang', 'ulasanya', 'terimakasih', '']</t>
  </si>
  <si>
    <t>['update', 'mulu', 'aplikasi', 'aplikasi', 'terburuk', 'sekelas', 'bumn', 'aplikasinya', 'kasa', 'sampah', 'malu', 'menteri', 'erick', 'tohir', 'update', 'login', 'ulang', 'gampang', 'susah', 'loginya', 'kode', 'verifikasi', 'sms', 'email', 'susah', 'sistem', 'bla', 'bla', 'taikmu', '']</t>
  </si>
  <si>
    <t>['lemotnya']</t>
  </si>
  <si>
    <t>['yth', 'pimpinan', 'telkom', 'kecewa', 'kualitas', 'jaringan', 'wifi', 'indihome', 'bayar', 'telat', 'sesuai', 'tempo', 'jaringan', 'stabil', 'koneksi', 'pelanggan', 'merasakan', 'indihome', 'syarat', 'pengguna', 'taat', 'indihome', 'terbaik', 'terkait', 'kualitas', 'kuantitas', 'komitmennya', 'tolong', 'capek', 'komplain', '']</t>
  </si>
  <si>
    <t>['aplikasi', 'mantap', 'info', 'update', 'top', 'pertahankan']</t>
  </si>
  <si>
    <t>['buka', 'aplikasinya', 'berat', 'hello', 'admin', 'menu', 'check', 'penggunaan', 'dimana', 'nggak', 'menu', 'homepage', 'gambar', '']</t>
  </si>
  <si>
    <t>['logo', 'logo', 'android', '']</t>
  </si>
  <si>
    <t>['aplikasi', 'ngisi', 'pelanggan', 'indihome', 'typically', 'aplikasi', 'buatan', 'bumn', 'pemerintahan', 'indo', 'gitu', 'deh', '']</t>
  </si>
  <si>
    <t>['review', 'hapus', 'update', 'aplikasi', 'berat', 'lambat']</t>
  </si>
  <si>
    <t>['user', 'friendly']</t>
  </si>
  <si>
    <t>['udh', 'berhasil', 'login', 'disuruh', 'login', '']</t>
  </si>
  <si>
    <t>['seriusan', 'apk', 'myindihome', 'aneh', 'berat', 'intinya', 'kaga', 'apk']</t>
  </si>
  <si>
    <t>['lemot', 'nyaman', 'make']</t>
  </si>
  <si>
    <t>['akses', 'indiehome', 'bandwidth', 'loading', 'stuck', 'freez', 'ntah', 'servernya', 'ntah', 'aplikasinya', 'nggak', 'beres', 'akses', 'pakaian', 'jaringan', 'wifi', 'indiehome', 'semoga', 'bumn', 'berbenah', '']</t>
  </si>
  <si>
    <t>['mohon', 'maaf', 'kasih', 'bintang', 'aplikasinya', 'bagus', 'upgrade', 'lambat', 'kebuka', 'tolong', 'tingkatkan', '']</t>
  </si>
  <si>
    <t>['', 'update', 'tampilannya', 'susah', 'ngeliatnya']</t>
  </si>
  <si>
    <t>['parah', 'update', 'aplikasi', 'report', 'gangguan', 'jaringan', 'susah', 'isinya', 'promosi', 'jualan', 'mulu', 'bukanya', 'benerin', 'pelayanan', '']</t>
  </si>
  <si>
    <t>['situs', 'indihome', 'susah', 'akses', 'mengajukan', 'keluhan', 'sulit', 'pelanggan', 'promo', 'gift']</t>
  </si>
  <si>
    <t>['ikon', 'indihime', 'rusak', 'gan']</t>
  </si>
  <si>
    <t>['login', 'buruk', 'aplikasi']</t>
  </si>
  <si>
    <t>['jelek', 'update', 'tan', 'rekomended', 'banget', 'jelek', 'jelek', 'jelek']</t>
  </si>
  <si>
    <t>['', 'update', 'njuk', 'tewas', 'iso', 'login']</t>
  </si>
  <si>
    <t>['pembaruan', 'ribet', 'indihome', 'lemot', 'pokok', 'super', 'buruk']</t>
  </si>
  <si>
    <t>['mohon', 'diperbaiki', 'upgrade', 'aplikasi', 'login', 'nomor', 'verifikasi', 'nomor', 'aktif', 'kode', 'kode', 'bingung', 'salah', 'aplikasi', 'mohon', 'dikembalikan', 'aplikasi', '']</t>
  </si>
  <si>
    <t>['aplikasi', 'berat', '']</t>
  </si>
  <si>
    <t>['samp', 'operator', 'teknisi', 'lempar', 'tanggung', 'koneksi', 'ancur']</t>
  </si>
  <si>
    <t>['login', 'eror', 'giaman', 'solusinya']</t>
  </si>
  <si>
    <t>['pemeliharaan', 'sampe', 'minggu', 'selesai', 'percumah', 'instal', 'log', 'ngak', 'anehhhh']</t>
  </si>
  <si>
    <t>['lemot', 'loadingnya', 'pol', 'versi', 'terbaru', 'keren', 'username', 'wifi', 'seamlessnya', 'bermsalah', 'buka', 'app', 'nge', 'hang', 'saking', 'lemotnya', '']</t>
  </si>
  <si>
    <t>['', 'upgrade', 'greget', 'banget', '']</t>
  </si>
  <si>
    <t>['login', 'sandi', 'salah', 'mulu', 'lupa', 'sandi', 'mending', 'versi', 'mohon', 'ditangulangi']</t>
  </si>
  <si>
    <t>['update', 'lemot', 'tampilannya', 'enakan', 'update']</t>
  </si>
  <si>
    <t>['harga', 'mahal', 'kualitas', 'jaringan', 'oke', 'pelayanan', 'customernya', 'bagus']</t>
  </si>
  <si>
    <t>['mudah', 'praktis', 'pakai', 'aplikasi', 'indihome', 'pengaduan', 'layanan', 'cek', 'jaringan', 'lokasi', 'harganya', 'terjangkau']</t>
  </si>
  <si>
    <t>['lemot', 'orang', 'mah', 'aman', 'lemot', 'diakhir', 'mah', 'wajar', 'habis']</t>
  </si>
  <si>
    <t>['fitur', 'fitur', 'lengkap', 'cek', 'pembayaran', 'tagihan', 'pilih', 'paket', 'ambil', 'jaringan', 'lumayan', 'bagus']</t>
  </si>
  <si>
    <t>['aplikasinya', 'mudah', 'ringan', 'depannya', 'fitur', 'fitur', 'update', 'terbaru', 'good', 'job', '']</t>
  </si>
  <si>
    <t>['server', 'lemot', 'plus', 'bug', 'aplikasi', 'cek', 'profil', 'ngestak']</t>
  </si>
  <si>
    <t>['aplikasinya', 'mudah', 'gampang', 'diakses', 'fitur', 'langganan', 'repot', 'mandiri', 'langsung', 'aplikasinya', '']</t>
  </si>
  <si>
    <t>['aplikasi', 'membantu', 'memudahkan', 'ganti', 'paket', 'indihome', 'jaringan', 'bagus', 'harga', 'nggak', 'mahal', 'mantab', 'deh']</t>
  </si>
  <si>
    <t>['aplikasi', 'sial', 'lemot', 'mnta', 'ampun', 'pecat', 'org', 'bkin', 'aplikasi', 'gni', 'gaji', 'gde', 'aplikasi', 'lieur', 'uninstal', 'aahh', '']</t>
  </si>
  <si>
    <t>['aplikasinya', 'okey', 'pelayanannya', 'mantap', 'fiturnya', 'menarik', 'promonya', 'jugaa', 'aplikasinya', 'ringan', 'loadingnya', 'cepet', 'top', 'mantul', 'dahh', '']</t>
  </si>
  <si>
    <t>['butuh', 'penyesuaian', 'tampilan', 'overall', 'oke', 'mudah', 'nggak', 'ribet']</t>
  </si>
  <si>
    <t>['lemot', 'cok', 'aplikasimu']</t>
  </si>
  <si>
    <t>['sekeluarga', 'maksimalin', 'myindihome', 'app', 'kebutuhan', 'hiburan', 'edukasi', 'mantau', 'tagihan', 'pembelian', 'aktivitas', 'layanan', 'apk', 'penawaran', 'promosi', 'menarik', 'suka', 'aplikasi', 'sukses', 'myindihome', '']</t>
  </si>
  <si>
    <t>['buka', 'aplikasi', 'hrs', 'sll', 'login', 'ribetttt', '']</t>
  </si>
  <si>
    <t>['updatenya', 'sampah', 'jelek']</t>
  </si>
  <si>
    <t>['kualitas', 'pelayanan', 'memuaskan', 'harga', 'sesuai', 'kualitas', 'jaringan', 'olah']</t>
  </si>
  <si>
    <t>['terbantu', 'banget', 'aplikasi', 'fiturnya', 'lengkap', 'tampilannya', 'bagus', 'info', 'promo', '']</t>
  </si>
  <si>
    <t>['apk', 'memudahkan', 'pelanggan', 'indihome', 'liat', 'riwayat', 'langganan', 'ngecek', 'paket', 'direkomendasiin', '']</t>
  </si>
  <si>
    <t>['aplikasi', 'berguna', 'banget', 'sebangai', 'pengguna', 'indihome', 'ngecek', 'penggunaan', 'internet', 'fitur', 'pengaduan', '']</t>
  </si>
  <si>
    <t>['aplikasinya', 'bagus', 'banget', 'ngebantu', 'lihat', 'pembayaran', 'berjalan', 'proses', 'layanan', 'komolen', 'dilayani', 'cepat', 'teknisi', 'teknisi', 'langsung', 'lokasi', 'pengecekan']</t>
  </si>
  <si>
    <t>['', 'update', 'lemot', 'user', 'friendly', 'ribet', 'penggunaan']</t>
  </si>
  <si>
    <t>['susah', 'gitu', 'masukin', 'kode', 'wifi', 'kubeli', 'marketplace', 'ternama', 'kupikir', 'gkguna', 'nyoba', 'keknya', 'udah', 'diperbaiki', 'good', 'joblah']</t>
  </si>
  <si>
    <t>['semenjak', 'aplikasi', 'membantu', 'problem', 'wifi', 'dirumah', 'gampang', 'hubungi', 'customer', 'servicenya']</t>
  </si>
  <si>
    <t>['massya', 'allah', 'innalilahi', 'aplikasi', 'perbaru', 'banget', 'mending', 'aplikasi', 'lemot', 'banget', 'rinew', 'speed', 'bayar', 'pakai', 'kouta', 'lemot', 'kebangetan', 'suruh', 'login', 'apl', 'masuk', 'payah', 'buruk', 'banget', '']</t>
  </si>
  <si>
    <t>['upgrade', 'layanan', 'apk', 'poinnya', 'bermanfaat', 'jaringan', 'lemot']</t>
  </si>
  <si>
    <t>['woow', 'maa', 'syaa', 'allah', 'aplikasi', 'bagus', 'terpercaya', 'aplikasi', 'memudahkan', 'mengakses', 'layanan', 'fitur', 'fitur', 'disediakan', 'bermanfaat', 'banget', 'pelanggan', 'ribet', '']</t>
  </si>
  <si>
    <t>['tolong', 'diupdate', 'aplikasi', 'lag', 'parah', 'bnyak', 'bug', 'pdahal', 'ram', '']</t>
  </si>
  <si>
    <t>['aplikasi', 'bagus', 'menarik', 'didalam', 'menukar', 'poin', 'berfungsi', 'informasi', 'layanan', 'internet']</t>
  </si>
  <si>
    <t>['aplikasi', 'bermanfaat', 'masyarakat', 'pengguna', 'indihome', 'fitur', 'oke', 'poin', 'jga', 'ditukar', 'berlangganan', 'dng', 'mudah', 'diakses', 'sukses']</t>
  </si>
  <si>
    <t>['', 'responsif', 'sinyalnya', 'jarang', 'kendala']</t>
  </si>
  <si>
    <t>['fitur', 'berguna', 'enaknya', 'lakukan', 'wifi', 'pelayanan', 'cepat', 'ramah', 'tingkatkan', 'pelayanannya', 'mantapss', 'dahh', '']</t>
  </si>
  <si>
    <t>['aplikasinya', 'memudahkan', 'melapor', 'customer', 'service', 'respond', 'pelayanannya', 'bgttt', 'akses', 'mudah', 'fiturnyaa', 'banyakkk', 'recomended', 'bgtttt']</t>
  </si>
  <si>
    <t>['pelayanan', 'buruk', 'wifi', 'mati', 'nyala', 'jam', 'doang', 'bayar', 'full', 'gatelat', 'pelayanan', 'buruk', '']</t>
  </si>
  <si>
    <t>['aplikasi', 'lemoot', 'internet', 'gangguan', 'mulu', 'gangguan', 'menghambat', 'pekerjaan', 'internet', 'mati', 'jam', 'blm', 'diakses', '']</t>
  </si>
  <si>
    <t>['apikasi']</t>
  </si>
  <si>
    <t>['selamat', 'sore', 'telkomsel', 'app', 'upgrade', 'masuk', 'maaf', 'perbaikan', 'sistem', 'lihat', 'tagihan', 'lihat', 'total', 'pemakaian', 'kuaota', '']</t>
  </si>
  <si>
    <t>['layanan', 'bagus', 'sayang', 'kadang', 'sulit', 'pelaporan', 'rmh', '']</t>
  </si>
  <si>
    <t>['respon', 'ganguan', '']</t>
  </si>
  <si>
    <t>['susah', 'login', 'aplikasi', 'chat', 'mesin', 'parah', 'koneksi', 'lemot']</t>
  </si>
  <si>
    <t>['dibuka', '']</t>
  </si>
  <si>
    <t>['mohon', 'cepat', 'atasi', 'sekelas', 'bumn', 'apk', 'kayak', 'gini']</t>
  </si>
  <si>
    <t>['bener', 'kacau', 'mengecewakan', 'telkom', 'update', 'indihome', 'terbaru', 'smkin', 'buruk', 'asli', 'emosi', 'saking', 'beratnya']</t>
  </si>
  <si>
    <t>['telkom', 'smakin', 'zaman', 'kacau', 'boro', 'akses', 'internenya', 'aplikasi', 'indihome', 'lemot', 'berat', 'buruk']</t>
  </si>
  <si>
    <t>['aplikasi', 'buruk', 'lambat']</t>
  </si>
  <si>
    <t>['sampah', 'lemot', 'banget']</t>
  </si>
  <si>
    <t>['kga', 'peningkatan', 'error', 'trus', 'kocak']</t>
  </si>
  <si>
    <t>['terimakasih', 'indihome', 'puas', 'pelayanannya', 'indihome', 'mengakses', 'internet', 'lancar', 'semoga', 'kedepan', '']</t>
  </si>
  <si>
    <t>['alhamdulillah', 'berkat', 'indihome', 'kerjaan', 'lancar', 'paket', 'ditawarkan', 'beragam', 'milih', 'sesuai', 'kebutuhan', 'aplikasinya', 'mudah', 'sukses', 'indihome', '']</t>
  </si>
  <si>
    <t>['aplikasi', 'sampah', 'sandi', 'ttep', 'eror', 'bsa', 'login']</t>
  </si>
  <si>
    <t>['aplikasi', 'lelet', 'sdm', 'ahli', 'kah', 'indihome', '']</t>
  </si>
  <si>
    <t>['loadingnya', 'update', 'login', '']</t>
  </si>
  <si>
    <t>['pakai', 'indihome', 'apknya', 'update', 'tampilan', 'aplikasi', 'keliatan', 'keren', 'banget', '']</t>
  </si>
  <si>
    <t>['cocokla', 'apk', 'suka', 'mager', 'bayar', 'cek', 'tagihan', 'apknya', 'bagus', 'berkembang', 'indihome']</t>
  </si>
  <si>
    <t>['update', 'trouble', 'lihat', 'perangkat', 'tersambung', 'wifi', 'muncul', 'renew', 'speed', 'mohon', 'diperbaiki', '']</t>
  </si>
  <si>
    <t>['bermanfaat', 'apk', 'cek', 'tagihan', 'iapk', 'ramah', '']</t>
  </si>
  <si>
    <t>['tingkatin']</t>
  </si>
  <si>
    <t>['aplikasinya', 'keren', 'lihat', 'kontrak', 'tagihan', 'atur', 'pakai', 'paket', 'butuhkan', 'kecepatan', 'sinyal', 'mantap', '']</t>
  </si>
  <si>
    <t>['aplikasi', 'lengkap', 'mudah', 'cek', 'stasus', 'pemakaian', 'status', 'terhubung', 'tetangga', 'usil', 'langsung', 'blok', 'langsung', 'semoga', 'kedepannya', 'keren', '']</t>
  </si>
  <si>
    <t>['', 'maju', 'perusahaan', 'bumn', '']</t>
  </si>
  <si>
    <t>['alhamdulillah', 'aplikasi', 'gampang', 'mengatur', 'wifi', 'dirumah', 'jaringannya', 'stabil', 'banget', 'good', 'jobb']</t>
  </si>
  <si>
    <t>['update', 'aplikasi', 'membantu', 'kendala', 'internet', 'trus', 'komplain', 'dikasih', 'solusi', 'langsung', 'terima', 'kasih', 'membantu']</t>
  </si>
  <si>
    <t>['varian', 'harga', 'paket', 'sinyal', 'gurih', 'menggelora', 'stabil', 'banget', 'kerjaan', 'ogut', 'lancar', 'jaya', 'good']</t>
  </si>
  <si>
    <t>['bagus', 'aplikasinya', 'myindihome', 'berguna', 'banget', 'pengguna', 'indihome', 'aplikasi', 'fiturnya', 'beragam', 'paket', 'internet', 'mudah', 'cek', 'tagihan', '']</t>
  </si>
  <si>
    <t>['mantep', 'banget', 'aplikasinya', 'membantu', 'pengguna', 'indihome', 'fiturnya', 'lengkap', 'bayar', 'tagihan', 'dimanapun', 'mudah', 'lapor', 'kendala', 'lokasi', 'plasa', 'telkom', 'terdekat', '']</t>
  </si>
  <si>
    <t>['keren', 'aplikasinya', 'membantu', 'berinovatif', 'semoga', 'sukses', 'pelayanan', 'memuaskan', 'penggunanya', '']</t>
  </si>
  <si>
    <t>['aplikasi', 'indihome', 'membantu', 'aksesnya', 'mudah', 'mengatur', 'wifi', 'gampang', 'recommend']</t>
  </si>
  <si>
    <t>['enjoy']</t>
  </si>
  <si>
    <t>['aplikasi', 'bagus', 'lancar', 'lancar', 'fiturnya', 'bagus', 'dibikin', 'ribet', 'memudahkan', 'berlangganan', 'semoga', 'kedepannya', 'ditingkat', '']</t>
  </si>
  <si>
    <t>['aplikasi', 'versi', 'kaga', 'pengaduan', 'chat', 'langsung', 'sukit', 'complain', 'kaya', 'gini', 'indihome', 'gangguan', 'complain', 'kemana', 'woy', '']</t>
  </si>
  <si>
    <t>['suka', 'banget', 'indihome', 'jaringan', 'bagus', 'harga', 'terjangkau', 'aplikasi', 'memudahkan', 'ganti', 'paket', 'langganan', 'praktis']</t>
  </si>
  <si>
    <t>['aplikasinya', 'bagus', 'mempermudah', 'pelanggan', 'indihome', 'pembayaran', 'menambah', 'kecepatan', 'wifinya', 'harga', 'ditawarkanpun', 'terjangkau']</t>
  </si>
  <si>
    <t>['pilih', 'pilih', 'pket', 'dipake', 'khawatir', 'mubazir', 'langsung']</t>
  </si>
  <si>
    <t>['aplikasi', 'tida', 'sekelas', 'perusahaan', 'tolong', 'perbaiki']</t>
  </si>
  <si>
    <t>['aplikasi', 'lemot', 'sekelas', 'telkom', 'suguhi', 'berkwalitas']</t>
  </si>
  <si>
    <t>['suka', 'indihome', 'kuliah', 'online', 'kyk', 'emang', 'cocok', 'wifi', 'kuota', 'boros', 'trs', 'jaringan', 'blum', 'stabil', 'dpt', 'rekomendasi', 'indihome', 'harga', 'terjangkau', 'sinyal', 'oke', 'udh', 'dehh', 'nyoba', 'indihome', 'bner', 'zoom', 'kuliah', 'udh', 'sedih']</t>
  </si>
  <si>
    <t>['senangnya', 'pakai', 'aplikasi', 'myindihome', 'suka', 'ingetin', 'tagihan', 'perbulan', 'fitur', 'chat', 'indita', 'suka', 'kasih', 'info', 'info', 'menarik', 'tukar', 'point', 'terimakasih', 'myindihome', 'rekomen', 'banget', 'pokoknya', 'mah', '']</t>
  </si>
  <si>
    <t>['versi', 'terbaru', 'jelek', 'versi', 'simple']</t>
  </si>
  <si>
    <t>['sistem', 'buruk', '']</t>
  </si>
  <si>
    <t>['aplikasi', 'myindihome', 'mempermudah', 'pengguna', 'bingung', 'berlangganan', 'liat', 'riwayat', 'tagihannya', 'liat', 'batas', 'pemakaian', 'complain', 'lgsg', 'aplikasi', 'sukses', 'indihome']</t>
  </si>
  <si>
    <t>['wifi', 'update', 'galaxy', 'store', 'bbrp', 'pdhl', 'inet', 'rb', 'pke', 'drmh', 'sndri', 'bkn', 'bbrp', 'rmh', 'djdiin', 'pke', 'gliran', 'playstore', '']</t>
  </si>
  <si>
    <t>['internetan', 'seru', 'harga', 'istimewa', 'program', 'surprise', 'bulanan', 'lho', 'indihome', 'pastinya', 'kuyy', 'didownload', 'yaaaa', '']</t>
  </si>
  <si>
    <t>['versi', 'terbaru', 'keren', 'aplikasi', 'lemot', 'aplikasi', 'fitur', 'lengkap', 'fitur', 'tagihan', 'mudah', 'tagihan', 'sukses', 'indihome']</t>
  </si>
  <si>
    <t>['seneng', 'banget', 'myindihome', 'jaringan', 'lelet', 'buka', 'internet', 'dirumah', 'lancar', 'aplikasinya', 'membantu', 'ribet', 'login', 'langsung', 'udah', 'fitur', 'fiturnya', 'menarik', 'oke', 'banget', 'pertahankan', '']</t>
  </si>
  <si>
    <t>['over', 'all', 'good', 'semoga', 'indohome', 'maju', 'berinovasi', 'pelayanan', 'terbaik', 'pelanggan', 'setianya', '']</t>
  </si>
  <si>
    <t>['apl', 'indihome', 'mempermudah', 'pembayaran', 'pelayanannya', 'bagus', 'ribet', 'jaringan', 'internetnya', 'bagus', 'terimakasih', '']</t>
  </si>
  <si>
    <t>['mantap', 'banget', 'aplikasinya', 'mudah', 'setting', 'wifi', 'dirumah', 'laporan', 'cepat', 'ditanggapi']</t>
  </si>
  <si>
    <t>['aplikasi', 'mudah', 'digunain', 'wfh', 'pandemi', 'gini', 'aplikasinya', 'lancar', 'recommended', 'banget', 'didownload', '']</t>
  </si>
  <si>
    <t>['terbantu', 'banget', 'aplikasi', 'bingung', 'bayar', 'repot', 'untung', 'bayar', 'aplikasinya', 'bagus', 'banget', 'membantu', '']</t>
  </si>
  <si>
    <t>['aplikasinya', 'okey', 'banget', 'interfacenya', 'menarik', 'fiturnya', 'lengkap', 'cek', 'ketersediaan', 'jaringan', 'wilayah', 'cek', 'paket', 'internet', 'sesuai', 'budget', 'pilihan', 'promonya', 'poinnya', 'ditukar', 'merchant', 'ramah', 'fast', 'respons', 'recommended']</t>
  </si>
  <si>
    <t>['lola', 'lola', 'knp', 'kau', 'membayangi', 'dlm', 'login', 'aplikasi', 'versi', 'ngapain', 'diupdate', 'versi', 'pdhal', 'versi', 'udah', 'nyaman', 'alasan', 'meningakatkn', 'layanan', 'berkualitas', 'sumpah', 'aplikasi', 'ruwet', 'karuan', 'kesel', 'suka', 'kualitas', 'wifi', 'indihome', 'bener', 'benci', 'aplikasinya', 'myindihome', 'tolong', 'aplikasi', 'permanen', 'simple', 'nyaman', 'dipake', 'terima', 'kasih', '']</t>
  </si>
  <si>
    <t>['rekomendasi', 'pakai', 'indihome', 'bayar', 'rumah', 'pakai', 'udah', 'fitur', 'pembayar', 'online', 'ribet', 'mudah', '']</t>
  </si>
  <si>
    <t>['buka', 'aplikasinya']</t>
  </si>
  <si>
    <t>['update', 'login', 'data', 'diperbarui', 'muncul', 'data', 'nomornya', 'kirim', 'kode', 'verifikasi', '']</t>
  </si>
  <si>
    <t>['selamat', 'pagi', 'koneksi', 'kabel', 'lan', 'modem', 'gangguan', 'nonton', 'acara', 'terima', 'kasih', '']</t>
  </si>
  <si>
    <t>['alhamdulillah', 'terbantukan', 'sukses', 'slalu', 'myindihome', '']</t>
  </si>
  <si>
    <t>['update', 'buruk', 'lag', 'liat', 'brp', 'kcepatan', 'dimiliki', 'ditambah', 'dpksa', 'upgrade', 'speed', 'mbps', 'daptnya', 'mbps', 'kaya', 'layanan', 'penipuan']</t>
  </si>
  <si>
    <t>['tolong', 'jaringan', 'ilang', 'mulu', 'hadehhhh', 'bayar', 'doang', 'mahal', '']</t>
  </si>
  <si>
    <t>['ditambah', 'mbps', 'lelet', '']</t>
  </si>
  <si>
    <t>['mantap']</t>
  </si>
  <si>
    <t>['applikasinya', 'lelet', 'orang', 'darah']</t>
  </si>
  <si>
    <t>['jaringan', 'jelek']</t>
  </si>
  <si>
    <t>['buruk']</t>
  </si>
  <si>
    <t>['sidoarjo', 'gaada']</t>
  </si>
  <si>
    <t>['gimana', 'update', 'apk', 'muter', 'muter', 'koneksinya', 'udah', 'laporan', 'apk', 'penanganan', 'lambat', 'ngga', 'kasih', 'solusi', 'bawa', 'stb', 'ngga', 'sinyal', 'samsek', 'stb', 'apk', 'dibenerin', 'ngegganggu', '']</t>
  </si>
  <si>
    <t>['versi', 'launching', 'versi', 'mudah', 'lemot', 'versi', 'lemot', 'bingung', '']</t>
  </si>
  <si>
    <t>['loading', 'menunya', 'lambat']</t>
  </si>
  <si>
    <t>['provider', 'cacat', 'langganan']</t>
  </si>
  <si>
    <t>['buka', 'aplikasi', 'muter', 'muter', 'pakai', 'jaringan', 'telkomsel']</t>
  </si>
  <si>
    <t>['jaringan', 'buruk', 'diperbaiki', 'rusak', 'jaringan', 'provider', 'terburuk', 'indonesia', '']</t>
  </si>
  <si>
    <t>['aplikasi', 'sampah', 'dipake', 'susah', 'banget', 'login', 'susah', 'bayar', 'sampahhhhhh', 'nyulitin', 'konsumen', 'satttt', '']</t>
  </si>
  <si>
    <t>['update', 'jelek', 'aplikasinya', 'verifikasi', 'ulang', 'lihat', 'pemakaian', 'bulanan', 'perangkat', 'tersambung', 'wifi', 'kocak', '']</t>
  </si>
  <si>
    <t>['aplikasi', 'loadingnya', 'banget', 'upgrade']</t>
  </si>
  <si>
    <t>['deleted']</t>
  </si>
  <si>
    <t>['', 'keren', 'lelet', 'gangguan', 'unduh', 'aplikasi']</t>
  </si>
  <si>
    <t>['kembalikan', 'aplikasi', 'myindihome', 'aplikasi', 'terbaru', 'jeleknya', 'lelet', 'lemot', 'letoy', '']</t>
  </si>
  <si>
    <t>['lihat', 'info', 'indihome', 'tampilan', 'info', 'bill', 'speed', 'loading', 'udah', 'clear', 'cache', 'install', 'ulang', 'tetep', 'gitu', 'buka', 'website', 'semenjak', 'tawari', 'speed', 'mbp']</t>
  </si>
  <si>
    <t>['mohon', 'lakukan', 'perbaikan', 'loading', 'aplikasi', 'lambat', 'add', 'bantuan', 'diakses', 'info', 'detail', 'pemakaian', 'akun', 'layanan', 'mengalami', '']</t>
  </si>
  <si>
    <t>['sinyal', 'bagus']</t>
  </si>
  <si>
    <t>['paraaaahhh', 'parah', 'layanannya', '']</t>
  </si>
  <si>
    <t>['', 'login', 'status', 'dlam', 'perbaikan', 'udh', 'berhari', '']</t>
  </si>
  <si>
    <t>['loading', 'sumpah', 'niat', 'apk', 'ngk', 'kesel']</t>
  </si>
  <si>
    <t>['cacat']</t>
  </si>
  <si>
    <t>['aplikasi', 'rating', 'ulasan', 'rating', 'ulasan', 'negatif', 'eeeeehhhh', 'pakai', 'inisiatif', 'kek', 'ringan', 'mudah', 'dimuat', 'halaman', 'aplikasinya', 'fitur', 'memperberat', 'loading', '']</t>
  </si>
  <si>
    <t>['aplikasi', 'bug', 'masak', 'renew', 'disuruh', 'cek', 'ketersediaan', 'paket', 'lokasi', 'login', 'lemot', 'kayak', 'aplikasi', 'pakai', 'data', 'tolong', 'perbaiki']</t>
  </si>
  <si>
    <t>['aplikasi', 'aneh', 'lemoooooooottttt', 'sedunia']</t>
  </si>
  <si>
    <t>['okey', 'banget']</t>
  </si>
  <si>
    <t>['diupdate', 'login', 'gimana', '']</t>
  </si>
  <si>
    <t>['tampilan', 'oke', 'loadingnya', 'lambat', 'info', 'perangkat', 'terhubung', 'berguna', 'semoga', 'update', 'dimunculkan', 'aplikasinya', 'ngelag', '']</t>
  </si>
  <si>
    <t>['coba', 'deh', 'test', 'random', 'user', 'udh', 'aplikasi', 'update', 'bagus', 'jdi', '']</t>
  </si>
  <si>
    <t>['donwload', 'aplikasi', 'pengaduannya', 'respon', 'giliran', 'kite', 'telat', 'bayar', 'sehari', 'putus', 'nunggu', 'seminggu', 'respon', 'wifinya', 'ganguan', 'emang', 'geblek', 'indihome', '']</t>
  </si>
  <si>
    <t>['ngebug', 'dibagian', 'kolom', 'poin', 'asik', 'loading', 'not', 'bad', '']</t>
  </si>
  <si>
    <t>['ngabantu', 'banget', 'kadang', 'sinyalnya', 'ngelag', 'mudah', 'normal', 'hujan', 'angin', '']</t>
  </si>
  <si>
    <t>['puas', 'lemot', 'aplikasinya', 'loading', 'laporan', 'gangguan', 'sinyal', 'penuh', 'kuota', 'fulll', '']</t>
  </si>
  <si>
    <t>['', 'login', 'jaringan', 'gangguan', 'laporan', 'teknisi', 'slow', 'respon', 'tolong', 'bayar']</t>
  </si>
  <si>
    <t>['aplikasinya', 'keren', 'komlplain', 'internet', 'langsung', 'aplikasi']</t>
  </si>
  <si>
    <t>['good', 'lahhhhh']</t>
  </si>
  <si>
    <t>['mannnnnnnnnnttttttttttapppppppp']</t>
  </si>
  <si>
    <t>['loginkrn', 'lupa', 'pass', 'fitu', 'lupa', 'pass', 'login', 'blum', 'stlh', 'coba', 'kali', 'tunggu', 'satujam', 'apaa', 'menyusahkan', 'user', 'tlg', 'kasih', 'taudimana', 'resetpass', 'blm', 'loginnnn']</t>
  </si>
  <si>
    <t>['aplikasinya', 'berat', 'loading', 'blocknya', 'menggangu', 'mending', 'update']</t>
  </si>
  <si>
    <t>['lihat', 'komentar', 'negatif', 'admin', 'indihome', 'diulang', 'ulang', 'perbaikan', 'talk', 'only', 'action', '']</t>
  </si>
  <si>
    <t>['', 'good']</t>
  </si>
  <si>
    <t>['lelet', 'aplikasi', 'point', 'tuker', 'kota', 'palembang', 'eww']</t>
  </si>
  <si>
    <t>['wifi', 'gajls', 'pengguna', 'bagus', 'kek', 'smph']</t>
  </si>
  <si>
    <t>['lola', '']</t>
  </si>
  <si>
    <t>['', 'kesulitan', 'masuk', 'aplikasi']</t>
  </si>
  <si>
    <t>['lag']</t>
  </si>
  <si>
    <t>['', '']</t>
  </si>
  <si>
    <t>['', 'banget', 'jum', 'loooos', 'dol']</t>
  </si>
  <si>
    <t>['mantap', 'baguss']</t>
  </si>
  <si>
    <t>['bisnis', 'warkop', 'smoga', 'kedepanya', 'indihome', 'bagus']</t>
  </si>
  <si>
    <t>['rapi', 'aplikasinya']</t>
  </si>
  <si>
    <t>['', 'lag']</t>
  </si>
  <si>
    <t>['aplikasinya', 'bagus']</t>
  </si>
  <si>
    <t>['bagus', 'tampilannya']</t>
  </si>
  <si>
    <t>['bug', '']</t>
  </si>
  <si>
    <t>['aplikasinya', 'lambat', 'udah', 'bagus', 'semoga', 'peningkatan', '']</t>
  </si>
  <si>
    <t>['tampilan', 'indihome', 'bagus', 'mudah', 'mengerti', 'loadingnya', 'berat']</t>
  </si>
  <si>
    <t>['cepat', 'diperbaiki', 'aplikasinya', 'parah', 'lemot', 'nggak', 'akses', 'menunya', 'menu', 'renew', 'fup', 'nggak']</t>
  </si>
  <si>
    <t>['pengalaman', 'indihome', 'kendala', 'apapun', 'penanganan', 'tekhnisi', 'informasi', 'indihome', 'kendala', 'indihome', 'cepat', 'menanganinya', 'solusi', 'indihome', 'buffering', 'mutu', 'terjamin']</t>
  </si>
  <si>
    <t>['aplikasi', 'aman', 'ringan', 'mudah', 'akses', 'versi']</t>
  </si>
  <si>
    <t>['aplikasi', 'membantu', 'mengecek', 'penggunaan', 'bulanan', '']</t>
  </si>
  <si>
    <t>['update', 'buka', '']</t>
  </si>
  <si>
    <t>['update', 'tampilannya', 'fresh', 'mudah', 'mengaksesnya']</t>
  </si>
  <si>
    <t>['emang', 'debest', 'indihome', 'jaringan', 'super', 'cepat']</t>
  </si>
  <si>
    <t>['nyaman']</t>
  </si>
  <si>
    <t>['mantap', '']</t>
  </si>
  <si>
    <t>['suka', 'tampilan', 'terbaru', 'perangkat', 'terhubung']</t>
  </si>
  <si>
    <t>['heran', 'habis', 'update', 'msa', 'login', 'email', 'nmr', 'telpon', 'terdaftar', 'pasword', 'ganti', 'sandi', 'dkrm', 'kode', 'kode', 'verifikasi', 'mlh', 'nunggu', 'jam', 'heran']</t>
  </si>
  <si>
    <t>['aplikasibya', 'mantabbb', 'mengakomodasi', 'kebutuhan', 'kastamer']</t>
  </si>
  <si>
    <t>['terimakasih', 'indihome', 'membantu', 'pandemi', 'mudah', 'daring', 'kuliah', 'terkadang', 'internet', 'indihome', 'trouble', 'terbantu', 'kualitas', 'internet', 'indihome', 'terimakasih', 'indihome', 'membantu', 'masyarakat', 'indonesia', 'wfh', 'daring', 'dll', 'semoga', 'indihome', 'jaya', 'kualitasnya', 'terjaga', '']</t>
  </si>
  <si>
    <t>['tampilannya', 'bagus', 'lemot', 'bagusan', 'versi', 'bagus', 'mudah', 'tata', 'riwayat', 'pemakaian', 'giga', 'mohon', 'pelayanannya', 'indihome']</t>
  </si>
  <si>
    <t>['indihome', 'the', 'best', 'pokoknya', 'acaranya', 'bagus', 'filmnya', 'signyalnya', 'kenceng', 'wussss', 'wusss', '']</t>
  </si>
  <si>
    <t>['mudah', 'pakai', 'ngga', 'mudah', 'error']</t>
  </si>
  <si>
    <t>['nggak', 'perbaharui', 'aplikasi', 'masuk', 'aplikasinya', 'pelayanan', 'gangguan', 'pelanggan', 'utamakan', 'menunggu', 'berhari', '']</t>
  </si>
  <si>
    <t>['bagus', 'aplikasinya', 'internet', 'cepat', 'bayar', 'bulanan', 'murah', 'the', 'best', 'banget', 'dehh', 'pokoknya']</t>
  </si>
  <si>
    <t>['memudahkan', 'pemanggilan', 'teknisi', 'gangguan', 'isp', 'admin', 'menjadwalkan', 'perbaikan', 'kedatangan', 'teknisi', 'rumah', 'dikonfirmasi', 'overall', 'pelayanan', 'indihome', 'bagus', 'alangkahnya', 'baiknya', 'ditingkat', 'kedepannya', 'bravo', 'indihome', 'cheers', '']</t>
  </si>
  <si>
    <t>['lengkap', 'fup', 'pemakaian', 'kemaren', 'liat', 'terkoneksi', 'wifi', 'bagus', 'skg', 'hilang', 'kembalikan', 'fitur']</t>
  </si>
  <si>
    <t>['mantap', 'youtube', '']</t>
  </si>
  <si>
    <t>['thn', 'langganan', 'indihome', 'pokoknya', 'puas', 'sgt', 'membantu', 'semonga', 'kedepannya', 'ttp', 'berjln', 'lancar', '']</t>
  </si>
  <si>
    <t>['aplikasi', 'friendly', 'user', 'kali', 'coba', 'pengjauan', 'komplain', 'jam', 'petugas', 'rumah', 'terima', 'kasih', 'indihome']</t>
  </si>
  <si>
    <t>['mantab', 'lancar', 'melanglang', 'jagad', 'maya']</t>
  </si>
  <si>
    <t>['berwarna', 'pilihan', 'mantap', 'semoga', 'kedepan', 'indihome']</t>
  </si>
  <si>
    <t>['udh', 'langganan', 'berthun', 'indihome', 'nyesel', 'apknya', 'mempermudah', 'point', 'ditukar', 'langsung', 'call', 'customer', 'servicenya', 'ramah', '']</t>
  </si>
  <si>
    <t>['pelayanan', 'bagus', 'gangguan', 'langsung', 'tanggapi', 'ramah', 'indihome', 'mantap']</t>
  </si>
  <si>
    <t>['aplikasi', 'bagus', 'keren']</t>
  </si>
  <si>
    <t>['apl', 'top', 'markotop', '']</t>
  </si>
  <si>
    <t>['keren', 'mudah', 'dimengerti', 'pastinya', 'indihome', 'terbaik', '']</t>
  </si>
  <si>
    <t>['coba', 'bagus', 'tampilannya', 'simple']</t>
  </si>
  <si>
    <t>['lancar', 'pemakaiannya', '']</t>
  </si>
  <si>
    <t>['aplikasinya', 'jelek', 'lemot', '']</t>
  </si>
  <si>
    <t>['memuaskan', 'info', 'terbaru', 'ribet']</t>
  </si>
  <si>
    <t>['tampilan', 'bagus', 'loading']</t>
  </si>
  <si>
    <t>['lancar', 'kadang', 'error', 'menu', 'pengaduan', 'susah', 'access', 'compare', 'pln', 'mobile', 'pelayanan', 'ditingkatkan']</t>
  </si>
  <si>
    <t>['berat', 'aplikasi', 'barunya']</t>
  </si>
  <si>
    <t>['verry', 'helpfull', 'aplikasi', 'thank', 'youu', 'indohome', '']</t>
  </si>
  <si>
    <t>['membantu', 'pokoknya', 'the', 'best']</t>
  </si>
  <si>
    <t>['baikk']</t>
  </si>
  <si>
    <t>['mudah', 'aplikasinya', 'penawaran', 'didalamnya', 'menarik', 'poin', 'ditukar', 'merchandice', 'menarik', 'kualitas', 'signal', 'bagus', 'suka', 'langganan', 'internet', 'apk', 'pendukungnya', 'terima', 'kasih', 'indihome', '']</t>
  </si>
  <si>
    <t>['sulit', 'dimengerti', 'aplikasinya']</t>
  </si>
  <si>
    <t>['', 'upgrade', 'lelet', 'kyk', 'jaringan', '']</t>
  </si>
  <si>
    <t>['streaming', 'lancar', 'nggak', 'ngelag', 'speednya', 'cepet', 'recomended', '']</t>
  </si>
  <si>
    <t>['kesini', 'sumpah', 'bayaran', 'sinyal', 'suka', 'hilang', 'gini', 'mending', 'behenti', 'berlangan']</t>
  </si>
  <si>
    <t>['internet', 'lancar', 'pemasangan', 'sekarng', 'sukses', 'indihome', '']</t>
  </si>
  <si>
    <t>['aplikasi', 'berguna', 'memudahkan', 'mengakses', 'indihome', 'puas', 'pelayanan', 'indihome', 'memakai', 'indihome', 'tugas', 'tugas', 'online', 'tuntas', '']</t>
  </si>
  <si>
    <t>['alhamdulillah', 'pelayanan', 'lumayan', 'tolong', 'tingkatkan']</t>
  </si>
  <si>
    <t>['memuaskan', '']</t>
  </si>
  <si>
    <t>['', 'bagus']</t>
  </si>
  <si>
    <t>['indihome', 'jaringannya', 'menjangkau', 'daerah', 'rumahku', 'jaringannya', 'oke', 'aplikasinya', 'memudahkan', 'mengecek', 'tagihan', 'pokoknya', 'top', 'banget', 'indihome', '']</t>
  </si>
  <si>
    <t>['mantap', 'terimakasi', 'myindihome', 'respon', 'cepat', 'login', 'apk', 'myindihome', 'thanks', '']</t>
  </si>
  <si>
    <t>['fix', 'stop', 'langganan', 'provider', 'produknya', 'service', 'buruk', 'apk', 'realtime', 'servicenya', 'busuk', 'kerja', 'mengganggu', 'maunya', 'kontribusi', 'perusahaan', 'negara', 'layananya', 'busuk', 'give', 'bye', 'bye']</t>
  </si>
  <si>
    <t>['nice', 'aplication', 'mudah', 'fiturnya', 'oke', 'ribet', 'club']</t>
  </si>
  <si>
    <t>['', 'indihome', 'memiliki', 'layanan', 'digital', 'menyediakan', 'internet', 'rumah', 'telepon', 'rumah', 'interaktif', 'indihome', 'beragam', 'pilihan', 'paket', 'murah', 'banget', 'rugi', 'banget', 'coba', '']</t>
  </si>
  <si>
    <t>['wifi', 'dirumah', 'lemot', 'telphone', 'indihome', 'perbaiki', 'perbaiki', 'semoga', 'cepat', 'bangkrut', 'indihome', 'aminn', '']</t>
  </si>
  <si>
    <t>['aplikasi', 'jelek', 'bintang']</t>
  </si>
  <si>
    <t>['indihome', 'suruh', 'download', 'aplikasi', 'lengkap', 'fiturnya', 'kontak', 'kuota', 'karna', 'gampang', 'cek', 'manapun', 'bentuk', 'aplikasinya', 'makasih', 'myindihome', 'sukses', 'appsnya']</t>
  </si>
  <si>
    <t>['internet', 'jalan']</t>
  </si>
  <si>
    <t>['mohon', 'upgrade', 'lihat', 'brapa', 'pengguna', 'pemakain', 'indihom']</t>
  </si>
  <si>
    <t>['bagusan', 'versi', 'versi', 'bertele', 'tele', 'laporan', 'gangguan', 'sengaja', 'kali', 'komplen', 'trus', 'lodingnya', '']</t>
  </si>
  <si>
    <t>['gaaa', 'bisaaaa', 'dipakeeeeee', 'indihome', 'tersingkirkan']</t>
  </si>
  <si>
    <t>['tampilannya', 'bagus', 'menunyaa', 'loading', 'yaa', 'tolong', 'ditindak', 'lanjuti', 'terimakasih']</t>
  </si>
  <si>
    <t>['aplikasinya', 'bagus', 'banget', 'membantu', 'berlangganan', 'film', 'mudah', 'fiturnya', 'lengkap', 'asik', 'banget']</t>
  </si>
  <si>
    <t>['selagi', 'rumah', 'pikirkan', 'pulsa', 'aplikasi', 'teratasi']</t>
  </si>
  <si>
    <t>['interfacenya', 'simpel', 'memudahkan', 'memahami', 'fitur', 'fitur', 'tersedia', 'user', 'friendly', 'lahh', 'aplikasi', 'ringan', 'lancar', 'dibuka', 'dihp', 'kentang', '']</t>
  </si>
  <si>
    <t>['bagus', 'banget', 'apk', 'cek', 'tagihan', 'indihome', 'jaringannya', 'cepet', 'anti', 'lemot', 'lemot', 'club', 'deh', 'recomended', 'banget', 'deh', 'pokonya']</t>
  </si>
  <si>
    <t>['membantu', 'pembayaran', 'kouta', 'wifinya', 'aplikasi', 'sempurnaaaaaaaaa']</t>
  </si>
  <si>
    <t>['indihome', 'bagus', 'apmmk', 'myindihome', 'dikasih', 'gau', 'promo', 'promo', 'ngecek', 'tagihan', 'keren']</t>
  </si>
  <si>
    <t>['apk', 'bagus', 'bingiitss', 'bingitss', 'bingiittsss', 'gaes', 'yuk', 'download', 'apk', 'dijamin', 'ketagihan', 'apk', 'nyesel', 'deh', '']</t>
  </si>
  <si>
    <t>['keren', 'aplikasi', 'fiturnya', 'membantu', 'banget', 'update', 'promo', 'mudah', 'diakses', '']</t>
  </si>
  <si>
    <t>['indihome', 'terbaik', 'penanganan', 'jaringan', 'cepat', 'pegawainya', 'ramah', 'ramah', 'sukses', 'indihome']</t>
  </si>
  <si>
    <t>['buka', 'aplikasi', 'indihome', 'super', 'lemot', 'dibuka', 'loading', 'internet', 'lelet', 'hub', 'infonya', 'skrg', 'buka', 'aplikasi', 'indihome', 'msh', 'blm']</t>
  </si>
  <si>
    <t>['renew', 'speed', 'rinciannya', 'muncul', 'gimana', '']</t>
  </si>
  <si>
    <t>['bagus', 'fiturnya', 'tampilannya', 'mudah', 'dimengerti', 'membantu', '']</t>
  </si>
  <si>
    <t>['bagus', 'rapih', 'pemangasangan', '']</t>
  </si>
  <si>
    <t>['aplikasi', 'informatif', 'memantau', 'penggunaan', 'kendala', '']</t>
  </si>
  <si>
    <t>['aplikasi', 'berguna', 'berfungsi', 'memenuhi', 'kebutuhan', 'mengontrol', 'status', 'pemakaian', 'layanan', 'riwayat', 'tagihan', 'berlangganan', 'upgrade', 'layanan', 'internet', 'telepon', 'aplikasi', 'myindihome', 'poin', 'ditukarkan', 'pilihan', 'voucher', 'menarik', '']</t>
  </si>
  <si>
    <t>['keren', 'banget', 'aplikasi', 'myindihome', 'langganan', 'catchplay', 'suka', 'nonton', 'xixi', 'semangat', 'meberikan', 'layanan', 'terbaik', 'myindihome']</t>
  </si>
  <si>
    <t>['mudah', 'informastif', '']</t>
  </si>
  <si>
    <t>['pengalaman', 'aplikasi', 'indihome', 'asik', 'menu', 'bagus', 'membantu', 'banget', 'menjalan', 'aktifitas', 'sehari', 'menu', 'lengkap', 'mudah', 'bingung', 'menggunakannya', 'semoga', 'laporan', 'gangguan', 'indihome', 'cepat', 'atasasi', 'haru', 'menunggu', 'jam', 'makasih']</t>
  </si>
  <si>
    <t>['tolong', 'indihome', 'wifi', 'rumah', 'lemot', 'ngegame', 'buk', 'sosmed', 'tolong', 'diperbaiki', '']</t>
  </si>
  <si>
    <t>['banget', 'fitur', 'registrasi', 'lapor', 'gangguan', 'point', 'reward', 'fitur', 'keunggulan', 'myindihome', 'memudahkan', 'pelanggan', 'pengguna', 'indihome', 'emang', 'aplikasi', 'berjuta', 'manfaat', 'banget']</t>
  </si>
  <si>
    <t>['membantu', 'indihome', 'pekerjaan', 'mudah', 'teratur', 'indihome', 'terbaik', 'masyarakat', 'terimakasih', 'indihome', 'semoga', 'kedepan', '']</t>
  </si>
  <si>
    <t>['aplikasi', 'fitur', 'lengkap', 'user', 'friendly', 'memudahkan', 'pembayaran', 'tagihan', 'internet', 'manfaat', 'semoga', 'indihome', 'terbaik', 'usernya', '']</t>
  </si>
  <si>
    <t>['myindihome', 'terhubung', 'layanan', 'indihome', '']</t>
  </si>
  <si>
    <t>['mantap', 'menunya', 'simpel', 'keren', 'lengkap', 'maju', 'indihome', 'lelah', 'berinovasi', '']</t>
  </si>
  <si>
    <t>['sya', 'pelajar', 'wfh', 'sya', 'trbantu', 'dngan', 'aplikasi', 'myindihome', '']</t>
  </si>
  <si>
    <t>['gabisa', 'masuk', 'akun', 'woy', 'udh', 'nelpon', 'tetep', 'gabisa', 'giliran', 'telat', 'bayar', 'suspend', 'internetnya', 'kecewa', 'ama', 'provider', 'internet', 'kenceng', 'bayar', 'mahal', 'provider', 'laen', 'kota', 'gue', 'udh', 'gue', 'ganti', 'dri', 'kli', '']</t>
  </si>
  <si>
    <t>['', 'kyk', 'pro', 'player', 'jaringan', 'makasih', '']</t>
  </si>
  <si>
    <t>['suka', 'tampilan', 'indihomex']</t>
  </si>
  <si>
    <t>['ribet', 'bukanya', 'gampang', 'nyaman']</t>
  </si>
  <si>
    <t>['ngebantu', 'banget', 'pakai', 'indihome', 'dirumah', 'pilihan', 'paket', 'menarik', 'diskon', 'respon', 'chat', 'adminnya', 'cepat', 'kebantu', 'banget', 'ngingetin', 'tagihan', 'makasih', '']</t>
  </si>
  <si>
    <t>['maintenance', 'terussss', 'udah', 'bayar', 'giliran', 'jatuh', 'tempo', 'udah', 'reminding', 'pembayaran']</t>
  </si>
  <si>
    <t>['makasi', 'idihome', 'rincian', 'harga', 'gampang', 'liat', 'liatnya', 'biaya', 'perbulan', 'dll']</t>
  </si>
  <si>
    <t>['mendukung', 'banget']</t>
  </si>
  <si>
    <t>['membantu', '']</t>
  </si>
  <si>
    <t>['fiturnya', 'membingungkan', 'lihat', 'pemakaian', 'nambah', 'kuota', 'kasih', 'bintang']</t>
  </si>
  <si>
    <t>['gmn', 'susah', 'login', 'keterangan', 'mohon', 'maf', 'peningkatan', 'layanan', 'dcb', 'berpa', 'kali', 'slh', 'paswrd', 'dcb', 'srh', 'nunggu', 'jam', 'hadehhh']</t>
  </si>
  <si>
    <t>['pokoknya', 'bagus', 'deh', 'jaringan', 'stabil', '']</t>
  </si>
  <si>
    <t>['bagus', 'cuman', 'tingkat', 'kecepatan', 'aplikasi', 'tingkatkan']</t>
  </si>
  <si>
    <t>['indihome', 'pelayanan', 'memuaskan', 'kendala', 'cepat', 'diprosesnya', 'terima', 'kasih', 'indihome', '']</t>
  </si>
  <si>
    <t>['indihome', 'membantu', 'semenjak', 'anak', 'abak', 'belajar', 'online', 'dirumah', '']</t>
  </si>
  <si>
    <t>['error']</t>
  </si>
  <si>
    <t>['bermanfaat', 'membantu', 'informasi', 'terbaru', 'indihome', 'dab', 'detail', 'penggunaan', 'internet', 'dll', 'pelaporan', 'gangguan', 'mudah', 'responsif']</t>
  </si>
  <si>
    <t>['mantabbb']</t>
  </si>
  <si>
    <t>['upgrade', 'versi', 'terbaru', 'indihome', 'memprihatin', '']</t>
  </si>
  <si>
    <t>['', 'daerah', 'bagus', 'koneksi', '']</t>
  </si>
  <si>
    <t>['bayar', 'jaringan', 'indihome', 'alhamdulillah', 'lalod', 'anak', 'nonton', 'youtube', 'alhamdulillah', 'sdah', 'tdak', 'kebuka', '']</t>
  </si>
  <si>
    <t>['perubahan', 'lemot', 'pelayanan', 'lambat']</t>
  </si>
  <si>
    <t>['versi', 'terbaru', 'pengaduan', 'layanan', 'renew', 'speed', 'tersedia', 'versi', 'versi', 'terbaru', 'bug', 'kadang', 'aplikasi', 'min']</t>
  </si>
  <si>
    <t>['banget', 'auto', 'logout', 'fix', 'pls']</t>
  </si>
  <si>
    <t>['bgoss', 'jaringan']</t>
  </si>
  <si>
    <t>['appnya', 'bagus', 'membantu', 'ngecek', 'butuhkan', '']</t>
  </si>
  <si>
    <t>['membantu', 'pengguna', 'indihome', 'fitur', 'pilihnnya', 'tukar', 'poin', 'goodlah']</t>
  </si>
  <si>
    <t>['aplikasinya', 'lengkap']</t>
  </si>
  <si>
    <t>['aplikasi', 'versi', 'terbaru', 'mudah', 'lengkap', 'isinya', 'langganan', 'beli', 'voucher', 'game']</t>
  </si>
  <si>
    <t>['pantes', 'komplain', 'aplikasi', 'pelanggan', 'melaporkan', 'gangguan', 'internet', 'dirumah', 'aplikasinya', 'gangguan', '']</t>
  </si>
  <si>
    <t>['update', 'apknya', 'meloading', 'trus', 'bnyak', 'gangguan', 'semoga', 'indihome', 'layanannya']</t>
  </si>
  <si>
    <t>['aplikasinya', 'bagus', 'mudah', 'diakses', 'dimana', 'membantu', 'dimasa', 'pandemi', 'serba', 'online', 'pekerjaaan', 'rumah', 'sekolah', 'online', 'maju', 'teru', 'myindihome']</t>
  </si>
  <si>
    <t>['aplikasinya', 'bantu', 'banget', 'fitur', 'fitur', 'riturnya', 'gampang', 'banget']</t>
  </si>
  <si>
    <t>['tampilan', 'versi', 'bagus', 'mantap', 'pokoknya', 'apl', 'membantu']</t>
  </si>
  <si>
    <t>['jaringan', 'lancar', 'jaya', 'lemot', 'internetan', 'cuman', 'ilang', 'timbul', 'hujan', 'tingkatkan', 'jaringan']</t>
  </si>
  <si>
    <t>['aplikasi', 'membantu', 'kaum', 'milenial', 'terupdate', 'promo', 'promo', 'ribet', 'transaksi', '']</t>
  </si>
  <si>
    <t>['bagus', 'update', '']</t>
  </si>
  <si>
    <t>['untung', 'indihome', 'update', 'terbaru', 'promo', 'dll', 'aplikasi', 'bayar', 'kayaknya', 'susah', 'susah', 'kantor', 'terdekatnya', 'goodjob', 'deh']</t>
  </si>
  <si>
    <t>['alhamdulillah', 'download', 'mengecewakan', 'aplikasi', 'bagus', 'fiturnya', 'keren', 'membantu', 'pilihan', 'paket', 'data', 'kedepannya', 'semoga', 'bagus', '']</t>
  </si>
  <si>
    <t>['jaringan', 'lelet', 'bermasalah']</t>
  </si>
  <si>
    <t>['indihome', 'sinyal', 'ngebut', 'streaming', 'drakor', 'takut', 'kuota', 'jebol', 'yuk', 'pke', 'indihome', 'download', 'aplkai', 'myindihome', '']</t>
  </si>
  <si>
    <t>['diperbaharui', 'ngga', 'login']</t>
  </si>
  <si>
    <t>['alhamdulillah', 'terima', 'kasih', 'indihome', 'berkat', 'indihome', 'koneksi', 'internet', 'stabil', 'lancar', 'main', 'game', 'pertahankan', 'kelancaran', '']</t>
  </si>
  <si>
    <t>['bagus', 'sinyalnya', 'kuat', 'terpercaya', 'ayo', 'download', 'ragu', 'rugi', 'mendownload', '']</t>
  </si>
  <si>
    <t>['internet', 'banget', 'trouble', 'gangguan', 'skrng', 'gangguan', '']</t>
  </si>
  <si>
    <t>['bagus', '']</t>
  </si>
  <si>
    <t>['habis', 'update', 'lag', 'parah', 'bagus', 'update', 'cek', 'pemakaian', 'dimana', 'nemu', 'loading']</t>
  </si>
  <si>
    <t>['aplikasi', 'berat', 'loadingnya', 'tampilan', 'bagus', 'liadingnya', 'banget']</t>
  </si>
  <si>
    <t>['update', 'aplikasi', 'nambah', 'berat', 'alias', 'lag', 'mohon', 'perbaiki', 'simple', 'konten', 'gambar', 'ringan', 'mohon', 'pakai', 'bot', 'kesel', 'terima', 'kasih']</t>
  </si>
  <si>
    <t>['apk', 'lemot']</t>
  </si>
  <si>
    <t>['ripuhhh', 'login']</t>
  </si>
  <si>
    <t>['gimana', 'cerita', 'pengaduan', 'aplikasi', 'sangkutan', 'selesai', 'bayar', 'buka', 'konternya', 'gimana', 'pelayanan', 'terbilang', 'kecewa']</t>
  </si>
  <si>
    <t>['aplikasi', 'satus', 'layanan', 'internet', 'terisolislr', 'bayar', 'laporan', 'layanan', 'terisolir', 'trus', 'gunanya', 'app', 'pelanggan', 'komplen', '']</t>
  </si>
  <si>
    <t>['update', 'data', 'sinkron', 'informasi', 'pelanggan', 'paket', 'tagihan', 'nomor', 'indihome', 'sinkron', 'akun', 'diupdate', 'bagus', 'buruk', 'tindakan', 'kah', 'update', 'terbaru', 'kebanyakan', 'ads', 'traffic', 'aplikasinya', '']</t>
  </si>
  <si>
    <t>['habis', 'update', 'ngga', 'login', 'muter', 'muternya', 'lllaammmaaaa', '']</t>
  </si>
  <si>
    <t>['app', 'parah', 'loading', 'sistem', 'jaringan', 'aplikasi', 'bener', 'bobrok', 'verifikasi', 'layanan', 'aktivasi', 'gagal', 'gimana', 'gunain', 'fiturnya', 'server', 'payah', '']</t>
  </si>
  <si>
    <t>['masuk']</t>
  </si>
  <si>
    <t>['masuk', 'bener', 'masukin', 'nomer', 'email', 'tulisan', 'mohon', 'maaf', 'peningkatan', 'layanan', 'tolong', 'perbaiki', 'kaya', 'versi', 'diakses']</t>
  </si>
  <si>
    <t>['', 'update', 'jelek']</t>
  </si>
  <si>
    <t>['kode', 'verifikasi', 'kunjung', 'dikirimmmmm', 'login', 'password', 'mash', 'kode', 'verifikasi', 'kunjung', 'dikirim', '']</t>
  </si>
  <si>
    <t>['duhh', 'berubah', 'update', 'aplikasinya', 'fungsi', 'lapor', 'gangguan', 'ujung', 'ujungnya', 'perintahnya', 'restart', 'modem', 'diajarin', 'udah', 'paham', 'panggil', 'teknisi', 'udah', 'komplain', 'slowwwww', 'respon', 'sekaliiiiiiiiiii', 'rumit', 'mulu', 'kaya', 'interview', 'selesai', 'balikin', 'ajalah', 'aplikasinya', 'modelan', 'ribet', 'praktis', 'fungsiable', 'gaya', 'sok', 'sok', 'modern', 'fungsiable']</t>
  </si>
  <si>
    <t>['', 'apk', 'indihome', 'lemot', 'otak', 'pengembang', 'apk', 'makan', 'gaji', 'buta', '']</t>
  </si>
  <si>
    <t>['lemotnya', '']</t>
  </si>
  <si>
    <t>['update', 'reset', 'fup', 'gimana', 'link', 'bukanya', 'pelanggan', 'susah']</t>
  </si>
  <si>
    <t>['loading', 'ribet', 'pakai', 'versi']</t>
  </si>
  <si>
    <t>['laba', 'telkom', 'mencapai', 'aplikasi', 'mumpuni', 'lemot', 'banget', 'kebiasaan', 'aplikasi', 'bumn', 'gini', 'yuk', 'kalah', 'swasta', '']</t>
  </si>
  <si>
    <t>['masuk', 'akun', 'update', 'update']</t>
  </si>
  <si>
    <t>['aplikasinya', 'lupa', 'pasword', 'daftar', 'tetep', 'perbaiki', 'aplikasinya', 'aplikasi', 'abal', '']</t>
  </si>
  <si>
    <t>['update', 'terbaru', 'fast', 'respon', 'capek', 'bolak', 'instal', 'ulang', 'update', 'profil', 'tingkatkan', 'pelayanan', 'indihome', 'love', 'you', 'much', '']</t>
  </si>
  <si>
    <t>['lemot', 'banget', 'aplikasinya', 'balikin', 'tampilan', 'bagus', 'lemot', 'banget', '']</t>
  </si>
  <si>
    <t>['internet', 'gangguan', 'usee', 'akses', 'teknisi', 'ganti', 'indihome', 'solusi', 'kali', 'gangguan', 'pulsa', 'telpon', 'gimana', 'ngga', 'internet', 'gangguan', 'trusssss', 'payah']</t>
  </si>
  <si>
    <t>['abis', 'update', 'lemot', 'banget', '']</t>
  </si>
  <si>
    <t>['darah', 'kolestrol', 'naek', 'nekat', 'pasang', 'indihome', 'bagus', 'shari', 'rusak', 'seminggu', 'bgtu', 'trus', 'smpe', 'bego', 'hmpir', 'sthn', 'pasang', 'prnh', 'rugi']</t>
  </si>
  <si>
    <t>['waooo', 'keren', 'aplikasi', 'myindihhome', 'terbaru', 'salam', 'sukses', 'semoga', 'slu', 'jaya']</t>
  </si>
  <si>
    <t>['lemot']</t>
  </si>
  <si>
    <t>['versy', 'lelet', 'susah']</t>
  </si>
  <si>
    <t>['perbaiki', 'aplikasi', 'keburu', 'upload', '']</t>
  </si>
  <si>
    <t>['cek', 'pemakaian', 'kuota']</t>
  </si>
  <si>
    <t>['add', 'dikemanain', 'nggak']</t>
  </si>
  <si>
    <t>['update', 'apk', 'terbaru', 'kecewa', 'apkny', 'lola', 'simpel', 'apk', 'masak', 'profile', 'ngk', 'bsa', 'sod', 'sok', 'sokan', 'update', 'bukanya', 'mudah', 'repot', '']</t>
  </si>
  <si>
    <t>['hadehhh', 'hasil', 'update', 'kayak', 'sampah', 'lihat', 'pengguna', 'aktif', 'jaringan', 'wifi', 'indihome', '']</t>
  </si>
  <si>
    <t>['jelek', 'pelayanannnya', 'service']</t>
  </si>
  <si>
    <t>['aplikasi', 'useless']</t>
  </si>
  <si>
    <t>['applikasi', 'layanan']</t>
  </si>
  <si>
    <t>['mahal', 'lemmot', 'pelayanan', 'minus', 'deadline', 'pembayaran', 'eror', 'hadehhh']</t>
  </si>
  <si>
    <t>['aplikasi', 'sangsut', 'update', 'ribet', 'mohon', 'kali', 'pikir', 'update', 'nyusahin', 'pelanggan', 'kerjanya']</t>
  </si>
  <si>
    <t>['aplikasi', 'sampah', 'faedahnya', 'fitur', 'pengaduan', 'layanan', 'restart', 'modem', 'restart', 'kelanjutan', 'pengaduan', 'malu', 'indihome', 'negara', 'kualitas', 'nol', '']</t>
  </si>
  <si>
    <t>['versi', 'terbaru', 'lemot', 'loading', 'nyolot', 'aplikasi']</t>
  </si>
  <si>
    <t>['peningktan', 'layanan', 'mnanya', 'panggil', 'indihome', 'wifi', 'dipakaiii', 'gemes', 'dih']</t>
  </si>
  <si>
    <t>['apdet', 'fersi', 'masuk', 'daftar', 'mending', 'fersi', 'ribet', 'fersi', 'terbarunya', 'kecewa']</t>
  </si>
  <si>
    <t>['gimana', 'ngecek', 'fup', 'pemakaian', 'internet', 'myindihome']</t>
  </si>
  <si>
    <t>['aplikasi', 'membantu', 'terkendala', 'login', 'karna', 'keterangan', 'sandi', 'salah', 'coba', 'reset', 'ulang', 'membantu']</t>
  </si>
  <si>
    <t>['aplikasi', 'menautkan', 'email']</t>
  </si>
  <si>
    <t>['upgrade', 'tampilan', 'lemot', 'dibuka', 'parah']</t>
  </si>
  <si>
    <t>['diupdate', 'lemot']</t>
  </si>
  <si>
    <t>['kacau', 'jwbane', 'jdwalakn', 'trus', 'kpn', 'benerin', 'smtra', 'kene', 'bayar', 'mending', 'ngk', 'ksh', 'jwbna', 'jadwal', 'nunggu', 'smp', 'ora', 'krja', '']</t>
  </si>
  <si>
    <t>['parah', 'aplikasinya', 'harusnyan', 'klw', 'update', 'jdi', 'fitur', 'hilang', 'banyakan', 'iklannya', 'dri', 'pelayanannya']</t>
  </si>
  <si>
    <t>['', 'perbajarui', 'masuk', 'data', 'palid', 'sue']</t>
  </si>
  <si>
    <t>['tmbah', 'lola', 'repot', 'gangguan', 'ribet']</t>
  </si>
  <si>
    <t>['gmana', 'masuk', 'gimana', 'merubah', 'tlp', 'masuk', '']</t>
  </si>
  <si>
    <t>['bagus', 'lancar', 'verifikasi', 'email', 'terkirim']</t>
  </si>
  <si>
    <t>['jaringan', 'lemot', 'aplikasi', 'mobile', 'lemot', 'payah', '']</t>
  </si>
  <si>
    <t>['apaandah', 'beda', 'nomer', 'terdaftar']</t>
  </si>
  <si>
    <t>['harga', 'beda', 'ditawarkan', 'kecewa', '']</t>
  </si>
  <si>
    <t>['jaringan', 'lemot', '']</t>
  </si>
  <si>
    <t>['pemasangan', 'udah', 'mati', 'sebulan', 'eskalasi', 'aplikasi', 'tlp', 'abaikan', 'mati', 'total', 'teknisi', 'bayar', 'tanggalnya', 'aplikasi', 'dipakai', 'laporan', 'solusi', 'tlp', 'kirim', 'nama', 'teknisi', 'gini', 'mah', 'ogah', 'pakek', 'isp', '']</t>
  </si>
  <si>
    <t>['pengaduan', 'karna', 'modem', 'loss', 'gampang', 'sudab', 'bayar', 'tulisannya', 'internet', 'terisolir', 'mohin', 'lunasi', 'pembayaran', 'karna', 'lampu', 'loss', 'nyala', 'modem', 'mohon', 'perbaiki', 'aplikasinya', 'pengguna', 'pengaduan', 'mudah']</t>
  </si>
  <si>
    <t>['indihome', 'membantu', 'pandemi', 'serba', 'daring', 'mudah', 'mengakses', 'internet', 'tugas', 'daring']</t>
  </si>
  <si>
    <t>['aplikasi', 'bagus', 'berguna', 'pribadi', 'indihome', 'dirumah', 'biaya', 'minim', 'internet', 'batas']</t>
  </si>
  <si>
    <t>['bagus', 'apk', 'fitur', 'fitur', 'memudahkan', 'user', 'indihome', 'vouchernya', 'bguss', 'sihh']</t>
  </si>
  <si>
    <t>['jaringanya', 'orang', 'kena', 'struk', 'anjeeng', 'parah', 'banget', 'lelet', '']</t>
  </si>
  <si>
    <t>['update', 'aplikasinya', 'lemot', 'app', 'delevop', 'appnya', 'murahan', 'kbykn', 'dikorupsi', 'anggaran', '']</t>
  </si>
  <si>
    <t>['membantu', 'fiturnya', 'lengkap', 'mudah', 'diakses', 'semoga', 'berkembang', 'kenyamanan', 'ber', 'internet', 'pelanggannya', 'trims']</t>
  </si>
  <si>
    <t>['aplikasinya', 'memudahkan', 'pelanggan', 'tagihan', 'tagihan', 'bulanan', '']</t>
  </si>
  <si>
    <t>['aplikasinya', 'membantu', 'banget', 'pengguna', 'indihome', 'fiturnya', 'lengkap', 'tagihan', 'kit', 'konsultasi', 'aplikasi', 'kendala']</t>
  </si>
  <si>
    <t>['aplikasi', 'bagus', 'dibenahi', 'fitur', 'fiturnya', 'ditambahin', 'bagus', 'trus', 'tampilannya', 'bagus', 'banget', '']</t>
  </si>
  <si>
    <t>['suka', 'apk', 'mudah', 'praktis', 'fitur', 'membantu', 'poin', 'cepat', 'tanggap', '']</t>
  </si>
  <si>
    <t>['aplikasinya', 'gada', 'lupa', 'password', 'prcuma', 'pembaruan']</t>
  </si>
  <si>
    <t>['diupdate', 'lemot', 'dibuka', 'pelayanan', 'uang', 'tagihan', 'toleransi', 'layanan', 'very', 'bad', '']</t>
  </si>
  <si>
    <t>['aplikasi', 'indihome', 'bermanfaat', 'cepat', 'tanggap', 'kemaren', 'kejadian', 'banned', 'game', 'massal', 'pengaduan', 'ganti', 'langsung', 'cepat', 'tanggap', 'ganti', 'gamers', 'main', 'aman', 'nyaman', 'speed', 'thanks', 'indihome']</t>
  </si>
  <si>
    <t>['kirain', 'bug', 'hilang', 'membayar', 'app', 'bayar', 'membayar', 'email', 'sms', 'muncul', 'woi', 'indihome', '']</t>
  </si>
  <si>
    <t>['myindihome', 'berguna', 'keperluan', 'membutuhkan', 'internet', 'fitur', 'fitur', 'aplikasinya', 'membantu', 'tampilan', 'aplikasinya', 'simpel', 'mudah', 'dimengerti', '']</t>
  </si>
  <si>
    <t>['update', 'bukanya', 'bagus', 'burukkk', 'udah', 'kemarin', 'jangn', 'update', 'updte']</t>
  </si>
  <si>
    <t>['keren', 'banget', 'myindihome', 'fitur', 'fitur', 'lengkap', 'banget', 'mantapp']</t>
  </si>
  <si>
    <t>['sdah', 'update', 'aplikasi', 'lola', 'proses', 'verif', 'identitas', 'muter', 'doang', 'lakukan', '']</t>
  </si>
  <si>
    <t>['keren', 'aplikasi', 'memudahkan', 'pengguna', 'indihome', 'fitur', 'fiturnya', 'lengkap', 'cek', 'tagihan', 'komplain', 'jaringan', 'indihome', 'bagus', 'membantu']</t>
  </si>
  <si>
    <t>['bagus', 'udah', 'indihome', 'setahun', 'lancar', 'lancar', 'tampilannya', 'menarik', 'the', 'best', 'deh']</t>
  </si>
  <si>
    <t>['aplikasi', 'myindihome', 'membantu', 'banget', 'ngecek', 'biaya', 'tagihan', 'kualitas', 'jaringannya', 'bagus', 'keren', 'deh']</t>
  </si>
  <si>
    <t>['semoga', 'indihome', 'maju', 'promo', 'meningkatkan', 'kualitas', 'jaringan', 'oghey', 'semoga', 'indihome', 'meningkatkan', 'performanya', '']</t>
  </si>
  <si>
    <t>['aplikasi', 'myindihome', 'membantu', 'banget', 'menawarkan', 'layanan', 'terbaik', 'pelanggannya', 'diupdate', 'gaes', 'dapet', 'pelayanan', 'terbaik', 'terbaru', 'terupgrade', 'myindihome', '']</t>
  </si>
  <si>
    <t>['aplikasi', 'indihome', 'toppp', 'banget', 'memudahkan', 'kendala', 'fitur', 'aplikasi', 'mudah', 'pahami', 'yuk', 'download', 'aplikasi', 'myindihome']</t>
  </si>
  <si>
    <t>['aplikasinya', 'bagus', 'bngt', 'providernya', 'luas', 'jangkauannya', 'yuk', 'download', 'pasang', 'wifi']</t>
  </si>
  <si>
    <t>['bagus', 'aplikasinya', 'bermanfaat', 'bingung', 'nyari', 'info', 'komplen', 'terima', 'kasih']</t>
  </si>
  <si>
    <t>['pakai', 'indihome', 'internetan', 'mudah', 'gampang', 'jaringan', 'lelet']</t>
  </si>
  <si>
    <t>['terbantu', 'banget', 'aplikasi', 'indihome', 'fitur', 'fitur', 'membantu', 'kendala', 'oke', 'banget', '']</t>
  </si>
  <si>
    <t>['aplikasinya', 'membantu', 'mudah', 'berlangganan', 'indihome', 'fiturnya', 'lengkap', 'mudah', 'pahami']</t>
  </si>
  <si>
    <t>['update', 'aplikasinya', 'lemot', 'loading', 'parah']</t>
  </si>
  <si>
    <t>['aplikasi', 'myindihome', 'membantu', 'fitur', 'fitur', 'lengkap', 'mempermudah', 'dlm', 'pembayaran', 'mencek', 'tagihan', 'semoga', 'sukses', 'myindihome', '']</t>
  </si>
  <si>
    <t>['tampilan', 'aplikasi', 'bagus', 'mudah', 'bagus', 'banget', 'manajemen', 'data', 'jaringan', 'berkembang', 'fitur', 'menarik', '']</t>
  </si>
  <si>
    <t>['alhamdulillah', 'indihome', 'pekerjaan', 'mudah', 'akses', 'internet', 'top', 'semoga', 'kedepannya', 'indihome', 'sukses', 'indihome', 'pelayanan', 'masyarakat', '']</t>
  </si>
  <si>
    <t>['tampilan', 'menunya', 'bagus', 'user', 'friendly', 'membuka', 'aplikasi', 'menu', 'menu', 'ram', 'gb', 'loadingnya', 'sekedar', 'masukan', 'pengguna', 'indihome', 'terimakasih', 'mohon', 'maaf', '']</t>
  </si>
  <si>
    <t>['indihome', 'bagus', 'deh', 'internetan', 'sepuasnya', 'khawatir', 'buka', 'sosmed', 'scroll', 'tiktok']</t>
  </si>
  <si>
    <t>['update', 'persulit', 'laporan', 'kerusakan']</t>
  </si>
  <si>
    <t>['aplikasi', 'bagus', 'mudah', 'pemakaiannya', 'jaringan', 'lelet', 'lowdingnya', 'cepat', 'bagus', 'pokoknya']</t>
  </si>
  <si>
    <t>['tools', 'lengkap', 'fitur', 'mumpuni', 'aplikasi', 'mantap', 'banget', 'hubungin', 'kendala', 'dialami', 'user', 'membantu']</t>
  </si>
  <si>
    <t>['komplain', 'aplikasi', 'loading', 'parah', 'ikhlas', 'dikomplain', 'pelanggan']</t>
  </si>
  <si>
    <t>['apk', 'bagus', 'gaess', 'yukk', 'download', 'apk', 'nggk', 'download', 'nyesell', 'lho', 'ayok', 'buruan', 'kawan', 'apk', 'bagus', 'bangettt', 'ketagihan', 'download', 'apk', 'gaes']</t>
  </si>
  <si>
    <t>['lelet', 'sinyal']</t>
  </si>
  <si>
    <t>['aplikasi', 'memudahkan', 'mengatur', 'indihome', 'ttg', 'tagihan', 'dll', '']</t>
  </si>
  <si>
    <t>['fitur', 'lengkap', 'terbantu', 'tagihan', 'bulanan', 'komplain', 'keluhan', 'semoga', 'kedepan', 'indiehome', 'meningkatkan', 'kualitas', '']</t>
  </si>
  <si>
    <t>['semoga', 'indihome', 'berkembang', 'fitur', 'uda', 'lengkap', 'ngebantu', 'banget', 'wfh']</t>
  </si>
  <si>
    <t>['indihome', 'tolong', 'tarif', 'murahkan', 'donk', 'bumn', 'sebelah', 'murah', 'inet', 'tarif', '']</t>
  </si>
  <si>
    <t>['versi', 'berat', 'rumit']</t>
  </si>
  <si>
    <t>['akses', 'data', 'servernya', 'lambat', 'banget', 'pakai', 'jaringan', 'apapun', 'tetep', 'lambat', '']</t>
  </si>
  <si>
    <t>['perusahaan', 'sekelas', 'telkom', 'aplikasi', 'nyaman', 'responsif', 'lambat', 'update', 'data', 'menu', 'administrasi', 'pelanggan', 'susah', 'fahami', 'ditonjolkan', 'iklan', 'paket', 'produk', 'akses', 'wrbsite', 'resmi', 'telkom', 'semoga', 'kedepan', 'pembenahan', 'telkom', '']</t>
  </si>
  <si>
    <t>['aplikasinya', 'membantu', 'aplikasi', 'lengkap', 'keren', 'kuota', 'tersisa', 'ditampilkan', 'trims', 'myindihome']</t>
  </si>
  <si>
    <t>['', 'update', 'lemotttttt']</t>
  </si>
  <si>
    <t>['lemot', 'mohon', 'dibenahi', 'versi']</t>
  </si>
  <si>
    <t>['mahal', 'lemot', 'pindah']</t>
  </si>
  <si>
    <t>['oiyah', 'bahas', 'aplikasi', 'tampilan', 'kualitas', 'aplikasi', 'bagus', 'suka', 'tampilannya', '']</t>
  </si>
  <si>
    <t>['membantu', 'detail', 'indihome', 'mempermudah', 'kendala', 'tinggal', 'complain', 'aplikasi', '']</t>
  </si>
  <si>
    <t>['pelayanan', 'bagus', 'semoga', 'kedepannya', 'bagus']</t>
  </si>
  <si>
    <t>['interface', 'bagus', 'jdi', 'lemot', 'loading', 'content', 'menu', 'trus', 'gabisa', 'renew', 'speed', 'suruh', 'aktifkan', 'paket', 'langganan', '']</t>
  </si>
  <si>
    <t>['fiturnya', 'bagus', 'memudahkan', 'berlangganan', 'tingkat', 'kadang', 'close', 'lelet']</t>
  </si>
  <si>
    <t>['pelayanan', 'peningkatan', 'jaringan', 'cepat', 'mantap', '']</t>
  </si>
  <si>
    <t>['update', 'yaa', 'update', 'gitu', 'min', 'sinkronisasi', 'data', 'masuk', 'mintain', 'kode', 'verifikasi', 'nomor', 'hilang', 'update', 'nomor', 'tlp', 'solusinya', 'gimana', 'min', 'uninstall', 'aplikasi', 'yaa', 'kesel', 'ngliat', 'aplikasi', 'gada', 'manfaatnya', 'user', 'friendly', 'kasih', 'bintangnya', 'yaa', 'kasih', '']</t>
  </si>
  <si>
    <t>['good', 'aplikasi', 'komunikasi', 'buruk', 'indihome', 'kebanyakan', 'robot', 'operator', 'bodoh', 'aplikasi', 'kebanyakan', 'aplikasi', 'ribet', 'aplikasi', 'konfirmasi', 'ulang', 'berulang', 'nyaman', 'mengulang', 'ulang', 'pekerjaan', 'sia', 'sia', 'buang', 'buang', 'praktis', 'bertele', 'tele', 'berujung', 'mengecewakan', '']</t>
  </si>
  <si>
    <t>['enak', 'update', 'ringan', 'mudah', 'pahami', 'update', 'berat', 'aplikasi']</t>
  </si>
  <si>
    <t>['stelah', 'update', 'aplikasi', 'lambat', 'buruk', 'dibanding', 'app', 'nyaman', 'dipakai', 'cek', 'user', 'makai', 'gabisa', 'tolong', 'developer', 'app', 'dibenahi']</t>
  </si>
  <si>
    <t>['senang', 'aplikasi', 'indihome', '']</t>
  </si>
  <si>
    <t>['habis', 'upgrade', 'login']</t>
  </si>
  <si>
    <t>['ngak', 'mengajukan', 'komplain', 'apk', 'terbaru', 'kerusakan', 'sistem', 'wifi', 'ket', 'jaringan', 'los', 'lapor', 'apk', 'tombol', 'pengajuan', 'haduhh', 'mahal', 'mahal', 'pasang', 'tpi', 'layanan']</t>
  </si>
  <si>
    <t>['apaa', 'ujan', 'ujan', 'problem', 'tolong', 'diperbaiki', 'sinyal', 'ujan', 'ngeleg']</t>
  </si>
  <si>
    <t>['update', 'hadehhhh', 'cek', 'riwayat', 'tagihan', 'buka', '']</t>
  </si>
  <si>
    <t>['memudahkan', 'layanannya', 'brp', 'tagihannya', 'menghabiskan', 'brp', 'paket']</t>
  </si>
  <si>
    <t>['bagus', 'banget', '']</t>
  </si>
  <si>
    <t>['tolong', 'gmn', 'yaa', 'stlh', 'diupdate', 'mlh', 'ngecek', 'pengguna', 'kliatan', 'sblm', 'update', 'kolom', 'pengguna', 'wife', 'skrg', 'gkda', 'udh', 'cek', 'gktw', 'dmnnya', 'admin', 'tlg', 'info', 'gmn']</t>
  </si>
  <si>
    <t>['banget', 'gangguan', 'suka', 'fitur', 'pelayanan', 'nyaa', 'bnyk', 'pilihan', 'bnyk', 'recomended', 'semoga', 'kedepannya', 'mkin', 'yaa', 'engga', 'bnyk', 'gangguan', 'amin', 'sukses', 'pokoknya', '']</t>
  </si>
  <si>
    <t>['klw', 'jang', 'rilis', 'appnya', 'app', 'tagihan', 'selebihnya', 'verifikasi', 'email', 'kodenya', 'kirim', '']</t>
  </si>
  <si>
    <t>['gini', 'yak', 'iya', 'gini', '']</t>
  </si>
  <si>
    <t>['bagus', 'pelayanan']</t>
  </si>
  <si>
    <t>['lengkap', 'msh', 'bug']</t>
  </si>
  <si>
    <t>['indihome', 'susah', 'update', 'google', 'play', 'store', 'yaaaaa', 'payahhh']</t>
  </si>
  <si>
    <t>['upgrade', 'susah', 'masuknya', '']</t>
  </si>
  <si>
    <t>['update', 'terbaru', 'app', 'indihome', 'pertahankan', 'kualitas', 'jaringan', 'internet']</t>
  </si>
  <si>
    <t>['bagus', 'membantu']</t>
  </si>
  <si>
    <t>['aplikasi', 'bagus']</t>
  </si>
  <si>
    <t>['internetnya', 'aplikasinya', 'lemot', 'akses', 'aplikasi', 'myindihome', 'gilak', 'duluan', 'aksesnya', 'internetnya', 'mbps', 'nonton', 'youtube', 'mampunya', 'kualitas', 'maaf', 'capek', 'komplen', 'aplikasi', 'hipertensi', 'duluan', 'aksesnya', 'lemot', '']</t>
  </si>
  <si>
    <t>['update', 'jelek', 'bagus', 'dlu', 'lemot', 'kebanyakan', 'promosi']</t>
  </si>
  <si>
    <t>['bermanfaat', 'respon', 'cepat', 'mengatasi', 'cepat', 'makasih', 'indihome', '']</t>
  </si>
  <si>
    <t>['update', 'aplikasi', 'berat', 'logout', 'fitur', 'didalamnya', 'lengkap', 'memudahkan', '']</t>
  </si>
  <si>
    <t>['teman', 'teman', 'upgrade', 'lemot', 'dlm', 'peningkatan', 'pelayanan', 'vitur', 'bingung', 'contoh', 'tukar', 'voint', 'kyk', 'gampang', 'pokoknya', 'upgrade', 'ribet', 'bet', 'trims', 'maaf', '']</t>
  </si>
  <si>
    <t>['lihat', 'penggunaan', 'internet', 'perbulan', '']</t>
  </si>
  <si>
    <t>['aplikasi', 'jelek', 'loadingnya', 'pln', 'telkom', 'aplikasi', 'jelek', 'emosi', 'buka', 'aplikasinya', '']</t>
  </si>
  <si>
    <t>['aplikasi', 'lumayan', 'menbantu', 'mengecek', 'tagihan', 'internet', 'penggunaan', 'data', 'sebulan', 'kekurangannya', 'servernya', 'suka', 'down', '']</t>
  </si>
  <si>
    <t>['tragis', 'internet', 'indonesia', 'negara', 'tetangga', 'memiliki', 'layanan', 'terbaik', 'kestabilan', 'internet', 'wifi', 'behh', 'mengharukan', 'operator', 'wifi', 'lemot', 'stabil', 'responnya', 'teknis', 'blablabla', 'wifi', 'disarankan', 'internet', 'jam', 'stabil', 'mencintai', 'produk', 'negeri', '']</t>
  </si>
  <si>
    <t>['terima', 'kasih', 'indihome', 'bebas', 'internetan', 'sepuasnya', 'dirumah', 'jaringan', 'pokoknya', 'indihome', 'mantap', 'deh', '']</t>
  </si>
  <si>
    <t>['apk', 'eror', 'kadang', 'logout', 'sndiri', 'pembayaran', 'lemot']</t>
  </si>
  <si>
    <t>['pembaharuan', 'log', 'out', 'udah', 'masukan', 'pass', '']</t>
  </si>
  <si>
    <t>['informatif']</t>
  </si>
  <si>
    <t>['memudahkan', 'user', 'informasi', 'lengkap', 'kecepatan', 'stabil', 'cocok', 'pengguna', 'internet', 'murah', 'cepat', 'memperbaiki', 'sistem', 'terimakasih']</t>
  </si>
  <si>
    <t>['aplikasi', 'abis', 'diupdate', 'bener', 'parah', 'udah', 'logout', 'lemot', 'bug', 'adehh', 'gimana', 'kasih', 'bintang', '']</t>
  </si>
  <si>
    <t>['update', 'menu', 'fungsinya']</t>
  </si>
  <si>
    <t>['kerenn']</t>
  </si>
  <si>
    <t>['koneksi', 'stabil', 'minim', 'trouble', 'cuacanya', 'ngabretzzzz', '']</t>
  </si>
  <si>
    <t>['wow', 'seneng', 'banget', 'aplikasi', 'indihome', 'terbaru', 'gampang', 'membantu', 'love', '']</t>
  </si>
  <si>
    <t>['interface', 'nyaman', 'mudah', 'kesulitan', 'login']</t>
  </si>
  <si>
    <t>['mantaaaaplah']</t>
  </si>
  <si>
    <t>['membantu', 'terima', 'kasih']</t>
  </si>
  <si>
    <t>['update', 'bagus', 'perhatikan', 'fokus', 'lupa']</t>
  </si>
  <si>
    <t>['aplikasinya', '']</t>
  </si>
  <si>
    <t>['terbaik', '']</t>
  </si>
  <si>
    <t>['aplikasinya', 'keren', 'lgi', 'update', 'teebaru', 'joss', '']</t>
  </si>
  <si>
    <t>['sinyal', 'jelek', 'suka', 'nge', 'lag', 'lol', 'bayar', 'mahal', 'blok']</t>
  </si>
  <si>
    <t>['pulsa', 'gausah', 'saldo', 'linkaja', '']</t>
  </si>
  <si>
    <t>['saking', 'bagus', 'point', 'berguna', 'njir', 'penukaran', 'point', 'bermanfaat', 'gabisa', 'ditukerin', 'duit', 'vocher', 'tagihan', 'indihome', 'parah']</t>
  </si>
  <si>
    <t>['diupdate', 'loading', 'berat', 'aplikasinya', 'coba', 'enteng']</t>
  </si>
  <si>
    <t>['mudah', 'easy', 'using', 'tampilannya', 'kekinian']</t>
  </si>
  <si>
    <t>['update', 'lumayan', 'terpenting', 'tingkatkan', 'pelayanan', '']</t>
  </si>
  <si>
    <t>['update', 'update', 'data', 'pelanggannya', 'sinkron', 'gue', 'login', 'verifikasi', 'nomor', 'hpnya', 'diupdate', 'nomor', 'hpnya', 'nyusahin', 'pelanggan']</t>
  </si>
  <si>
    <t>['tampilan', 'lebar', 'bar', 'bar', 'polihan', 'riwayat', 'pemakaian', 'kuota', 'detail', 'pembayaran', 'tampilkan']</t>
  </si>
  <si>
    <t>['bagus', 'ngak', 'login', 'ulang', 'aplikasi', 'ngak', 'akun', 'good', 'job', '']</t>
  </si>
  <si>
    <t>['wow', 'tampilan', 'amazing']</t>
  </si>
  <si>
    <t>['kasih', 'dech', 'bintang', 'layak', 'bintang', 'fitur', 'lengkap', 'aplikasi', 'myindihome', 'mantaaapp', 'teruslah', 'berinovasi', 'masyarakat', 'indonesia', 'bangga', '']</t>
  </si>
  <si>
    <t>['update', 'mengecewakan']</t>
  </si>
  <si>
    <t>['bantu', 'cek', 'tagihan', 'paket']</t>
  </si>
  <si>
    <t>['bintang', 'kasih', 'bintang', 'jelek', 'banget', 'aplikasinya', 'update', 'buruk', '']</t>
  </si>
  <si>
    <t>['apdetan', 'sekrg', 'buka', 'lgi', 'sell', 'gagal', 'masuk']</t>
  </si>
  <si>
    <t>['aduh', 'kebuka', 'lihat', 'tagihan', 'pembayaran', 'update', 'terbuka', 'layanannya', 'binggung', 'dech']</t>
  </si>
  <si>
    <t>['aplikainya', 'memudahkan', 'pengguna', 'mengakses', 'aplikasi', 'myindihome', 'respon', 'firtur', 'lancar', 'tolong', 'diperbaiki', 'bug', 'versi', '']</t>
  </si>
  <si>
    <t>['lambat', 'aplikasinya', 'menu', 'menunya', 'lambat', 'tampilnya', 'gagal', 'tampil', 'aduh', 'sabar', 'pakai', 'aplikasi', 'tolong', 'disediakan', 'alternatif', 'wujud', 'website', 'aplikasi', 'android', 'kualitas', '']</t>
  </si>
  <si>
    <t>['update', 'fiturnya', 'apps']</t>
  </si>
  <si>
    <t>['myindihome', 'mudah']</t>
  </si>
  <si>
    <t>['puas', 'pelayanan', 'telkom', 'semoga', 'maju']</t>
  </si>
  <si>
    <t>['', 'coba', 'dlu', '']</t>
  </si>
  <si>
    <t>['masuk', 'salah', 'sandi', 'ganti', 'sandi', 'bermasalah', 'sandi', 'salah', 'tolong', 'aplikasi', 'perbaiki', 'dapet', 'update', 'merugikan', 'pengguna', 'menggangu']</t>
  </si>
  <si>
    <t>['mudah', 'bermanfaat', 'kantor', '']</t>
  </si>
  <si>
    <t>['update', 'cuman', 'dikasih', 'kesempatan', 'login', 'perubahan', 'data', 'developer', 'aplikasinya', 'mutu', '']</t>
  </si>
  <si>
    <t>['update', 'menyusahkan', 'susah', 'login', 'lupa', 'sandi', 'otp', 'pemulihan', 'masukkan', 'ehhhh', 'kadaluarsa', 'gitu', 'trs', 'smpe', 'coba', 'ttp', 'kadaluarsa', 'timer', 'msih', 'sisa', 'menitan', 'payah', 'nihhh', 'ruwet']</t>
  </si>
  <si>
    <t>['telkom', 'point', 'bermanfaat']</t>
  </si>
  <si>
    <t>['lakukan', 'update', 'aplikasi', 'lemot', 'tampilan', 'paket', 'muncul', 'suka', 'aplikasi', 'update', 'lancar', 'mudah', 'pahami']</t>
  </si>
  <si>
    <t>['berlangganan', 'indihom', 'update', 'versi', 'terbaru', 'msk', 'aplikasi', 'myindihom', 'dicoba', 'berulang', 'kali', 'sekian', '']</t>
  </si>
  <si>
    <t>['semoga', 'kedepan', 'myindihome', 'fiturnya']</t>
  </si>
  <si>
    <t>['sengaja', 'kasih', 'bintang', 'indihome', 'baca', 'kali', 'indihome', 'sui', 'raya', 'bhayangkara', 'permai', 'srikandi', 'kalbar', 'tmpt', 'gangguan', 'layanan', 'live', 'uda', 'bayar', 'tolong', 'indihome', 'perbaikanya', 'uda', 'lapor', 'indihome', 'care', 'gangguan', 'tolong', 'perbaikanya']</t>
  </si>
  <si>
    <t>['layanannya', 'memuaskan', 'terimakasih']</t>
  </si>
  <si>
    <t>['aplikasi', 'tambh', 'keren', 'semoga', 'komplain', 'pengaduan', 'layanan']</t>
  </si>
  <si>
    <t>['knp', 'didownload', '']</t>
  </si>
  <si>
    <t>['abis', 'update', 'singkrong', 'email', 'nomor', 'tlf', 'bukanya', 'permudah', 'buruk', 'kasih', 'bintang']</t>
  </si>
  <si>
    <t>['diupdate', 'fitur', 'promo', 'menarik', 'kecepatan', 'internet', 'semoga', 'kedepannya', 'indihome', 'sukses', 'indihome', '']</t>
  </si>
  <si>
    <t>['terbantu', 'penggunaan', 'seharihari']</t>
  </si>
  <si>
    <t>['', 'update', 'tampilannya', 'beda', 'enakan', 'update']</t>
  </si>
  <si>
    <t>['indihome', 'mengakses', 'mudah', 'cepat', 'indihome', 'hati', '']</t>
  </si>
  <si>
    <t>['update', 'fiturnya']</t>
  </si>
  <si>
    <t>['bagus', 'aplikasi', 'myindihome', 'mempermudah', 'bantu', 'orang', 'tua', 'pasang', 'indiehome', 'dirumah', 'mastiin', 'ketersediaan', 'slot', 'jaringan', 'fitur', 'kecii', 'paket', 'promo', 'pengaduan', 'top', 'ceeer', 'deh', 'telkom', 'terima', 'kasih', 'indiehome', '']</t>
  </si>
  <si>
    <t>['seru']</t>
  </si>
  <si>
    <t>['payah', 'aplikasi', 'berat', 'banget', 'info']</t>
  </si>
  <si>
    <t>['apk', 'bagus', 'fitur', 'membantu', 'mantep', 'tingkatkan', '']</t>
  </si>
  <si>
    <t>['terimakasih', 'myindihome', 'kendala', 'tingkatkan', 'sukses', 'slalu']</t>
  </si>
  <si>
    <t>['lambat', 'versi', 'kayanya', 'emg', 'perbaikan']</t>
  </si>
  <si>
    <t>['mantep', 'sihh', 'check', 'data', 'kepake', 'pesna', 'berlangganan', 'aplikasj', 'dahlah', 'mantep', 'iniii']</t>
  </si>
  <si>
    <t>['versi', 'terbaru', 'akusuka', 'akusuka', 'akusuka', 'rinci', 'mudah', 'menggunakannya', 'sukses', 'bwt', 'indihome', 'mantappp', '']</t>
  </si>
  <si>
    <t>['update', 'tampilan', 'fresh', 'mudah', 'masuk', 'aplikasinya', 'loading', 'time', 'rada', 'sinyal', 'internet', 'lancar', 'overall', 'mantap', 'update', 'terbarunya', 'nice']</t>
  </si>
  <si>
    <t>['bagus', 'update', 'indihome', 'fitur', 'fitur', 'mudah', 'riwayat', 'pembayaran', 'semoga', 'sempurna', '']</t>
  </si>
  <si>
    <t>['menu', 'bayar', 'langsung', 'aplikasi', 'indihome', 'apk', 'berat', 'ditambah', 'adm', 'susah']</t>
  </si>
  <si>
    <t>['membantu', 'terima', 'kasih', '']</t>
  </si>
  <si>
    <t>['tampilannya', 'bagus', 'esei', 'versi', 'tata', 'letaknya', 'efisien', '']</t>
  </si>
  <si>
    <t>['alhamdulillah', 'terpasang', 'indihome', 'dirmh', 'anak', 'rajin', 'mencari', 'cari', 'ilmu', 'pengetahuan', 'kreatif', 'berkarya', 'game', 'sekedar', 'selingan', 'jenuh', '']</t>
  </si>
  <si>
    <t>['pembenahan', 'karna', 'msh', 'loading', 'log', 'out', 'dll', 'selebihnya', 'msh', 'normal']</t>
  </si>
  <si>
    <t>['mantappppp']</t>
  </si>
  <si>
    <t>['aplikasinya', 'complete']</t>
  </si>
  <si>
    <t>['menu', 'komplit', 'mudah', 'dipahami']</t>
  </si>
  <si>
    <t>['lumayan', 'modern']</t>
  </si>
  <si>
    <t>['bagus', 'aplikasi', 'bermanfaat', 'pelanggan', '']</t>
  </si>
  <si>
    <t>['indihome', 'cacat', 'maen', 'ngelek', 'ngentt']</t>
  </si>
  <si>
    <t>['aplikasi', 'terbaik', 'mudah', 'simple', 'elegan', 'tukar', 'point', 'gampang', 'simple', 'gampang', 'hadiahnya', 'ngecek', 'tagihan', 'pembayarannya', 'mudah', 'kontrol', 'tingkatkan', 'keren', 'top']</t>
  </si>
  <si>
    <t>['lambat', 'cepat', 'bintang', '']</t>
  </si>
  <si>
    <t>['mantap', 'mempermudah', 'menambah', 'layanan', 'upgrade', 'kecepatan', 'wifi', 'mempermudah', 'tagihan', 'pokoknya', 'best']</t>
  </si>
  <si>
    <t>['oke']</t>
  </si>
  <si>
    <t>['membantu', 'memantau', 'tagihan', 'fup', 'layanan', 'mudah', 'salut']</t>
  </si>
  <si>
    <t>['aplikasi', 'mudah', 'diakses', 'informasi', 'promo', 'chat', 'bantuan', 'aduan', 'membantu', 'memudahkan', 'pelanggan', 'berinteraksi', 'semoga', 'aplikasi', 'membantu', 'member', 'indihome', '']</t>
  </si>
  <si>
    <t>['setau', 'speed', 'udah', 'upgrade', 'mbps', 'app', 'mbps', 'gimanasih', 'lambat', 'ayo', 'tingkatkan', 'kompetitor', 'udah']</t>
  </si>
  <si>
    <t>['aplikasi', 'membatu', 'pengingat', 'tagihan', 'detail', 'rincian', 'pembayaran', 'ditampilkan', 'program', 'promo', 'pelanggan', 'menarik', '']</t>
  </si>
  <si>
    <t>['bintang', 'pokoknya', 'bagus', 'kali', 'ngga', 'dapet', 'hadiahnya', 'ilangin', 'bintangnya', '']</t>
  </si>
  <si>
    <t>['mantap', 'keluhan', 'langsung', 'ditanggapi', '']</t>
  </si>
  <si>
    <t>['update', 'aplikasinya', 'udah', 'lumayan', 'lancar', 'susah', 'laporan', 'langsung', 'tingkatkan', 'layanannya', 'kedepannya', 'semoga', '']</t>
  </si>
  <si>
    <t>['aplikasi', 'membantu']</t>
  </si>
  <si>
    <t>['fitur', 'lengkap', '']</t>
  </si>
  <si>
    <t>['tampilan', 'keren', 'metode', 'login', 'dipermudah']</t>
  </si>
  <si>
    <t>['tampilan', 'terbaru', 'bagus', 'mudah', '']</t>
  </si>
  <si>
    <t>['rumit', 'lemot', 'bukanya', 'masuk', 'susahnya', 'ampun', 'masuk', 'nomor', 'nomor', 'terdaftar', 'eror']</t>
  </si>
  <si>
    <t>['aplikasi', 'terbaru', 'mudah', 'diakses', 'tampilannya', 'rapi', 'transaksi', 'muda', 'didalam', 'gengaman', 'registrasi', 'berlangganan', 'indihome', 'mudah', 'mengatur', 'janji', 'teknisi', 'status', 'progres', 'pemasangan', 'transparan', 'bayar', 'tagihan', 'indihome', 'praktis', 'pilihan', 'metode', 'pembayaran', 'linkaja', 'saldo', 'kartu', 'kredit', 'myindihome', 'mudah', 'rincian', 'tagihan', 'indihome']</t>
  </si>
  <si>
    <t>['bismillah', 'dapet', 'jt']</t>
  </si>
  <si>
    <t>['mantap', 'membaik', 'kedepannya']</t>
  </si>
  <si>
    <t>['good']</t>
  </si>
  <si>
    <t>['bangke', 'diupdate', 'login']</t>
  </si>
  <si>
    <t>['aplikasinya', 'user', 'friendly', 'banget', 'mudah', 'laporan', 'gangguan', 'lapor', 'gangguan', 'selang', 'petugas', 'memperbaiki', 'aplikasi', 'bagus', 'tingkat', 'layanan', 'indihome', 'semoga', 'terima', 'kasih', '']</t>
  </si>
  <si>
    <t>['internetn', 'super', 'cepat', 'engga', 'bermasalah', '']</t>
  </si>
  <si>
    <t>['layanan', 'cepat', 'mksh', '']</t>
  </si>
  <si>
    <t>['jos']</t>
  </si>
  <si>
    <t>['thank', 'you', 'indihome', 'zona', 'nyaman', 'memprioritaskan', 'pelanggan', 'upgrade', 'aplikasi', 'myindihome', 'memperhatikan', 'user', 'interface', 'user', 'experience', '']</t>
  </si>
  <si>
    <t>['aplikasi', 'busuuuuuk', 'login', 'susahnya', 'ampun']</t>
  </si>
  <si>
    <t>['sampe', 'indihome', 'pokonya']</t>
  </si>
  <si>
    <t>['keknya', 'gangguan', 'aplikasi', 'indihome', 'moga', 'cpt', 'pulih', 'akun', 'log', 'out']</t>
  </si>
  <si>
    <t>['ringan', 'drpda', 'ringkatkan', 'min']</t>
  </si>
  <si>
    <t>['aplikasinya', 'berguna', 'update', 'terbaru', 'fiturnya', 'lengkap', '']</t>
  </si>
  <si>
    <t>['baguss']</t>
  </si>
  <si>
    <t>['bagus', 'pilihan', 'menu', '']</t>
  </si>
  <si>
    <t>['aplikasinya', 'bagus', 'kendala', 'perubahan', 'aplikasi', 'aplikasi', 'keluhan', 'aplikasi', 'myindihome', 'tindak', 'lanjuti', 'terima', 'kasih']</t>
  </si>
  <si>
    <t>['aplikasi', 'myindihome', 'terbaru', 'bagus', 'tampilannya', 'mudah', 'diaplikasikan']</t>
  </si>
  <si>
    <t>['terimakasih', 'kasih', 'indihome', 'memudahkan', 'informasi', 'penggunaan', 'internet', 'indihome']</t>
  </si>
  <si>
    <t>['applikasi', 'simpel', 'habis', 'bayar', 'tagihan', 'langsung', 'poin', 'ditukerin', 'voucher', 'belanja', 'happy', 'banget', 'thank', 'you', 'indihome']</t>
  </si>
  <si>
    <t>['update', 'macet', 'aplikasi', 'oppo', 'lag']</t>
  </si>
  <si>
    <t>['updte', 'mlh', 'gni', 'peelllleeerrrrrr']</t>
  </si>
  <si>
    <t>['aplikasinya', 'update', 'lelet', 'parah', 'benahin', 'dlu', 'deh', '']</t>
  </si>
  <si>
    <t>['duhh', 'lemot', '']</t>
  </si>
  <si>
    <t>['aplikasi', 'terbaru', 'lodingnya']</t>
  </si>
  <si>
    <t>['bermanfaat', 'mencari', 'info', 'promo', 'terbaru', 'keep', '']</t>
  </si>
  <si>
    <t>['aplikasi', 'masi', 'perbaikan', 'sistemnya', 'masi', 'lambat', 'loading', 'dibagian', 'profil', 'alamat', 'diperbarui', 'menu', 'bagus', 'klw', 'rincian', 'pembayaran', 'rinci', 'item', 'pembayaran', 'aplikasi', 'terimakasih', 'profil', 'masi', 'disuru', 'update', 'profil', 'alamat', 'diklik', 'verifikasi', 'ktp', 'verifikasi', 'lokasi', 'diklik', 'dimana', 'letak', 'menunya', 'dimana']</t>
  </si>
  <si>
    <t>['assalamu', 'alaikum', 'halo', 'admin', 'tolong', 'perbaiki', 'cepat', 'aplikasinya', 'perbaharui', 'kacau', 'aplikasi', 'login', 'user', 'password', 'input', 'jawabannya', 'masukan', 'password', 'salah', 'tunggu', 'jam', 'ujung', 'ujungnya', 'permintaan', 'maaf', 'perbaikan', 'balas', 'kritik', 'lakukan', 'perubahan', 'nyata', 'aplikasi', 'semoga', 'kedepannya', 'wassalamu', 'alaikum']</t>
  </si>
  <si>
    <t>['aplikasi', 'berguna']</t>
  </si>
  <si>
    <t>['ngebug', 'gan']</t>
  </si>
  <si>
    <t>['aplikasi', 'bagus', 'enak']</t>
  </si>
  <si>
    <t>['bagus', 'lancar', 'min']</t>
  </si>
  <si>
    <t>['pelayanannya', 'bagus', 'lag', 'aplikasinya', 'tarifnya', 'ratakan', 'tarifnya', 'harap', 'indihome', 'kebijakan', 'terima', 'kasih']</t>
  </si>
  <si>
    <t>['aplikasinya', 'mudah', 'tampilan', 'interaktif', 'laporan', 'gangguan', 'pasang', 'upgrade', 'layanan', 'nggak', 'antri', 'plasa', 'telkom', 'indihome', 'gemgaman']</t>
  </si>
  <si>
    <t>['ngelag']</t>
  </si>
  <si>
    <t>['pelayanan', 'bagus', 'puas', 'terimakasih']</t>
  </si>
  <si>
    <t>['inovatif', 'memudahkan', 'memilih', 'layanan', 'berkualitas', 'terbaik', '']</t>
  </si>
  <si>
    <t>['bagus', 'pilihannya', 'gampang']</t>
  </si>
  <si>
    <t>['terima', 'kasih', 'indihome', 'berlangganan', 'indihome', 'pengalaman', 'pelayanan', 'indihome', 'konsumen', 'gangguan', 'indihome', 'pegawai', 'indihome', 'langsung', 'memeriksa', 'indihome', 'terima', 'kasih', 'pelayanan', '']</t>
  </si>
  <si>
    <t>['aplikasi', 'membantu', 'mempermudah', 'konsumen', 'kerjakan', 'aplikasi', 'proses', 'pemasangannya', 'cepat', 'data', 'lengkap', 'tingkatkan', 'jaringannya', 'suksek', 'telkom']</t>
  </si>
  <si>
    <t>['', 'the', 'best', 'service']</t>
  </si>
  <si>
    <t>['perbarui', 'susah', 'masuk', 'loading', 'unistal', 'lgsg']</t>
  </si>
  <si>
    <t>['bug', 'lag']</t>
  </si>
  <si>
    <t>['dapet', 'saldo', 'rb', 'link', 'coba', 'semoga', 'yaa', 'dapet', 'hehehe']</t>
  </si>
  <si>
    <t>['good', 'versi', 'detail', 'informasinya', 'lihat', 'detai', 'fup', 'pakai', 'invoice', 'lengkap', 'penawaran', 'info', 'promo', 'enak', 'baca', 'thanks']</t>
  </si>
  <si>
    <t>['aplikasi', 'bagus', 'membantu', 'pengontrolan', 'pemakaian', 'indihome']</t>
  </si>
  <si>
    <t>['upgrade', 'ngawur', 'aplikasi', 'laporan', 'bagus', 'versi', 'hapus', 'berguna', 'pakai']</t>
  </si>
  <si>
    <t>['berat', '']</t>
  </si>
  <si>
    <t>['gimana', 'habis', 'update', 'suruh', 'login', 'login', 'password', 'salah', 'diulang', 'perbaikan', 'diulang', 'ganti', 'pasword', 'dikirim', 'habis', 'diulang', 'suruh', 'nunggu', 'jam', 'login', '']</t>
  </si>
  <si>
    <t>['kasih', 'bintang', 'skrg', 'aplikasinya', 'akses', '']</t>
  </si>
  <si>
    <t>['pembaharuan', 'busuk', 'gini', 'update', 'kemaren', 'hapus', 'app', 'busuk']</t>
  </si>
  <si>
    <t>['tampilan', 'penyesuaian', 'aplikasi', 'diluncurkan', 'ngelag', 'buka', 'menu', 'menu', 'menunggu', 'parah', 'udah', 'pasang', 'layanan', 'internet', 'ktika', 'renew', 'disitu', 'disuruh', 'langganan', 'paketnya', 'pelanggan']</t>
  </si>
  <si>
    <t>['lemot', 'menggangu']</t>
  </si>
  <si>
    <t>['parah', 'update', 'bener', 'pengembangan', 'parah']</t>
  </si>
  <si>
    <t>['pembaharuan', 'jelek', 'lemot', 'laporan', 'gangguan']</t>
  </si>
  <si>
    <t>['maaf', 'aplikasinya', 'ngga', 'masukin', 'email', 'nomer', 'ngga', 'masuk', 'kemrin', 'kemarin', 'minggu', 'ngga', 'tulisan', 'peningkatan', 'pelayanan', 'gangguan', 'gimna', '']</t>
  </si>
  <si>
    <t>['aplikasi', 'super', 'super', 'super', 'lelet', 'bumn', 'kayak', 'gini', 'hasilnya', '']</t>
  </si>
  <si>
    <t>['aplikasi', 'renew', '']</t>
  </si>
  <si>
    <t>['aplikasi', 'bguss', 'sinyal', 'lelelttt', 'jlekk', 'hlp', 'pke', 'wifi', 'indihome', 'jlekk', 'bngttt', 'lemah', '']</t>
  </si>
  <si>
    <t>['aplikasi', 'indihome', 'memudahkan', 'pengguna', 'indihome', 'pembayaran', 'menikmati', 'fitur', 'lengak', 'tambahan', 'internet', 'cepat', 'semoga', 'indihome', 'kedepannya', '']</t>
  </si>
  <si>
    <t>['slapppp']</t>
  </si>
  <si>
    <t>['jelek', 'aplikasix', '']</t>
  </si>
  <si>
    <t>['update', 'fitur', 'lihat', 'user', 'masuk', 'ansa', 'kembalikan', 'lemot', '']</t>
  </si>
  <si>
    <t>['update', 'aplikasi', 'aplikasi', 'masuk', 'suruh', 'verifikasi', 'nomer', 'hape', 'sayangnya', 'nomer', 'verifikasi', 'cantumkan', 'nomer', 'telponnya', 'wkwkw', 'mohon', 'pencerahnnya', '']</t>
  </si>
  <si>
    <t>['kasi', 'bintang', 'aplikasinya', 'berat', 'jalannya', 'tolong', 'diperbaiki', 'makasih']</t>
  </si>
  <si>
    <t>['suruh', 'itnya', 'fokus', 'kerjain', 'toolnya', 'loading', 'trs', 'jaringan', 'pdhl', 'bagus', 'jngn', 'makan', 'gaji', 'buta']</t>
  </si>
  <si>
    <t>['appnya', 'ribet', 'login', 'kadang', 'dijeda', 'sejam', 'error']</t>
  </si>
  <si>
    <t>['', 'inii', 'lokasi', 'surabaya', 'yaa', '']</t>
  </si>
  <si>
    <t>['jaringan', 'stabil', 'bayar', 'mahal', 'kayak', 'gini', 'payah']</t>
  </si>
  <si>
    <t>['aplikasi', 'update', 'jelek', 'dibayar', 'seminggu', 'tampilannya', 'bayar', 'diisolir', 'bagusan', 'tampilan', 'aplikasi', '']</t>
  </si>
  <si>
    <t>['diupdate', 'login', 'klik', 'lupa', 'sandi', 'dpt', 'token', 'masuk', 'ganti', 'sandi', '']</t>
  </si>
  <si>
    <t>['aplikasi', 'niat', 'dikit', 'laporan', 'berjam', 'jam', 'minggu', 'update', 'aplikasi', 'peningkatan', 'kurnag', 'ajar', '']</t>
  </si>
  <si>
    <t>['lapor', 'gangguan', 'sampe', 'berjam', 'blm', '']</t>
  </si>
  <si>
    <t>['gila', 'aplikasi', 'indihome', 'semejak', 'perbaharui', 'force', 'close', 'masuk', 'lelet', 'ampun', '']</t>
  </si>
  <si>
    <t>['aplikasi', 'indihome', 'memudahkan', 'calon', 'pengguna', 'indihome', 'informasi', 'layanan', 'disediakan', 'indihome', 'lengkap', 'informasi', 'disediakan', 'appsnya', 'mudah', '']</t>
  </si>
  <si>
    <t>['update', 'kacau', 'aplikasi']</t>
  </si>
  <si>
    <t>['', 'mutu', 'masuk', 'susah']</t>
  </si>
  <si>
    <t>['saldo', 'indihome', 'menghilang', 'fitur', 'lapor', 'kerusakan', 'hilang', 'aplikasi', 'indihome']</t>
  </si>
  <si>
    <t>['coba', 'aplikasi', 'simpel', 'aneh', 'aneh', 'buka', 'loading', 'dzikir', 'lapor', 'gangguan', 'istighfar']</t>
  </si>
  <si>
    <t>['update', 'terjelek', 'laporan', 'dmna', 'oiii', 'ribet', 'aplikasinya', 'bumn', 'gini', 'payahhhh']</t>
  </si>
  <si>
    <t>['habis', 'update', 'aplikasi', 'terclose', 'log', 'akun', '']</t>
  </si>
  <si>
    <t>['lemot', 'aplikasi', 'selesai', 'udah', 'luncurkan', 'internet', 'kelas', 'premium', 'tetep', 'lemot', 'apk', '']</t>
  </si>
  <si>
    <t>['loading', 'mulu', 'udah', 'jaringan', 'internet', 'gangguan', 'report', 'apps', 'haduh', '']</t>
  </si>
  <si>
    <t>['aplikasi', 'buruk', '']</t>
  </si>
  <si>
    <t>['habis', 'update', 'nggk', 'diakses', '']</t>
  </si>
  <si>
    <t>['terimakasih', 'apk', 'bagus', '']</t>
  </si>
  <si>
    <t>['error', 'sampah']</t>
  </si>
  <si>
    <t>['apk', 'tdak', 'akses', 'berhari', 'jaringan', 'internetnya', 'lemot', 'mengecewakan']</t>
  </si>
  <si>
    <t>['aplikasi', 'berjalan', 'lambat']</t>
  </si>
  <si>
    <t>['tolong', 'jaringan', 'stabil', 'kadsng', 'sinyal', 'internet', 'bayar', 'mahal', 'pelayanan', 'gini', 'kualiatas', 'sinyal', 'setabil']</t>
  </si>
  <si>
    <t>['wifi', 'main', 'valorant', 'menang', 'telak', 'wifi', 'mati', 'kalah', 'gara', 'gara', 'wifi', 'tolol', 'pasang', 'wifi', 'indihome', 'mending', 'kek', '']</t>
  </si>
  <si>
    <t>['jaringan', 'hilang']</t>
  </si>
  <si>
    <t>['jaringan', 'terputus', 'kerjaan', 'kacau', 'mengakibatkan', 'kerugian', 'seandainya', 'provider', 'ganti', 'sungguh', 'kecewa', '']</t>
  </si>
  <si>
    <t>['indihome', 'tolong', 'perbaikan', 'wilayah', 'mangga', 'setahun', 'jelek', 'trus', 'sinyal', 'internet', 'bayar', 'mah', 'bayar', 'tolong', 'diperbaiki', '']</t>
  </si>
  <si>
    <t>['malu', 'knpa', 'indihome', 'prusahan', 'apk', 'indihome', 'nmbh', 'udah', 'fub', 'mahal', 'internet', 'eror', 'malu', 'knpa', 'nama', 'telkom', 'internet', 'eror', 'mahal', 'bnyk', 'eror', '']</t>
  </si>
  <si>
    <t>['lemot', 'aplikasinya', '']</t>
  </si>
  <si>
    <t>['bayar', 'wifi', 'sinyal', 'lancar', 'lancar', 'udh', 'dibayar', 'lag', 'parah', 'aneh', 'kali', 'watepak', 'menn', '']</t>
  </si>
  <si>
    <t>['', 'tingkat']</t>
  </si>
  <si>
    <t>['aplikasi', 'jelek', 'jaringan', 'lemot', 'fix', 'pindah', 'seminggu', 'jaringan', 'putus', 'putus', 'udah', 'bayar', 'mahal', 'sial', 'kerjaan', 'kacau']</t>
  </si>
  <si>
    <t>['apk', 'stabil', 'login', 'susah', '']</t>
  </si>
  <si>
    <t>['aplikasi', 'enakan', 'versi', 'lemot', 'bet', 'susah', 'ngadu', 'update', 'bede', '']</t>
  </si>
  <si>
    <t>['pasangan', 'indihome', 'menyesal', 'pakai', 'jaringan', 'indihome', 'hak', 'pasang', 'menyesal', 'dilain', 'pakai', 'proveder', 'kali', 'sll', 'komplain', 'alhasil', 'lancar', 'besok', 'intinya', 'cape', 'lancar', 'komplain', 'buang', 'stress', 'lucu', 'thanks', 'indihome', 'terburuk', 'internet', '']</t>
  </si>
  <si>
    <t>['update', 'lemot', 'mending', 'kemarin', 'update', 'tolong', 'tingkatkan', 'kualitas', 'update', 'kulitas', 'menurun', '']</t>
  </si>
  <si>
    <t>['tampilan', 'versi', 'berbeda', 'foto', 'play', 'store', 'tampilannya', 'user', 'friendly', 'kolom', 'device', 'terhubung', 'jaringan', 'internet', 'ditampilkan', 'situ', 'orang', 'perangkat', 'dikenal', 'memakai', 'internet', 'mohon', 'dipertimbangkan', 'min', 'developer', '']</t>
  </si>
  <si>
    <t>['aplikasi', 'cacat', 'min', 'update', 'lemot', 'banget']</t>
  </si>
  <si>
    <t>['update', 'aplikasi', 'lemot', 'aplikasi', 'sederhana', 'cepat']</t>
  </si>
  <si>
    <t>['maaf', 'aplikasi', 'wifi', 'mati', 'mati', 'bayar', 'tolong', 'benerin', 'wifi', '']</t>
  </si>
  <si>
    <t>['diupdate', 'login', 'email', 'tlp', 'sandi', 'koneksi', 'jaringan', 'internet', 'lambat', 'direstart', 'aplikasi', 'login', 'tolong', 'perbaiki', 'aplikasinya', '']</t>
  </si>
  <si>
    <t>['update', 'barusan', 'lemot', 'hadeeeeh', '']</t>
  </si>
  <si>
    <t>['internet', 'lemot', 'provider', 'terlama', 'indonesia', 'internet', 'stabil', 'pakai', 'fup', 'malu', 'planggan', 'provider', 'fup', 'jaringan', 'iconnet', 'pindah', 'aplikasi', 'update', 'bagus', 'sebelom', 'update', 'aplikasi', 'kecepatan', 'mbps', 'tertera', 'update', 'mbps', 'jwbnya', 'mbps', 'loyalty', 'trus', 'knp', 'aplikasi', 'tampil', 'mbps', 'anehh', '']</t>
  </si>
  <si>
    <t>['kualitas', 'bagus', 'memuaskan', 'pengguna', '']</t>
  </si>
  <si>
    <t>['bisnisnya', 'dibidang', 'internet', 'aplikasi', 'lemot', 'banget']</t>
  </si>
  <si>
    <t>['apk', 'membantu', 'pengaduan', 'dri', 'pelanggan', 'respon', 'denda', 'giliran', 'suruh', 'perbaiki', 'jaringan', 'internet', 'respon', '']</t>
  </si>
  <si>
    <t>['aplikasi', 'update', 'kayak', 'taik', 'bumn', 'gaji', 'gampang', 'urusan', 'ribet', 'lemot', 'gunanya', 'orang', 'pintar', 'gampang', 'susah']</t>
  </si>
  <si>
    <t>['perlahan', 'perubahan', 'aplikasinya', 'semoga', 'kedepan']</t>
  </si>
  <si>
    <t>['internet', 'apk', 'lemot', 'tolong', 'ditingkatkan', 'ganti', 'paket', 'ribet', 'telat', 'bayar', 'denda', 'customer', 'ngeluh', 'internet', 'lemot', 'cuman', 'kasih', 'solusi', 'berguna', 'malu', 'donk', 'udah', 'kritik', 'sampe', 'skrg', 'kemajuan', '']</t>
  </si>
  <si>
    <t>['mantapsss']</t>
  </si>
  <si>
    <t>['myindihome', 'bagusan', 'buka', 'udah', 'sandi', 'klik', 'lanjutkan']</t>
  </si>
  <si>
    <t>['update', 'versi', 'terbaru', 'nyaman', 'kembalikan', 'versi', 'menu', 'laporan', 'gangguan', 'aplikasi', 'hilangkan', '']</t>
  </si>
  <si>
    <t>['apk', 'eror', 'org', 'kerja', 'benerin', 'apknya', '']</t>
  </si>
  <si>
    <t>['aplikasi', 'peningkatan', 'layanan', 'logout', 'update', 'wkwkwk', 'lucu']</t>
  </si>
  <si>
    <t>['tingkat', 'kualitas', '']</t>
  </si>
  <si>
    <t>['aplikasi', 'mantap', 'pelayanan', 'ramah', 'cepat', 'respon', 'fleksible', 'semoga', 'sukses']</t>
  </si>
  <si>
    <t>['dipake', 'device', 'rooted', 'amateur', 'sekaleeee', '']</t>
  </si>
  <si>
    <t>['berlangganan', 'sinyal', 'gsm', 'pertamanya', 'lancar', 'bagusan', 'sinyal', 'kartu', 'gsm', 'lucunya', 'lemot', 'gini', 'dpt', 'pesan', 'nambah', 'kecepatan', 'komplain', 'kantor', 'telkom', 'datengin', 'teknisi', 'rumah', 'ttp', 'perubahan', 'bagus', 'ujung', 'ditawarin', 'nambah', 'kecepatan', 'menambah', 'pembayaran', 'hey', 'sengaja', 'diturunkan', 'spy', 'konsumen', 'nambah', 'pembayaran', 'berhenti', 'berlangganan', 'kyk', 'gini', '']</t>
  </si>
  <si>
    <t>['maintenance', 'mulu', 'sekelas', 'bumn', 'masak', 'aplikasi', 'kek', 'gini', 'parah', 'banget']</t>
  </si>
  <si>
    <t>['login', 'gagal', 'masukin', 'password', 'udah', 'bener', 'dibilang', 'password', 'salah', 'wajib', 'diperbaiki', 'kenyamanan', 'pelanggan', '']</t>
  </si>
  <si>
    <t>['lemotttt']</t>
  </si>
  <si>
    <t>['log', 'out', 'belom', 'masuk', 'loading', 'teruuuus', 'keterangan', 'mohon', 'maaf', 'meningkatkan', 'pelayanan', '']</t>
  </si>
  <si>
    <t>['aplikasi', 'lemot', 'jaringan', 'buruk', '']</t>
  </si>
  <si>
    <t>['tolong', 'diperbaiki']</t>
  </si>
  <si>
    <t>['berlangganan', 'susah', 'bener', 'gagal', 'melulu', 'udah', 'alasan', 'odp', 'penuh', 'dll', 'orang', 'berhenti', 'berlangganan', 'ngajuin', 'aplikasi', 'bermasalah', 'nelpon', 'berkali', 'kali', 'buang', 'pulsa', 'deh']</t>
  </si>
  <si>
    <t>['aplikasi', 'udah', 'update', 'status', 'langganan', 'edan', '']</t>
  </si>
  <si>
    <t>['aplikasi', 'pekok', '']</t>
  </si>
  <si>
    <t>['coba', 'masuk', 'taoi', 'anehnya', 'notifikasi', 'dikirim', 'terpakai', 'date', 'aplikasi', 'tpi', 'pakai', 'pengaduan', 'respon', 'dri', 'maaf', 'hancur', 'neeh', 'aplikasi']</t>
  </si>
  <si>
    <t>['semoga', 'app', 'myindihome', 'terupdate', 'mengobati', 'pelanggan', 'perubahan', 'peningakatan', 'membutuhkan', 'internet', 'mengakses', 'butuhkan', 'terimakasih', '']</t>
  </si>
  <si>
    <t>['lemotttttttt', 'stabil']</t>
  </si>
  <si>
    <t>['ngk', 'bermutu', 'updat']</t>
  </si>
  <si>
    <t>['bermafaat', 'aplikasi', 'myindihome', 'semoga', 'kedepan']</t>
  </si>
  <si>
    <t>['loading', '']</t>
  </si>
  <si>
    <t>['aplikasi', 'memudahkan', 'mencari', 'informasi']</t>
  </si>
  <si>
    <t>['aplikasinya', 'lambat', 'reload', 'mulu']</t>
  </si>
  <si>
    <t>['tampilan', 'versi', 'bagus', 'loading', 'menu', 'banget', 'ganti', 'koneksi', 'selular', 'lambat', 'tampilan', 'menu', 'hilang', 'kecepatan', 'jenis', 'paket', 'langganan', 'kuota', 'perangkat', 'terhubung', 'informatif', 'versi', '']</t>
  </si>
  <si>
    <t>['kualitas', 'sinyal', 'signifikan', 'wowww', 'jossss']</t>
  </si>
  <si>
    <t>['app', 'membantu', 'informasi', 'berlangganan', 'paket', 'wifi', 'mudah', 'dipahami', 'good', 'job']</t>
  </si>
  <si>
    <t>['aduhh', 'gmna', 'terupdate', 'aplikasi', 'skali', 'sebulan', 'sya', 'buka', 'aplikasi', 'kah', 'buka', 'spya', 'terupdate', 'otomatis', 'teruss', 'updated', 'skg', 'lemoot', 'bngett', 'knapa', 'poin', 'sya', 'hangus', 'yahh', '']</t>
  </si>
  <si>
    <t>['', 'upgrade', 'lemot', 'login', 'susah', 'pembaharuan', 'versi', 'bagus', 'jeblok', 'mohon', 'diperbaiki', 'ditingkatkan', '']</t>
  </si>
  <si>
    <t>['aplikasi', 'lemot', 'menu', 'bantuan', 'mohon', 'diperbaiki']</t>
  </si>
  <si>
    <t>['update', 'fiturnya', 'thx', 'indihome', '']</t>
  </si>
  <si>
    <t>['laporan', 'susah', 'aplikasi', 'ngga']</t>
  </si>
  <si>
    <t>['memudahkan', 'customer', 'indihome', '']</t>
  </si>
  <si>
    <t>['berat', 'ukuran', 'aplikasi', 'simpel', 'gini', '']</t>
  </si>
  <si>
    <t>['aplikasi', 'update', 'lambat', 'buka', 'gambar', 'aplikasi', 'suka', 'tertutup', 'aplikasinya', 'mohon', 'perbaiki', '']</t>
  </si>
  <si>
    <t>['versi', 'bagus', 'menu', 'fiturnya', 'komplit', 'layanan', 'pengaduan', 'hilang', '']</t>
  </si>
  <si>
    <t>['pelayanan', 'myindihome', 'peningkatan', 'aplikasi', 'semoga', 'menambah', 'informasi', 'terkait', 'internet', 'indihome', 'semoga', 'maju', 'indihome']</t>
  </si>
  <si>
    <t>['diupgrade', 'dibuka', 'log', 'log', 'out', 'tampilannya', 'beda', 'info', 'pemakaian', 'speed', 'wif', 'tersambung', 'dimenu', 'utama']</t>
  </si>
  <si>
    <t>['kagak', '']</t>
  </si>
  <si>
    <t>['pengaduan', 'keluhan', 'mudah', 'aplikasi', 'langsung', 'respon', 'cepat', 'ditangani', 'kendalanya', 'mantap']</t>
  </si>
  <si>
    <t>['fiturnya', 'bagus', 'pemakaian', 'data', 'gampang', 'upgrade', 'speed', 'thanks', 'membantu']</t>
  </si>
  <si>
    <t>['download', 'aplikasi', 'mendingan', 'deh', 'buang', 'kuota', 'masak', 'dri', 'kmren', 'pasang', 'wifi', 'rumah', 'udh', 'bolak', 'aplikasi', 'eror', 'hapus', 'aplikasi', 'kayak', 'gini', 'sumpah', 'anjng']</t>
  </si>
  <si>
    <t>['bagus', 'aplikasi', 'update', 'lemot', 'cek', 'pengguna', 'tersambung', 'wifi', 'tolong', 'perbaiki', 'aplikasi', 'indihome']</t>
  </si>
  <si>
    <t>['indihome', 'the', 'best']</t>
  </si>
  <si>
    <t>['jelek', 'bayar', 'mahal', 'jaringan', 'suka', 'ilang', '']</t>
  </si>
  <si>
    <t>['kemudahan', 'genggaman', 'tangan', 'puas', 'banget', '']</t>
  </si>
  <si>
    <t>['mntap', 'pkek', 'indihome', 'lemot', 'lemot', 'mntap', 'pkokx', 'the', 'best']</t>
  </si>
  <si>
    <t>['tampilan', 'indihome', 'model', 'kha', 'lemot', 'skaliii', 'buka', 'profil', 'terbuka', '']</t>
  </si>
  <si>
    <t>['mantaaaaaab']</t>
  </si>
  <si>
    <t>['jaringannya', 'stabil', 'udah', 'lepas', 'wifi', 'ganti', '']</t>
  </si>
  <si>
    <t>['pelayanan', 'cepat', 'bagus', 'call', 'centre', 'ramah', 'sabar']</t>
  </si>
  <si>
    <t>['bermanfaat', 'fitur', 'nice', '']</t>
  </si>
  <si>
    <t>['udah', 'make', 'review', 'ulang', 'install', '']</t>
  </si>
  <si>
    <t>['sudh', 'pelanggan', 'indihome', 'setahun', 'sangatmembantu', 'pandemi', 'sekrang', 'kerjakan', 'serba', 'rumh', 'online', 'semoga', 'kedepannya', 'sukses', 'lebh', '']</t>
  </si>
  <si>
    <t>['terimakasih']</t>
  </si>
  <si>
    <t>['myindihome', 'praktis', 'cek', 'kuota', 'cek', 'saldo', 'promo', 'disediakan', 'indosat', 'ooredoo']</t>
  </si>
  <si>
    <t>['lumayan', 'mudah', 'dipakai']</t>
  </si>
  <si>
    <t>['aplikasi', 'berjalan', 'add', 'muter', 'tolong', 'percepat', 'telfon', 'komplen', 'kayak', 'sedia', 'komplin', 'normal', 'tunggu', 'nanget']</t>
  </si>
  <si>
    <t>['aplikasi', 'versi', 'terbaru', 'keren', 'menunya', 'lengkap', 'fitur', 'tambahan', 'menu', 'bantuan', 'bingung', 'deh', '']</t>
  </si>
  <si>
    <t>['kcptaaanx', 'mantap']</t>
  </si>
  <si>
    <t>['indihome', 'membantu', 'rmh', 'tmpt', 'usaha', 'smg', 'dpn', 'indihome', 'best', 'the', 'best', 'jaringan', 'fiber', 'optik', 'indonesia', 'smg', 'puas', 'smua', 'pengguna', '']</t>
  </si>
  <si>
    <t>['updatan', 'terbarunya', 'sanagt', 'kerennn', 'fitur', 'jlas', 'tertara', 'sesuai', 'inginn', 'pkoknya', 'indihome', 'sllu', 'tampil', 'maju', 'alahamdulillah', 'sinyalnya', 'sllu', 'lncar']</t>
  </si>
  <si>
    <t>['cakep', 'update', 'aplikasi']</t>
  </si>
  <si>
    <t>['signal', 'oke', 'cepet', 'stabil', 'kalopun', 'tinggal', 'calling', 'pengaduan', 'apps', 'web', 'indihome', 'pelayanan', 'memuaskan', 'hitungan', 'jam', 'permasalahan', 'perbaiki']</t>
  </si>
  <si>
    <t>['mudah', 'mengoperasikan', '']</t>
  </si>
  <si>
    <t>['simple', 'mudah']</t>
  </si>
  <si>
    <t>['nyari', 'paket', 'internet', 'only', 'aplikasi', 'tertulis', 'paket', 'internet', 'biayanya', 'dasar', 'labil', '']</t>
  </si>
  <si>
    <t>['aplikasi', 'berkembang', 'semoga', 'maju', 'indihome', '']</t>
  </si>
  <si>
    <t>['tampilan', 'fresh', 'loading', 'buka', 'menu', '']</t>
  </si>
  <si>
    <t>['lbh', 'modern', 'aplikasinya', 'bagus']</t>
  </si>
  <si>
    <t>['aplikasi', 'terbaru', 'komunikatif', 'user', 'friendly', 'tinggal', 'tingkatkan', 'kecepatan', 'respon', 'aplikasi', 'suka', 'loading', 'fitur', 'aplikasi', '']</t>
  </si>
  <si>
    <t>['update', 'jelasssss', 'ndak', 'gunaaaa', 'nomorku', 'hangus', 'gara', 'update', 'masuk', 'aplikasiiiii', 'gunanya', 'update', 'beban', 'kayagini', '']</t>
  </si>
  <si>
    <t>['aplikasi', 'nggak', 'karu', 'sekelas', 'bumn', 'pelayanan', 'aplikasi', 'kaya', 'gini', '']</t>
  </si>
  <si>
    <t>['membantu', 'penggunaan', 'paket', 'indihome']</t>
  </si>
  <si>
    <t>['bagus', 'informatif']</t>
  </si>
  <si>
    <t>['oke', 'bagus']</t>
  </si>
  <si>
    <t>['penggunaan', 'data', 'berjalan', '']</t>
  </si>
  <si>
    <t>['lemot', 'update', 'aplikasinya', 'kesini', 'buka', 'profil', 'loading', 'mending', 'versi', 'cepat', 'pengguna', 'memakai', 'wifi', 'udah', 'dipindahkan', 'menu', 'diperbanyak', 'iklan', 'lemot', 'aplikasi']</t>
  </si>
  <si>
    <t>['terima', 'kasih', 'indihome', 'semenjak', 'berlangganan', 'indihome', 'urusan', 'anak', 'belajar', 'rumah', 'alhamdullilah', 'lancar', 'sukses', 'slalu', 'indihome']</t>
  </si>
  <si>
    <t>['lemot', 'hapus', 'play', 'store', 'nga', 'aplikasi', '']</t>
  </si>
  <si>
    <t>['lumayan', 'membantu', 'aplikasi', 'semoga', 'lagii']</t>
  </si>
  <si>
    <t>['terkadang', 'suka', 'lambat', 'membuka', 'aplikasi', '']</t>
  </si>
  <si>
    <t>['aplikasi', 'lalod', '']</t>
  </si>
  <si>
    <t>['aplikasi', 'versi', 'terbaru', 'fresh', 'enak', 'memudahkan', 'mencari', 'menu', 'fitur', 'dibutuhkan', 'masukan', 'dirasa', 'mengganggu', 'loading', 'halaman', 'fitur', 'kadang', 'suka', 'lambat', 'harap', 'ditingkatkan', 'terimakasih']</t>
  </si>
  <si>
    <t>['versi', 'tks', '']</t>
  </si>
  <si>
    <t>['mudah', 'membantu', 'membutuhkan', 'informasi']</t>
  </si>
  <si>
    <t>['logout', 'dipaksa', 'login', 'ulang', 'menggangu', 'tolong', 'diperbaiki']</t>
  </si>
  <si>
    <t>['update', 'terbaru', 'data', 'base', 'keren', 'opsi', 'opsi', 'sederhana', 'mudah', 'dimengerti', 'loading', 'dikembangkan', 'karna', 'suka', 'freez', 'loading', 'muncul', 'muncul']</t>
  </si>
  <si>
    <t>['aplikasi', 'sanggat', 'membantu', 'pembayaran', 'mudah', 'kecepatan', 'waifinya', 'mantul', 'mantab', 'trobel', 'rating', 'kasih']</t>
  </si>
  <si>
    <t>['good', 'pelayanan', 'jaringan', 'puas']</t>
  </si>
  <si>
    <t>['min', 'aplikasinya', 'lemot', 'errornya']</t>
  </si>
  <si>
    <t>['tampilan', 'fresh', 'modern']</t>
  </si>
  <si>
    <t>['nyesel', 'update', 'cepet', 'versi', 'payah', 'pengen', 'beli', 'paket', 'lemot', 'ampunnnn']</t>
  </si>
  <si>
    <t>['aplikasi', 'perbaharui', 'lemotnya', 'diluar', 'batas', 'toleransi', 'pelanggan', 'indihome', 'butuh', 'info', 'tagihan', 'hapus', 'aplikasi', 'update', 'pembaharuan', 'menyusahkan', 'pengguna', 'bertambah', 'bagus', '']</t>
  </si>
  <si>
    <t>['tambal', 'lelet', '']</t>
  </si>
  <si>
    <t>['pelayanan', 'buruk', 'teknisi', 'benerin', 'jaringan', 'wifi', 'seharian', 'alasan', 'pemasangan', '']</t>
  </si>
  <si>
    <t>['aplikasi', 'rusak', 'bagus', 'suruh', 'daftar', 'masuk']</t>
  </si>
  <si>
    <t>['mengajukan', 'keluhan', 'aplikasi', 'myindihome', 'opsi', 'restart', 'modem', 'reset', 'modem', 'solusi', 'jaringan', 'koneksi', 'down', 'mengecewakan', '']</t>
  </si>
  <si>
    <t>['indihome', 'sampe', 'keplosok', 'mantap', 'unlimited', 'fup', 'sekeluarga', 'uenak', 'poll']</t>
  </si>
  <si>
    <t>['suka', 'update', 'terbaru', 'simpel', 'menarik']</t>
  </si>
  <si>
    <t>['update', 'susah', 'login', 'ribet', 'password', 'pakai', 'nomor', 'update', 'user', 'susah', '']</t>
  </si>
  <si>
    <t>['update', 'layanan', 'aplikasi', 'menarik', 'mudah', 'transaksi', 'indihome']</t>
  </si>
  <si>
    <t>['update', 'mbps', 'unlimited', 'jaringan', 'lancar', 'stabil', 'thanks', 'indihome']</t>
  </si>
  <si>
    <t>['indihome', 'emang', 'joss', 'aplikasi', 'indihome', 'semoga', 'depannya']</t>
  </si>
  <si>
    <t>['lancar', 'internet', 'indihome', 'rumah', 'aplikasinya', '']</t>
  </si>
  <si>
    <t>['lapor', 'internet', 'lambat', '']</t>
  </si>
  <si>
    <t>['cool', 'app', 'well', 'done', 'telkom', 'and', 'indihome', 'excellent', 'services']</t>
  </si>
  <si>
    <t>['eror', 'gapapa', 'min', 'semangat']</t>
  </si>
  <si>
    <t>['mending', 'update', 'lemot', 'banget', 'aplikasinya', 'sempurna', 'luncurkan', 'boz']</t>
  </si>
  <si>
    <t>['lapor', 'gangguan', 'via', 'aplikasi', 'mudah', 'teknisinya', 'cepet', 'datengnya']</t>
  </si>
  <si>
    <t>['tampilan', 'aplikasi', 'sgt', 'fresh', 'kekinian']</t>
  </si>
  <si>
    <t>['useful', 'banget', 'aplikasi', 'myindihome', 'bayar', 'tagihan']</t>
  </si>
  <si>
    <t>['puas', 'indihome', 'pelayanannya', 'bintang', '']</t>
  </si>
  <si>
    <t>['kemudahan', 'mengelola', 'layanan', 'indihome', 'aplikasi']</t>
  </si>
  <si>
    <t>['aplikasi', 'kekinian', 'mengadopsi', 'lifestye', 'orang', 'indo', 'top', 'deh']</t>
  </si>
  <si>
    <t>['aplikasi', 'terbaru', 'nyaman', 'mudah']</t>
  </si>
  <si>
    <t>['woi', 'aplikasinya', 'jelek', 'simpel', 'lelet', 'fiturnya', 'dibuka', '']</t>
  </si>
  <si>
    <t>['aplikasinya', 'bagus', 'bermanfaat', 'lemot', '']</t>
  </si>
  <si>
    <t>['bagus', 'aplikasi', 'ayo', 'kecewa', 'pelanggan']</t>
  </si>
  <si>
    <t>['paraaah', 'kesini', 'kecewa', 'indihome', 'pengaduan', 'aplikasi', 'login', 'tertulis', 'peningkatan', 'layanan', 'ngadu', 'teknisi', 'nggk', 'tanggapan', 'kompetitor', 'banyaak', 'lhooo', 'penawaran', 'menarik', 'kemudahan', 'sekelas', 'indihome', 'lho', 'ayo', 'donk', 'setia', 'bertahun', 'bertahan', 'mesti', 'berpindah', 'haluan', '']</t>
  </si>
  <si>
    <t>['diperbarui', 'knp', 'sulit', 'cek', 'perangkat', 'terhubung', 'kuota', 'mohon', 'diperbaiki', '']</t>
  </si>
  <si>
    <t>['masuk', 'myindihome', 'susahnya', 'ampun']</t>
  </si>
  <si>
    <t>['puas', 'aplikasi', 'pokok', 'the', 'best', 'deh', 'indihome', '']</t>
  </si>
  <si>
    <t>['smga', 'stlh', 'update', 'fitur', 'bgs', 'lbh', 'permudah', 'dlm', 'menakses', '']</t>
  </si>
  <si>
    <t>['good', 'lengkap', 'menunya']</t>
  </si>
  <si>
    <t>['berlangganan', 'indiehome', 'bernama', 'speedy', 'momen', 'proses', 'lewati', 'jaringan', 'indiehome', 'harapan', 'semoga', 'indiehome', 'depannya', 'menawarkan', 'paket', 'hemat', 'jaringan', 'tingkatkan', 'kualitas', '']</t>
  </si>
  <si>
    <t>['maaf', 'pengaduan', 'tanggal', 'kunjungan', 'sabtu', 'tgl', 'nop', 'gangguan', 'langsung', 'cepat', 'diproses', 'selasa', 'tgl', 'nop', 'gangguan', 'ditanggal', 'pengaduan', 'jadwal', 'teknisi', 'tgl', 'nop', 'desember', 'tah', 'perbaikan', 'gangguannya', 'tolong', 'bahan', 'pertimbangan', 'makasih']</t>
  </si>
  <si>
    <t>['download', 'history', 'tagihan', 'pembayaran']</t>
  </si>
  <si>
    <t>['aplikasi', 'lengkap', 'menu', 'dalamnya', 'keren', '']</t>
  </si>
  <si>
    <t>['keren', 'fungsinya', 'membantu', 'user', 'friendly']</t>
  </si>
  <si>
    <t>['aplikasi', 'lamban', 'error']</t>
  </si>
  <si>
    <t>['apk', 'gagal', 'login', 'melulu']</t>
  </si>
  <si>
    <t>['tampilan', 'simple', 'elegan', '']</t>
  </si>
  <si>
    <t>['tingkatkan']</t>
  </si>
  <si>
    <t>['parah', 'update', 'lemot', 'suruh', 'login', 'masuk', 'masuk', '']</t>
  </si>
  <si>
    <t>['terimakasih', 'indihome', 'memudahkan', 'fitur', 'fitur', 'salah', 'satunya', 'robot', 'membantu', 'mengisi', 'form', 'pendaftaran', 'fitur', 'berlangganan', 'opsi', 'pilih', 'sesuai', 'paket', 'fitur', 'catchplay', 'pilihan', 'hiburan', 'tambahan', 'penggila', 'game', 'voucher', 'memudahkan', 'pengguna', 'indihome', 'keseriuan', '']</t>
  </si>
  <si>
    <t>['upgrade', 'akun', 'log', 'out', 'log', 'nomor', 'handphone', 'didaftarkan', 'aplikasi', 'berubah', 'dipenghujung', 'nomor', 'kelebihan', 'angka', 'laporan', 'perubahan', 'mohon', 'diperbaiki', 'butuh', 'aplikasinya', '']</t>
  </si>
  <si>
    <t>['lemot', 'lemot', 'dilapor', 'langsung', 'tanggapi', 'mantappp', '']</t>
  </si>
  <si>
    <t>['perasaan', 'laporan', 'gangguan', 'serumit', 'deh', 'semenjak', 'diperbaharui', 'bagus', 'lemot', 'konesi', 'los', 'laporan', 'muncul', 'mohon', 'maaf', 'meningkatkan', 'pelayana', 'update', 'play', 'store', '']</t>
  </si>
  <si>
    <t>['jelek', 'kualitas', 'internet', 'lemot', 'parah', 'trus', 'komentar', 'hapus', 'cie', 'hapus', 'mulu', 'komentar', 'wkkwkw', 'knp', 'takut', '']</t>
  </si>
  <si>
    <t>['indihome', 'lemot', 'bngt', 'udh', 'bnyk', 'pelanggan', 'mlah', 'nge', 'lag', 'bkn', 'tingkatkan', 'bodoh', 'indihome', 'allah', 'bngt', 'indihome', 'lelet', 'bkn', 'kesal', 'berguna', 'bngt']</t>
  </si>
  <si>
    <t>['pagi', 'wifi', 'indihome', 'mengakses', 'internet', 'proses', 'daring', 'anak', 'sekolah', 'terganggu']</t>
  </si>
  <si>
    <t>['lemot', 'lelet', '']</t>
  </si>
  <si>
    <t>['iki', 'developer', 'aplikasinya', 'coding', 'kagak', 'lemotnya', 'ampun', 'error', 'mulu', 'update', 'update', 'uji', 'coba', 'internal', 'publik']</t>
  </si>
  <si>
    <t>['yok', 'serang', 'yok', 'internet', 'lambat', 'lambat', 'lambat']</t>
  </si>
  <si>
    <t>['layanan', 'bangkai', 'udh', 'minggu', 'internet', 'jalan', 'giliran', 'bayar', 'telat', 'lgsung', 'isolir', 'komplain', 'wes', 'ganti', 'nank', 'mnc', 'murah', 'layanan', 'promo', 'iki', 'kenyataan', '']</t>
  </si>
  <si>
    <t>['aplikasi', 'lambat', 'lemot', 'koneksi', 'cepat', '']</t>
  </si>
  <si>
    <t>['aplikasi', 'wahid', '']</t>
  </si>
  <si>
    <t>['kemana', 'fitur', 'pengaduan', 'layanannya', 'hbis', 'update', 'hilang', '']</t>
  </si>
  <si>
    <t>['terima', 'kasih', 'mudah', 'pengecekan', '']</t>
  </si>
  <si>
    <t>['aplikasi', 'bagus', 'mudah', 'aplikasi', 'terkadang', 'klik', 'butuh', 'membuka', 'klik']</t>
  </si>
  <si>
    <t>['cuih']</t>
  </si>
  <si>
    <t>['aplikasi', 'lancar']</t>
  </si>
  <si>
    <t>['signalnya', 'suka', 'hilang', '']</t>
  </si>
  <si>
    <t>['lemot', 'sekaliii']</t>
  </si>
  <si>
    <t>['kebanyakan', 'gangguan', 'sehari', 'kali', 'ngeganggu', 'bnget', 'kerjaan', 'gua', 'gini', 'mending', 'gua', 'pindah']</t>
  </si>
  <si>
    <t>['aplikasi', 'lemot', 'beli', 'paket', 'gagal', 'aplikasi']</t>
  </si>
  <si>
    <t>['tpilan', 'menarik', 'update', 'profil', 'gagal', 'mohon', 'tindak', 'lanjutin', 'aplkasi', 'diminati', 'trimakasih']</t>
  </si>
  <si>
    <t>['lumayan', 'kadang', 'lelet', '']</t>
  </si>
  <si>
    <t>['aplikasi', 'bagus', 'rekomendasi', 'aplikasi', 'update', 'lag', 'loading', 'sarannya', 'vocer', 'game', 'mobile', 'legends', 'pubg', 'aov', 'dll', 'mobile', 'legends', 'nggak', 'main', 'indonesia']</t>
  </si>
  <si>
    <t>['terbaik']</t>
  </si>
  <si>
    <t>['bermanfaat', 'terima', 'kasih', 'indihome']</t>
  </si>
  <si>
    <t>['aplikasi', 'versi', 'terbaru', 'mudah', 'akses', 'petunjuk', '']</t>
  </si>
  <si>
    <t>['sinyal', 'indihom', 'jelek', 'apk', 'jelek', 'kali', 'waterpam', 'men']</t>
  </si>
  <si>
    <t>['update', 'aplikasi', 'lemot', 'memasukan', 'nomer', 'layanan', 'indihomenya', 'susah', 'tolong', 'perbaiki', '']</t>
  </si>
  <si>
    <t>['aplikasinya', 'bagus', 'kendala', 'wifi', 'cepat', 'ditangani', 'indihome', 'terimakasih', '']</t>
  </si>
  <si>
    <t>['update', 'update', 'masak', 'iya', 'sinkron', 'data', 'data', 'kepelanggan', 'data', 'datanya', 'suruh', 'daftar', 'masuk', 'coba', 'database', 'jual', 'mitra', 'gitu', 'bintang', 'mines', 'gue', 'mines', 'aplikasi', '']</t>
  </si>
  <si>
    <t>['parah', 'diupdate', 'tpi', 'masuk', 'aplikasi', 'update', 'mempermudah', 'tpi', 'mempersulit', 'parah']</t>
  </si>
  <si>
    <t>['membantu']</t>
  </si>
  <si>
    <t>['laporan', 'lbh', 'cepat']</t>
  </si>
  <si>
    <t>['serius', 'updatenya', 'login']</t>
  </si>
  <si>
    <t>['perbaiki', '']</t>
  </si>
  <si>
    <t>['gila', 'jelek', 'banget', 'aplikasinya', 'update', 'parah']</t>
  </si>
  <si>
    <t>['komplain', 'internet', 'tersambung', 'direspon', 'dichat', 'suruh', 'restart', 'modem', 'cabut', 'kabel', 'blkg', 'modeam', 'tersambung']</t>
  </si>
  <si>
    <t>['nyaman', 'simpel', 'berguna']</t>
  </si>
  <si>
    <t>['habis', 'update', 'jelek', 'bingung']</t>
  </si>
  <si>
    <t>['uda', 'update', 'mending', 'downgrade', 'versi', 'dech', 'kecewa', 'kali', 'uda', 'pakai', 'indihome', 'mkin', 'ancur', 'update', 'versi', 'fitur', 'renew', 'speed', 'hilang', 'aplikasi', 'tolong', 'aplikasi', 'blum', 'test', 'rilis', 'cuman', 'mohon', 'maaf', 'ketidak', 'nyamannya', 'isp', 'daerah', 'putus', 'jaringan', 'mengecewakan', 'perhitungan', 'system', 'fup', '']</t>
  </si>
  <si>
    <t>['seneng', 'indihome', 'semoga', 'maju', 'provider', 'terbaik', 'indonesia', 'aamiin']</t>
  </si>
  <si>
    <t>['update', 'logout', 'login', '']</t>
  </si>
  <si>
    <t>['login', 'nomer', 'sata', 'daftarkan', 'aktif', 'tolong', 'tambahkan', 'metode', 'verifikasi', 'login', 'email', '']</t>
  </si>
  <si>
    <t>['tolong', 'diperbaiki', 'aplikasinya', 'lag', 'parah', 'plislah']</t>
  </si>
  <si>
    <t>['parah', 'aplikasi', 'tampilan', 'nyesel', 'update']</t>
  </si>
  <si>
    <t>['login', 'salah', 'pass', 'cma', 'aplikasi', 'update', 'trus', 'sinyal', 'turun', 'gmn', 'kalah', 'kompetitor']</t>
  </si>
  <si>
    <t>['indihome', 'gangguan']</t>
  </si>
  <si>
    <t>['nge', 'lag', 'mulu', 'hujan', 'hujan', 'jadiin', 'alesan', 'lag', '']</t>
  </si>
  <si>
    <t>['mantap', 'udah', 'login', 'perbaiki', 'berat']</t>
  </si>
  <si>
    <t>['mengecek', 'pembayaran', 'indihome', 'mengulang', 'pasword', 'berkali', 'kali', 'masuk', 'lupa', 'pembayaran', 'selesai', 'indihome', 'takutnya', 'lupa', 'bayar', 'check', 'wkt', 'bayar', 'terimakasih']</t>
  </si>
  <si>
    <t>['haduhhh', 'aplikasi', 'perbarui', 'jdi', 'ribet', 'liat', 'simpel', 'ajh', 'jng', 'orang', 'jdi', 'keder', 'sod', 'ajh', 'muncul', 'daftar', 'paket', 'ancurrrrrrrr']</t>
  </si>
  <si>
    <t>['tagihan', 'mohon', 'penjelasan']</t>
  </si>
  <si>
    <t>['menu', 'paket', 'iri', 'pelanggan', 'persamaan', 'harga', '']</t>
  </si>
  <si>
    <t>['lancar', 'rubah', 'bintang', 'lemot', 'pakai', 'banget', 'mahal', 'gandeng', 'internet', 'boros']</t>
  </si>
  <si>
    <t>['lemot', 'banget', 'verifikasi', 'nga', 'masuk', 'code', 'email', 'masuk', 'aplikasi', 'muter', 'wifi', 'spt', 'mohon', 'diperbaiki', 'update', 'aplikasi', 'gimana', 'maju', 'loadingnya']</t>
  </si>
  <si>
    <t>['aplikasi', 'buruk', 'ngadatttt', 'cuman', 'aplikasi', 'pelayanan', 'sinyal', 'burukkk', 'down', 'grade', 'ribet', 'banged', 'tlp', 'berkali', 'udah', 'biaya', 'pulsa', 'indihome', 'tutup', 'kasik', 'layanan', 'kayak', 'iklannya', 'kasik', 'produk', 'bohong', 'mahal', 'produk', 'bobrok', 'langganan', 'enak', 'indihome', 'saking', 'provider', 'masuk', 'arwa', 'rumah', 'kabelnya', 'mending', 'pindah', 'recomended']</t>
  </si>
  <si>
    <t>['lumayan', 'praktis', 'mudah', '']</t>
  </si>
  <si>
    <t>['launching', 'user', 'testing', 'sekelas', 'telkom', 'indiehome', '']</t>
  </si>
  <si>
    <t>['indihome', 'parah', 'lemot', 'aplikasi', 'logout', 'masuk', 'sandi', 'salah', 'bener', 'ribet', 'banget', 'skrg']</t>
  </si>
  <si>
    <t>['kecewa', 'update', 'barunya', 'disuruh', 'login', 'ulang', 'salah', 'sandi', 'disuruh', 'nunggu', 'jam', 'ribet']</t>
  </si>
  <si>
    <t>['mantap', 'indihome', 'indihome', 'kota', 'kerjaan', 'membutuh', 'akses', 'internet', 'indihome', 'mejadi', 'pilihan', 'terbaik', 'membantu', 'trima', 'kasih', 'indihome', '']</t>
  </si>
  <si>
    <t>['sinyal', 'kaya', 'babi']</t>
  </si>
  <si>
    <t>['bagus']</t>
  </si>
  <si>
    <t>['alhamdulillah', 'bagus', 'terima', 'kasih']</t>
  </si>
  <si>
    <t>['terima', 'kasih', 'indihome', 'indihome', 'terbaik']</t>
  </si>
  <si>
    <t>['lemot', 'bug', 'lapor', 'gangguan', 'eror', 'uda', 'benerin', 'kecewa', '']</t>
  </si>
  <si>
    <t>['paket', 'susah', 'gmna']</t>
  </si>
  <si>
    <t>['aplikasi', 'masuk', 'skrg', 'internetnya', 'dipake', 'tagihan', 'udh', 'dibayar', 'gmna', 'nie', 'tanggungjawabnya', '']</t>
  </si>
  <si>
    <t>['download', 'myindihome', 'info', 'ttg', 'indihome', 'indira', 'sbg', 'dpt', 'poin', 'kali', 'pembayaran', 'bulannya', 'mempermudah', 'myindihome', 'terbaru', 'lelet', '']</t>
  </si>
  <si>
    <t>['paket', 'mbps', 'harga', 'mahal']</t>
  </si>
  <si>
    <t>['bermanfaat', '']</t>
  </si>
  <si>
    <t>['aplikasi', 'buatan', 'anak', 'anak', 'pkl']</t>
  </si>
  <si>
    <t>['apk', 'lancar', 'knp', 'apk', 'muncul', 'android', 'uninstall', 'download', 'ulang', 'daftar', 'pengguna', 'email', 'nomor', 'ttp', 'login']</t>
  </si>
  <si>
    <t>['konten', 'berbagi', 'solusi']</t>
  </si>
  <si>
    <t>['bug', 'update', 'mohon', 'diperbaiki', 'terimakasih', '']</t>
  </si>
  <si>
    <t>['myindihome', 'versi', 'terbaru', 'fitur', 'terhubung', 'jaringan', 'wifi', 'karna', 'versi', 'fitur', '']</t>
  </si>
  <si>
    <t>['aplikasinya', 'diupgrade', 'lemot', '']</t>
  </si>
  <si>
    <t>['praktis', 'simpel', 'mudah']</t>
  </si>
  <si>
    <t>['update', 'aplikasinya', 'lemot', '']</t>
  </si>
  <si>
    <t>['aplikasi', 'berat', 'wooy', '']</t>
  </si>
  <si>
    <t>['senang', 'deh', 'aplikasi', 'indihome', 'wlau', 'menang', 'hadiah', 'penukaran', 'point', 'tpi', 'pemenangnya', 'nyata', '']</t>
  </si>
  <si>
    <t>['lelet', 'lihat', 'youtube', 'muter', 'padahl', 'pakai', 'wifi', 'merugikan', 'dana', 'sesuai', 'kesepakatan', 'pasang', 'indihome', 'kecepatan', 'mbps', 'kabel']</t>
  </si>
  <si>
    <t>['aplikasi', 'bumn', 'server', 'lemot', 'bngtt', 'ngapain', 'masuk', 'akun', 'bet', 'siput']</t>
  </si>
  <si>
    <t>['waduuuh', 'aplikasi', '']</t>
  </si>
  <si>
    <t>['', 'nov', 'gangguan', 'akses', 'internet', 'fix', 'besok', 'sktr', 'jam', 'sore', 'nov', 'sore', 'gangguan', 'total', 'jam', 'kompensasi', 'kah', '']</t>
  </si>
  <si>
    <t>['update', 'lemot', 'login', 'ribet', 'opsi', 'laporan', 'gangguan']</t>
  </si>
  <si>
    <t>['terbaiklah', 'indihome', 'langganan', 'kecepatan', 'mbps', 'pokoknya', 'top', 'jarang', 'kendala', 'itupun', 'kendala', 'langsung', 'lapor', 'myindihome', 'langsung', 'garcep', 'teknisi', 'langsung', 'saran', 'perbaiki', 'aplikasi', 'myindihome', 'eror', 'lemot', 'terima', 'kasih', '']</t>
  </si>
  <si>
    <t>['aplikasi', 'lemot', 'terbuka', 'menu', 'butuh', 'menu', 'laporan', 'gangguan', 'gagal', 'submit', 'internet', 'lancar']</t>
  </si>
  <si>
    <t>['mantap', 'membantu', '']</t>
  </si>
  <si>
    <t>['fix', 'lepasin', 'publik', 'parah', 'beta', 'versi', 'stabil', 'kah', '']</t>
  </si>
  <si>
    <t>['', 'pelayanannya', 'responsif', 'senang', 'menikmati', 'layanan', 'tersedia', 'terimakasih', 'jaya', '']</t>
  </si>
  <si>
    <t>['kecewa', 'versi', 'bagus', 'paket', 'langganan', 'busa', 'bikil', 'jengkel', 'pelanggan', 'nyaman']</t>
  </si>
  <si>
    <t>['min', 'tlg', 'aplikasi', 'indihome', 'nak', 'masuk', 'login', 'login', 'tulisan', 'mhn', 'maaf', 'peningkatan', 'layananan', 'info', 'donk', 'maintenance', 'pembharuan', 'sistem', 'inovasis', 'konsumen', 'berasumsi', 'cenderung', 'negatif', 'pelayananan', '']</t>
  </si>
  <si>
    <t>['kecewa', 'jaringan', 'indihome', 'rugi', 'bayar', 'tagihan', 'jaringan', 'lelet', 'laptop', 'konek']</t>
  </si>
  <si>
    <t>['abis', 'update', 'ribet', 'banget', 'aplikasinya', 'masuk', 'tolonglah', 'aplikasi', 'simple', 'mudah', '']</t>
  </si>
  <si>
    <t>['suka', 'aplikasi', 'indihome', 'versi', 'terbaru', 'fiturnya', 'lengkap', 'info', 'butuhkan', 'aplikasi', '']</t>
  </si>
  <si>
    <t>['bgus', 'tingkatkan', 'lemot']</t>
  </si>
  <si>
    <t>['ulasan', 'balasan', 'otomatis', 'mesin', 'tindakan', 'keluhan', 'apk', 'coba', 'dwload', 'kali', 'gitu', 'signal', 'wifi', 'indihom', 'lemoooottt', 'bangat', 'hub', 'dimatikan', 'operator', 'blm', 'selesai', 'bicara', 'tagihan', 'sllu', 'bayar', 'layanan', 'indihome', '']</t>
  </si>
  <si>
    <t>['', 'mantab']</t>
  </si>
  <si>
    <t>['lemot', 'tim', 'dodol', 'coba', 'aplikasi', 'launching', '']</t>
  </si>
  <si>
    <t>['update', 'kacau', 'dibuka', 'ngga', 'peringatan', 'device', 'rooted', 'standar', 'ngga', 'root', 'coba', 'hape', 'satunya', 'renew', 'speed', 'ngga', 'gangguan', 'sistem', 'paraaaah', 'kecewa', 'berlanggan', 'indihome', 'tolong', 'perbaiki', 'perusahaan', 'negara', 'kacau', '']</t>
  </si>
  <si>
    <t>['aplikasi', 'komplit', 'user', 'freindly']</t>
  </si>
  <si>
    <t>['jaringan', 'indihome', 'lemot', 'sekang', 'tolong', 'ditingkatkan', 'pelanggan', 'pindah', 'kelain']</t>
  </si>
  <si>
    <t>['aplksi', 'terbarunya', 'loading', 'mhon', 'tuk', 'diperbaiki', 'spaya', 'bsa', 'diakses', 'lbih', 'cepat']</t>
  </si>
  <si>
    <t>['indihome', 'terdepan', '']</t>
  </si>
  <si>
    <t>['aplikasi', 'lancar', 'lancar', 'update', 'versi', 'terbaru', 'knp', 'buang', 'buka', 'aplikasi', 'super', 'lemoooottt', 'poool', 'aneh']</t>
  </si>
  <si>
    <t>['upspeed', 'cepet', 'banget', 'tinggal', 'klik', 'udah', 'auto', 'upgrade', '']</t>
  </si>
  <si>
    <t>['berlangganan', 'alhamdulillah', 'pembayaran', 'lancar', 'koneksi', 'lancar', 'koneksi', 'suka', 'drop', 'main', 'game', 'jaringan', 'down', 'semoga', 'indihome', 'memperbaiki', 'permasalaham', '']</t>
  </si>
  <si>
    <t>['memudahkan', 'konsumen', 'penawaran', 'promo', 'mempermudah', 'biaya', 'penggunaan', 'berkarya', 'indihome', 'sukses', 'selaluh']</t>
  </si>
  <si>
    <t>['kadang', 'buruk', 'kadang', 'bagus', 'yaa', 'namanya', 'orang']</t>
  </si>
  <si>
    <t>['download', 'laporan', 'bulanan', 'aplikasi', 'asemmm']</t>
  </si>
  <si>
    <t>['efektif', 'pelayanan', 'penanganan', 'informasi', 'tagihan', '']</t>
  </si>
  <si>
    <t>['berat', 'banget', 'aplikasinya', 'buka', 'profil', 'peningkatan', 'pelayanan', 'jaringan', 'normal', 'aplikasi', 'ringan', 'gitu']</t>
  </si>
  <si>
    <t>['alhamdulillah', 'pengguna', 'indihome', 'skrng', 'alhamdulillah', 'internetnya', 'lancar', 'ajaa', 'smg', 'lancar', 'jaya', 'yaa', 'anak', 'zoom', 'rumah', 'terima', 'kasih', '']</t>
  </si>
  <si>
    <t>['membantu', 'tolong', 'diperbaiki', 'bug', '']</t>
  </si>
  <si>
    <t>['apps', 'indihome', 'terbaru', 'keren', 'ngga', 'nyesal', 'donwlod', 'semoga', 'indihome', 'jaya', 'sukses']</t>
  </si>
  <si>
    <t>['nyaman', 'jaringan', 'kosan', 'mengeluhkan', 'udh', 'pasang', 'alat', 'signal', 'bagus', 'berterima', 'kasih', '']</t>
  </si>
  <si>
    <t>['mudah', 'membantu', 'mengontr', 'indihome']</t>
  </si>
  <si>
    <t>['sebebernya', 'bagus', 'pengoptimalan', 'sistem', 'kadang', 'error', 'gitu']</t>
  </si>
  <si>
    <t>['habis', 'update', 'aplikasi', 'bagus', 'mudah', 'mantapp', 'lanjutkan']</t>
  </si>
  <si>
    <t>['sempurna', 'kali', 'aplikasinya', 'merespon', 'lelet']</t>
  </si>
  <si>
    <t>['aplikasi', 'lemot', 'dibuka', 'redmi', 'note', 'ram', 'gb', 'langganan', 'indihome', 'mbps']</t>
  </si>
  <si>
    <t>['top', 'urusan', 'kecepatan', 'internet', 'terima', 'kasih']</t>
  </si>
  <si>
    <t>['alhamdulillah', 'lancar', 'semoga', 'indihome', 'kedepanya']</t>
  </si>
  <si>
    <t>['jaringan', 'buruk', 'pelayanan', 'buruk']</t>
  </si>
  <si>
    <t>['aplikasinya', 'update', 'logout', '']</t>
  </si>
  <si>
    <t>['aplikasi', 'updet', 'login', 'mahal', 'ribet', 'kena', 'fup', 'cbut', 'langganan', 'byr', 'bln', 'telat', 'menit', 'lsng', 'isolir', 'tolonglah', 'iklan', 'bagus', 'layanan', 'memuaskan']</t>
  </si>
  <si>
    <t>['terbiasa', 'berbeda', 'versi', 'membantu', 'tuker', 'voucher', '']</t>
  </si>
  <si>
    <t>['parah', 'indihome', 'internet', 'aktif', 'pengaduan', 'jawabannya', 'kerja', 'serius', 'pelanggan', 'kecewa']</t>
  </si>
  <si>
    <t>['knp', 'login', 'app', 'indihome', 'skng', 'udh', 'masukin', 'tlp', 'login', 'solusi', '']</t>
  </si>
  <si>
    <t>['update', 'aplikasi', 'aplikasi', 'lemot', 'banget']</t>
  </si>
  <si>
    <t>['apgred', 'aplikasi', 'berasa', 'downgrade', 'lemot', 'abis']</t>
  </si>
  <si>
    <t>['bagusan', 'apk', 'gampang', 'lengkap', 'apk', 'ribet', 'kekurangan', 'mending', 'apk']</t>
  </si>
  <si>
    <t>['lemot', 'ribet']</t>
  </si>
  <si>
    <t>['parah', 'aplikasinya', 'buka', 'aplikasi', 'sulit', 'mengajukan', 'pengaduan', 'lbh', 'sulit', 'telkom', 'ahli', 'lbh', 'jago', 'internet', 'dirumah', 'bln', 'bermasalah', 'kali', 'payah', 'pokoknya', 'kecewa', 'telkom', '']</t>
  </si>
  <si>
    <t>['masuk', 'ngak', 'sekalinya', 'sandi', 'salah', 'sandinya', 'loadingnya', 'lamaaaaaaaaaaa', '']</t>
  </si>
  <si>
    <t>['leg', 'banget', 'anjng']</t>
  </si>
  <si>
    <t>['tolong', 'tim', 'development', 'aplikasi', 'bener', 'kerjanya', 'perusahaan', 'plat', 'merah', 'jngn', 'malu', 'update', 'bukanya', 'bagus', 'bnyak', 'bug', '']</t>
  </si>
  <si>
    <t>['log', 'tpi', 'pakai', 'peningkatan', 'layanan']</t>
  </si>
  <si>
    <t>['trobel', 'lemot', 'lancar', 'bayar', '']</t>
  </si>
  <si>
    <t>['baguussss']</t>
  </si>
  <si>
    <t>['sqngat', 'membantu']</t>
  </si>
  <si>
    <t>['sngt', 'suka', 'aplikasi', 'nyesal', 'memakainy']</t>
  </si>
  <si>
    <t>['tolong', 'indihome', 'gimana', 'kinerja', 'wifi', 'diklinik', 'udah', 'lost', 'udah', 'laporan', 'sehari', 'udah', 'kaya', 'minum', 'obat', 'udah', 'follow', 'dll', 'sampe', 'skrng', 'orang', 'emosi', 'sii', 'astaga', 'bnrr', 'dikit']</t>
  </si>
  <si>
    <t>['jaringan', 'lancar', 'mantap', 'semoga', 'semangat', 'indhome', 'terbaik', '']</t>
  </si>
  <si>
    <t>['pelayanan', 'cepat', 'akurat']</t>
  </si>
  <si>
    <t>['app', 'membantu', 'app', 'kmrin', 'update', 'muncul', 'logo', 'indihome', 'muncul', 'logo', 'android', 'apakh', 'benahi', 'saran', '']</t>
  </si>
  <si>
    <t>['emang', 'segi', 'interface', 'modern', 'fiturnya', 'tampilan', 'menu', 'bagus', 'tpi', 'mohon', 'loading', 'aplikasi', 'diperbaiki', 'kesini', 'lambat', 'dibuka', 'jaringan', 'internet', 'stabil']</t>
  </si>
  <si>
    <t>['semoga', 'bagus', 'kedepanx']</t>
  </si>
  <si>
    <t>['lihat', 'pemakaian', 'gmana']</t>
  </si>
  <si>
    <t>['tolong', 'fitur', 'fitur', 'ditambah', 'detail', 'makasih', '']</t>
  </si>
  <si>
    <t>['app', 'sampah']</t>
  </si>
  <si>
    <t>['memuaskan', 'layanan', 'internet', 'stabil', 'gangguan', 'mantappp']</t>
  </si>
  <si>
    <t>['update', 'terbaru', 'lemot', 'parah', 'emng', 'update', 'kali', 'user', 'interface', 'bagus', 'cuman', 'bagus', 'diakses', 'lemot', 'mending', 'deh', '']</t>
  </si>
  <si>
    <t>['tampilan', 'app', 'respon', 'cepat', 'tanggap', 'permasalahan']</t>
  </si>
  <si>
    <t>['aplikasi', 'det', 'alhamdulillah', 'bagus']</t>
  </si>
  <si>
    <t>['telkom', 'udah', 'jaringan', 'jelek', 'mahal', 'fup', 'cepet', 'abis', 'aplikasi', 'lemotnya', 'ampun', 'tinggal', 'nunggu', 'isp', 'udah', 'kelar', 'masamu', 'plat', 'merah']</t>
  </si>
  <si>
    <t>['bingung', 'bagusan']</t>
  </si>
  <si>
    <t>['blum', 'pembayaran', 'tagihan', 'lancar', 'tampilan', 'aplikasi', 'mudah', 'dipahami', '']</t>
  </si>
  <si>
    <t>['meluncur', 'cepat', 'bayaran', 'murah', '']</t>
  </si>
  <si>
    <t>['acaranya', 'bagus', 'pengunaannya', 'mudah', 'layanan', 'trimks', 'indhihome']</t>
  </si>
  <si>
    <t>['aplikasi', 'indihome', 'mudah', 'mengecheck', 'fitur', 'fitur', 'batas', 'pembayarannya', 'mudah', 'info', 'info', 'update', 'aplikasi', '']</t>
  </si>
  <si>
    <t>['promonya']</t>
  </si>
  <si>
    <t>['terbantu', 'app', 'pembayaran', 'cek', 'status', 'blm', 'mengalami', 'kendala', 'pembaharuan', 'transaksi', 'ttp', 'mudah', 'suka', 'tampilan']</t>
  </si>
  <si>
    <t>['memuaskan', 'udah', 'berlangganan', 'kendala']</t>
  </si>
  <si>
    <t>['indihome', 'kendala', 'jaringan', 'aman', 'tingkatkan', 'jangkauan', 'wilayah', 'pelosok', 'menikmati', 'internet', 'daerah', '']</t>
  </si>
  <si>
    <t>['indihome', 'terbaik']</t>
  </si>
  <si>
    <t>['berlangganan', 'myindohome', 'kondisi', 'covid', 'berguna', 'anak', 'belajar', 'tugas', 'belajar', 'selesai', 'jaringannya', 'lancar', 'biarpun', 'hujan', 'petir', 'terima', 'kasih', 'myindohome', 'kedepan', 'kuat', 'jaringannya', 'tks']</t>
  </si>
  <si>
    <t>['menyenangkan', 'user', 'interface', 'aplikasinya', 'user', 'friendly', 'detail', 'paket', 'dipakai', 'ditawarkan']</t>
  </si>
  <si>
    <t>['aplikasinya', 'membantu', 'home', 'page', 'mudah', 'pahami', 'informasi', 'sesuai', 'suka', 'menu', 'berlangganan', 'produk', 'beli', 'semoga', 'tetep', 'bagus', 'meningkat']</t>
  </si>
  <si>
    <t>['mantap', 'sngt', 'membantu']</t>
  </si>
  <si>
    <t>['respon', 'penanganan', 'kendala', 'layanan', 'indihome', 'chat', 'pengaduan', 'costumer', 'service', 'mengalami', 'peningkatan', 'penyelesaian', 'dibanding', 'sore', 'mengajukan', 'pengaduan', 'modem', 'router', 'rusak', 'indihome', 'pagi', 'jam', 'teknisi', 'langsung', 'lokasi', 'mengganti', 'router', 'rusak', 'terima', 'kasih']</t>
  </si>
  <si>
    <t>['mantapp', 'suka', 'aplikasi', 'indihome', 'memantau', 'smua', 'kegiatan', 'indihome', 'rumah', 'aplikasi', 'upgrade', 'speed', 'langganan', 'wifi', 'pemula', '']</t>
  </si>
  <si>
    <t>['susah', 'login', 'masuknya']</t>
  </si>
  <si>
    <t>['aplikasi', 'indihome', 'update', 'kluwer', '']</t>
  </si>
  <si>
    <t>['koreksi', 'kesalahan', 'pembenahan', 'lini', 'bumn', 'indihome', 'telkom', 'indonesia', 'percaya', 'semangat', 'komitmen', 'melayani', 'indonesia', 'indihome', 'telkom', 'membawa', 'kemajuan', 'signifikan', 'teknologi', 'telekomunika', 'informasi', 'rakyat', 'indonesia', 'semangat', '']</t>
  </si>
  <si>
    <t>['fitur', 'penggunaan', 'mudah', 'gampang', 'beli', 'paket', 'emank', 'membingungkan', 'mantep']</t>
  </si>
  <si>
    <t>['pelayanan']</t>
  </si>
  <si>
    <t>['aplikasi', 'terbaik', 'komplain', 'langsung', 'ditanggapi', 'layanan', 'servicenya', 'cepat', 'memuaskan', 'kota', '']</t>
  </si>
  <si>
    <t>['bingung', 'tampilan', 'applikasinya', 'berubah', 'fitur', 'tambahan', 'mudah', 'kontrol', 'penggunaan', 'indihome', 'mantul']</t>
  </si>
  <si>
    <t>['kereeeen', 'pokoknya', 'indihome']</t>
  </si>
  <si>
    <t>['mempermudah', 'mengecek', 'pembayaran', 'kuota', 'terpakai', 'update', 'promo', 'terimakasih', 'indohome']</t>
  </si>
  <si>
    <t>['keren', 'banget']</t>
  </si>
  <si>
    <t>['app', 'gampang', 'versi', 'upgrade', 'kadang', 'lemot', 'logout', 'tolong', 'diperbaiki', 'app']</t>
  </si>
  <si>
    <t>['versi', 'oke', 'banget', 'enak', 'dipandang', 'tampilan', 'berubah', 'total', 'mudah', 'kekurangan', 'aplikasi', 'loading', 'overall', 'oke']</t>
  </si>
  <si>
    <t>['aplikasi', 'bagus', 'lambat', 'proses', 'tolong', 'perbaiki', '']</t>
  </si>
  <si>
    <t>['cocok', 'belajar', 'daring', 'pandemi', '']</t>
  </si>
  <si>
    <t>['recomended', 'deh']</t>
  </si>
  <si>
    <t>['tampilan', 'bagus']</t>
  </si>
  <si>
    <t>['mudah', 'memudahkan']</t>
  </si>
  <si>
    <t>['payah', 'pelayanannya', 'ditempat', 'operator', 'mending', 'indihome']</t>
  </si>
  <si>
    <t>['ironis', 'banget', 'perusahan', 'apps', 'lemot', 'buang', 'kontra', 'produktif', 'kalah', 'warung', 'kelontong', 'tetangga', 'kacau', 'saran', 'bubar', 'berbenah', '']</t>
  </si>
  <si>
    <t>['token', 'dikirim', 'dimasukan', 'udah', 'kadaluwarsa']</t>
  </si>
  <si>
    <t>['perbaiki', 'koneksi', 'jaringan', 'stabil']</t>
  </si>
  <si>
    <t>['aplikasi', 'membantu', 'akses', 'mudah']</t>
  </si>
  <si>
    <t>['parah', 'update', 'bagus', 'malahlemot', 'ribet']</t>
  </si>
  <si>
    <t>['lambat', 'loadingnya']</t>
  </si>
  <si>
    <t>['fast', 'response', 'menangani', 'gangguan']</t>
  </si>
  <si>
    <t>['pengaduan', 'gangguan', 'mudah', 'via', 'app']</t>
  </si>
  <si>
    <t>['aplikasinya', 'bayar', 'tagihan', 'bulanan']</t>
  </si>
  <si>
    <t>['pembayaran', 'mudah', 'aplikasi', 'myindihome']</t>
  </si>
  <si>
    <t>['terbaik', 'lancar', 'banget', 'internetnya', 'thanks']</t>
  </si>
  <si>
    <t>['aplikasinya', 'mudah']</t>
  </si>
  <si>
    <t>['terima', 'kasih', 'indihome', 'internet', 'rumah', 'lancar', 'jaya']</t>
  </si>
  <si>
    <t>['user', 'friendly', 'uinya', 'fresh', 'top', 'notch', 'app']</t>
  </si>
  <si>
    <t>['aplikasi', 'mantab', 'lancar', 'fiturnya', 'berguna']</t>
  </si>
  <si>
    <t>['aplikasinya', 'thanks', 'indihome', 'telkom']</t>
  </si>
  <si>
    <t>['aplikasi', 'bumn', 'gini']</t>
  </si>
  <si>
    <t>['login', 'sandi', 'salah', 'sampe', 'lupa', 'sandi', 'sandi', 'salah', 'mohon', 'maaf', 'ketidaknyamanan', 'kak', 'belom', 'bener', 'update', 'aplikasi', 'balikin', 'versi', 'makasih', '']</t>
  </si>
  <si>
    <t>['aplikasi', 'membantu', 'semoga', 'fitur', 'pendukung']</t>
  </si>
  <si>
    <t>['aplikasi', 'ape', 'nie', 'kemaren', 'perbarui', 'pusing', 'versi', 'lamak', 'bah']</t>
  </si>
  <si>
    <t>['buagusss']</t>
  </si>
  <si>
    <t>['updatenya', 'mohon', 'maaf', 'cinta', 'bumn', 'kualitasnya', 'kalah', 'saing', 'produk', 'swasta']</t>
  </si>
  <si>
    <t>['update', 'aplikasinya', 'masuk', 'memprosesnya', 'lambat', '']</t>
  </si>
  <si>
    <t>['susah', 'masuk', 'log', 'akun', 'mohon', 'bantuanya', 'masuk']</t>
  </si>
  <si>
    <t>['perusahaan', 'sekelas', 'bumn', 'aplikasinya', 'kelas', 'teri', 'mendingan', 'swasta', 'maju', 'kasian', 'pelanggan', 'kesulitan', 'cek', 'indihomenya']</t>
  </si>
  <si>
    <t>['apk', 'berguna', 'dikit', 'gue', 'bayar', 'rb', 'perbulan', 'laporan', 'gajelas', 'lapor', 'kemana', 'gabisa', 'disuruh', 'download', 'myindihome', 'sosmed', 'gitu', '']</t>
  </si>
  <si>
    <t>['update', 'lambat', 'buka', 'aplikasi']</t>
  </si>
  <si>
    <t>['simpel', '']</t>
  </si>
  <si>
    <t>['akses', 'apk', 'update', 'lancar', 'masuk', 'update', 'masuk', 'masukin', 'pasword', 'email', 'telpon', 'salah', 'daftar', 'email', 'terdaftar', 'kacau', 'indihome']</t>
  </si>
  <si>
    <t>['login']</t>
  </si>
  <si>
    <t>['update', 'tan', 'terbaru', 'parah', 'lemotnya']</t>
  </si>
  <si>
    <t>['bangke', 'renew', 'speed', 'seblm', 'pembaharuan', 'ujian', 'anak', 'anak', 'dasar', 'perusahaan', 'plat', 'merah', 'korupsi', 'doang', 'digedein']</t>
  </si>
  <si>
    <t>['tolong', 'indihome', 'nggk', 'uang', 'paket', 'mb', 'diadakan', '']</t>
  </si>
  <si>
    <t>['fitur', 'pengaduan', 'berguna']</t>
  </si>
  <si>
    <t>['cuman', 'ngalami', 'date', 'aplikasi', 'dpt', 'log', 'kesal', 'nop', 'masuk', 'mencoba']</t>
  </si>
  <si>
    <t>['aplikasi', 'muter', 'muter', 'pelayanan', 'buruk', 'tiket', 'laporan', 'alasannya', 'gamas', 'konek', 'aplikasi', 'bumn', 'pelayanan', 'bad', '']</t>
  </si>
  <si>
    <t>['tampilan', 'simple', 'monitoring', 'menu']</t>
  </si>
  <si>
    <t>['gimana', 'cek', 'pengguna', 'wifi', 'indihome', 'aplikasinya', 'kak', 'diperbarui', 'skrng', 'udah', 'perbarui']</t>
  </si>
  <si>
    <t>['susah', 'log', 'masukin', 'otp', 'dianggap', 'salah', 'kode']</t>
  </si>
  <si>
    <t>['ampun', 'banget', 'aplikasinya', 'lola', 'buange', 'emosi', 'discroll', 'ndak', 'diapa', 'apain', 'sabar', '']</t>
  </si>
  <si>
    <t>['knp', 'login', 'udah', 'login', 'susah', 'peningkatan', 'layanan', 'mulu', '']</t>
  </si>
  <si>
    <t>['aplikasi', 'jalan', 'koneksi', 'server', 'buruk', '']</t>
  </si>
  <si>
    <t>['bobrok', 'aplikasi', 'update', 'bagus', 'ancur', 'kesel', 'wifi', 'gue', 'uda', 'semingguan', 'gda', 'perbaikan', 'uda', 'lapor', '']</t>
  </si>
  <si>
    <t>['internet', 'error', 'app', 'pengaduannya', 'membantu', 'mkin', 'ribet']</t>
  </si>
  <si>
    <t>['tolong', 'perbaiki', 'rusak', 'aplikasinya', 'bug', 'aplikasi', 'aplikasi', 'bertambah', 'bug', 'aplikasi', 'berfungsi', 'layanan']</t>
  </si>
  <si>
    <t>['apk', 'logout', 'login', 'email', 'terdaftar', 'pembaharuan', 'apk', 'mohon', 'selesaikan', 'kayak', 'gini', 'mengganggu', 'aktifitas', 'nyaman', 'masyarakat', 'mending', 'pakek', 'apk', 'mohon', 'secepatnya', 'selesaikan', 'pembaharuan', 'apk', 'boskuh', 'sumpah', 'mengganggu', 'banget', '']</t>
  </si>
  <si>
    <t>['kurangefisien', 'ribet', 'loading', 'penggunatidak', 'user', 'make']</t>
  </si>
  <si>
    <t>['update', 'parah', 'jaringan', 'lancar', 'wktu', 'buka', 'aplikasi', 'myindihome', 'halaman', 'muncul', 'beda', 'update', 'aduh', 'parah', '']</t>
  </si>
  <si>
    <t>['mengeceawakan', '']</t>
  </si>
  <si>
    <t>['bayar', 'nov', 'fungsi', 'internet', 'tanggal', 'nov', 'hedehh', 'buka', 'app', 'indihome', 'update', 'sms', 'bayar', 'samsek', 'internet', 'haw', 'semoga', 'perbaiki', 'sistemmnya', 'salah', 'paham']</t>
  </si>
  <si>
    <t>['kasih', 'bintang', 'aplikasi', 'update', 'loading', 'buka', 'youtube', 'lancar', 'haduh', 'parah']</t>
  </si>
  <si>
    <t>['bagus', 'dapet', 'gimana', 'wkwkwk', 'myindihome', 'lemot', 'loadingnya']</t>
  </si>
  <si>
    <t>['apk', 'lambat']</t>
  </si>
  <si>
    <t>['aplikasi', 'lemot', 'malu', 'malu', 'engga', 'mencerminkan', 'nama', 'perusahaan', 'aplikasi', 'offline', 'cepet', '']</t>
  </si>
  <si>
    <t>['apk', 'udah', 'akun', 'login', 'kagak', 'bilangnya', 'akun', 'belom', 'terdaftar', 'halah', 'halah', 'kecawaa', '']</t>
  </si>
  <si>
    <t>['', 'download', 'susah', 'masuk', 'nomor', 'verifikasi', 'tokennya', 'masuk', 'input', 'detik', 'pemulihan', 'ribet', 'aplikasi', 'ujung', 'nelpon']</t>
  </si>
  <si>
    <t>['ratingnya', 'payah', 'milik', 'negara', 'kacau', 'apanya', 'tib', 'mati', 'tarif', 'beda', 'beda', 'huft', '']</t>
  </si>
  <si>
    <t>['bayar', 'lancar', 'internet', 'nyendat', '']</t>
  </si>
  <si>
    <t>['eeh', 'sontoloyo', 'jaringan', 'karbitan', 'mahal', 'tpi', 'kualitas', 'terjaga']</t>
  </si>
  <si>
    <t>['aplikasi', 'indihome', 'membantu', 'fitur', 'fitur', 'mebantu', 'informasi', 'indihome', 'promo', 'menarik', 'dinikmati', 'berlangganan', 'indihome', 'salah', 'smpe', 'skrng', 'pelayanan', 'memuaskan', 'pengaduan', 'gangguan', 'layanan', 'cek', 'tagihan', 'lbih', 'mudah', 'terima', 'ksih', 'pelayanan', 'indihome', '']</t>
  </si>
  <si>
    <t>['download', 'ntar', 'nyesel']</t>
  </si>
  <si>
    <t>['ruwet', 'kek', 'gini', 'apknya', 'mending', 'upgret', 'ajalah', 'daripda', 'jelek']</t>
  </si>
  <si>
    <t>['', 'not', 'found']</t>
  </si>
  <si>
    <t>['apan', 'login', 'mohon', 'maaf', 'peningakatan', 'pelayanan', 'gimana', 'jdinya', 'hadeh']</t>
  </si>
  <si>
    <t>['lelet', 'perbaharui', 'bagus', 'apliksinya', 'hancur']</t>
  </si>
  <si>
    <t>['aplimasi', 'myindihome', 'terbaru', 'memudahkan', 'penggunanya', 'fitur', 'tambahan', 'memudahkan', 'enak', '']</t>
  </si>
  <si>
    <t>['bermanfaat', 'terimakasih']</t>
  </si>
  <si>
    <t>['', 'update', 'terbaru', 'ampas', '']</t>
  </si>
  <si>
    <t>['mohon', 'dievaluasi', 'update', 'aplikasinya', 'susah', 'dibuka']</t>
  </si>
  <si>
    <t>['bumn', 'app', 'kalah', 'swasta', 'dikelolah', 'segelintir', 'orang']</t>
  </si>
  <si>
    <t>['keren']</t>
  </si>
  <si>
    <t>['pusinh']</t>
  </si>
  <si>
    <t>['berlangganan', 'indihome', 'alhamdulillah', 'aman', 'aman', 'teknisinya', 'gerak', 'cepat', 'sukses', 'trus', 'unt', 'indihome', 'semoga', 'promonya', '']</t>
  </si>
  <si>
    <t>['', 'far', 'good']</t>
  </si>
  <si>
    <t>['jaringan', 'apk', 'burik']</t>
  </si>
  <si>
    <t>['nyesel', 'update', 'pening', 'memudah', 'menguji', 'kesabaran', '']</t>
  </si>
  <si>
    <t>['rating']</t>
  </si>
  <si>
    <t>['mantap', 'aplikasi', '']</t>
  </si>
  <si>
    <t>['jaringannya', 'lancar']</t>
  </si>
  <si>
    <t>['miris', 'indihihome', 'kayaknya', 'bbrp', 'kedepan', 'stop', 'langganan', 'kayaknya']</t>
  </si>
  <si>
    <t>['alhamdulillah', 'berlangganan', 'indihome', 'lbh', 'mudah', 'jualan', 'lancar', 'anak', 'belajar', 'terimakasih', 'indihome', '']</t>
  </si>
  <si>
    <t>['pakai', 'indihome', 'puas', 'gangguan', 'langsung', 'ditangani', 'good', 'job']</t>
  </si>
  <si>
    <t>['aplikasi', 'membantu', 'fitur', 'lengkap', 'mudahkan', 'mengalami', 'gangguan', 'nice', '']</t>
  </si>
  <si>
    <t>['aplikasi', 'perbaiki', 'sukses', 'indihome']</t>
  </si>
  <si>
    <t>['semoga', 'berkembang']</t>
  </si>
  <si>
    <t>['gud']</t>
  </si>
  <si>
    <t>['aplikasinya', 'lemot', 'banget', 'kesel', 'coba', 'perbaiki', 'secepatnya']</t>
  </si>
  <si>
    <t>['login', 'sistem', 'perbaikan']</t>
  </si>
  <si>
    <t>['menyesal', 'update', 'aplikasinya', 'login']</t>
  </si>
  <si>
    <t>['kembalikan', 'versi', 'apps', 'stabil', 'nyaman', 'terimakasih']</t>
  </si>
  <si>
    <t>['aplikasi', 'tolong', 'laporan', 'gangguan', 'tagihan', 'koneksi', 'internet', 'parah', 'rugi', 'bayar', 'kepuasan']</t>
  </si>
  <si>
    <t>['aplikasi', 'blm', 'diluncurkan', 'versi', 'kacau', 'aplikasinya', 'renew', 'logout', 'kacau', 'kacau']</t>
  </si>
  <si>
    <t>['buruk', 'aplikasi', 'sebelun', 'pembaharuan', '']</t>
  </si>
  <si>
    <t>['saran', 'pakai', 'aplikasi', 'versi', 'old', 'version', 'terbaru', 'gangguan', 'heran', 'emang', 'bener']</t>
  </si>
  <si>
    <t>['gimana', 'update', 'upgrade', 'downgrade', 'pecat', 'terlibat', 'update', 'bumn', 'kayak', 'sampah', 'gini', '']</t>
  </si>
  <si>
    <t>['ribetin', 'apknya']</t>
  </si>
  <si>
    <t>['woi', 'aplikasi', 'jaringannya', 'lelet', 'banget', 'giliran', 'bayaran', 'gaboleh', 'telat', 'pengen', 'ngomong', 'kasar', 'asli', 'pasang', 'ngebutnya', 'udah', 'langganan', 'siput', 'kudanil', '']</t>
  </si>
  <si>
    <t>['tuker', 'voucher', 'ngumpulin', 'poinnya', 'setahun', 'hangus', 'jeleknya', 'aplikasi', 'tulisannya', 'berantakan', 'klaim', 'voucher', 'hadeeh']</t>
  </si>
  <si>
    <t>['bgmn', 'log', 'nda', 'parah']</t>
  </si>
  <si>
    <t>['ganti', 'password', 'wifi', 'gimna', '']</t>
  </si>
  <si>
    <t>['keluhan', 'mengarah', 'aplikasi', 'merasakan', 'update', 'aplikasinya', 'eror', 'kuota', 'terpakai', 'munculkan', 'mending', 'aplikasi', 'ribet', 'praktis']</t>
  </si>
  <si>
    <t>['heem', 'berat', 'berat', 'genshin', 'impact']</t>
  </si>
  <si>
    <t>['ngeluh', 'dsini', 'diisi', 'form', 'keluhan', 'kendala', 'iya', 'pengembang', 'aplikasi', 'segede', 'telkom', 'aplikasi', 'bermasalah', 'iya', 'mencoba', 'buka', 'aplikasinya', 'aneh']</t>
  </si>
  <si>
    <t>['indihome', 'emosi', 'udah', 'gangguan', 'skrg', 'aplikasi', 'logout', 'masuk', 'tolong', 'pelayanan', 'maksimalkan', 'ambil', 'paket', 'mahal', 'gangguan', 'mulu', '']</t>
  </si>
  <si>
    <t>['ngaco', 'aplikasi', 'diuji', 'aplikasinya', 'diluncurkan', 'pelanggan', 'dibilangin', 'ngeyel', 'lihat', 'kasih', 'bintang', 'aplikasi', 'pilihan', 'minus', 'bintang', 'kayaknya', 'mgasih', 'minus', '']</t>
  </si>
  <si>
    <t>['diperbarui', 'ancurrrr', '']</t>
  </si>
  <si>
    <t>['gila', 'download', 'data', 'aplikasi', 'kb', 'rusak']</t>
  </si>
  <si>
    <t>['minggu', 'apk', 'jaringan', 'skali', 'bayar', 'mahal', 'mahal', 'bagus', 'jaringannya', '']</t>
  </si>
  <si>
    <t>['tolong', 'fitur', 'pelaporan', 'gangguan', 'ditingkatkan', 'melaporkan', 'gangguan', 'troubleshooting', 'berhasil', 'notif', 'pengembangan', 'gagal', '']</t>
  </si>
  <si>
    <t>['knpa', 'download', 'aplikasi', 'berhenti', '']</t>
  </si>
  <si>
    <t>['aplikasi', 'sampah', 'login', 'susahnya', 'ampun']</t>
  </si>
  <si>
    <t>['gangguan', 'pelayanan']</t>
  </si>
  <si>
    <t>['habis', 'diupdate', 'akun', 'login', 'password', 'salah', 'trs', 'kirim', 'otp', 'fitur', 'lupa', 'password', 'tulisan', 'kode', 'berlaku', 'bener', 'donggg', 'gimana', 'login', 'kocak']</t>
  </si>
  <si>
    <t>['tampilan', 'jengkel', 'ruwet', 'ribet', 'mestinya', 'uji', 'coba', 'jng', 'lngsung', 'main', 'auto', 'update', 'apl', 'jelek', '']</t>
  </si>
  <si>
    <t>['aplikasi', 'indihihome', 'kantunng', 'doraemon', 'membantu', 'memudahkan', 'pelanggan', 'indihome', 'tampilan', 'terbaru', 'balance', 'fitur', 'fitur', 'sediakan', 'berkembang', '']</t>
  </si>
  <si>
    <t>['aplikasi', 'sampah', 'login', 'gagal', 'pembaruan', 'habis', 'diperbarui', 'akun', 'logout', 'masuk', 'password', 'salah', 'lupa', 'password', 'dapet', 'sms', 'kode', 'unik', 'dimasukin', 'kode', 'aplikasi', 'muncul', 'kode', 'valid', 'berlaku', 'pdhl', 'detik', 'dicoba', 'emg', 'aplikasi', 'toooolollll', 'pengembang', 'abal', 'aplikasi', 'maksa', 'blokkk', 'gorengan', 'luu', '']</t>
  </si>
  <si>
    <t>['aplikasi', 'diperbarui', 'jelek', 'banget', 'ribet', 'kyk', 'muter', 'muter', 'mulu', 'gjls', 'bnget', 'udh', 'bagus', 'dlu', 'ngapain', 'pkek', 'upgrade', 'aplikasinya']</t>
  </si>
  <si>
    <t>['aplikasi', 'myindihome', 'mudah', 'tagihan', 'bayar', 'tagihan', 'top', 'saldo', '']</t>
  </si>
  <si>
    <t>['lengkap', 'mudah', 'deskripsinya', 'kendala']</t>
  </si>
  <si>
    <t>['aplikasi', 'login', 'aplikasi', 'lemot', 'aplikasi', 'oke']</t>
  </si>
  <si>
    <t>['jelek', 'banget', 'layanannya', 'beres']</t>
  </si>
  <si>
    <t>['maaf', 'kecewa', 'bayar', 'segitu', 'down', 'ber', 'jam', 'jam', 'kompensasi']</t>
  </si>
  <si>
    <t>['jaringannya', 'lambat']</t>
  </si>
  <si>
    <t>['myindihome', 'via', 'app', 'via', 'respon', 'lapangan', 'ngg', 'nunggu', 'jam', 'internet', 'gaya', 'hidup', 'gangguan', 'nunggu', 'penanganan', 'jam', 'cocok', 'kasih', 'bintang', '']</t>
  </si>
  <si>
    <t>['membantu', 'makasih', '']</t>
  </si>
  <si>
    <t>['kemarin', 'jaringan', 'internet', 'teknisi', 'memperbaiki', 'hadehh', 'berhenti', 'berlangganan', '']</t>
  </si>
  <si>
    <t>['produk', 'jual', 'bidang', 'teknologi', 'aplikasi', 'smart', 'lemot', '']</t>
  </si>
  <si>
    <t>['lancar', 'jaya', '']</t>
  </si>
  <si>
    <t>['lemott']</t>
  </si>
  <si>
    <t>['update', 'logout', 'ngga', 'masuk', 'lupa', 'pasword', '']</t>
  </si>
  <si>
    <t>['aplikasi', 'bagus', 'kecepatan', 'tagihan', 'internet']</t>
  </si>
  <si>
    <t>['ngga', 'nyesel', 'myindihome', 'ngirit', 'jaringan', 'lancar', 'recommended', 'banget', 'anak', 'suka', 'nonton', 'youtube', 'moga', 'sukses', 'trus', 'myindihome', 'kedepan']</t>
  </si>
  <si>
    <t>['alhamdulilah', 'indihome', 'terupdate', 'terbantu', 'tetutama', 'tagihan', 'pembayaran', 'semoga', 'indihome', 'maju', 'terbaik', 'pelanggan', '']</t>
  </si>
  <si>
    <t>['', 'indihome', 'sll', 'lengkap', 'info', 'sll', 'update']</t>
  </si>
  <si>
    <t>['aplikasi', 'bermanfaat', 'mudah', 'akses', '']</t>
  </si>
  <si>
    <t>['bagus', 'tampilanya']</t>
  </si>
  <si>
    <t>['selah', 'update', 'login', 'suruh', 'hapus', 'cace', 'udah', 'ehh', 'tetep', 'login', 'bilangnya', 'peningkatan', 'layanan', 'udah', 'berlanggan', 'indihome', 'thn', 'trus', 'blm', 'telat', 'bayar']</t>
  </si>
  <si>
    <t>['parahhhhh', 'aplikasi', 'ribet', 'login', 'susah', 'loading']</t>
  </si>
  <si>
    <t>['selesai', 'update', 'aplikasi', 'lola', 'pqaarrraahhh']</t>
  </si>
  <si>
    <t>['lag', 'bet', '']</t>
  </si>
  <si>
    <t>['versi', 'bagus', 'menu', 'ubah', 'sandi', 'atur', 'pengguna', 'mantab']</t>
  </si>
  <si>
    <t>['update', 'gabisa', 'login', 'ehe']</t>
  </si>
  <si>
    <t>['abis', 'update', 'lemot', 'keruan', 'input', 'nomor', 'indihome', 'doank', 'terdaftar', 'line', 'indihomenya', 'gimana', 'udah', 'gitu', 'menu', 'penukaran', 'poinnya', 'kemana', 'buka', 'notabene', 'terkoneksi', 'wifi', 'indihome', 'speed', 'mbps', 'lemotnya', 'ampun', 'bener', 'dikitlah', 'apps']</t>
  </si>
  <si>
    <t>['aplikasi', 'dibuka']</t>
  </si>
  <si>
    <t>['susah', 'susah', 'hubungi', 'telpon', 'aplikasi', 'indihome', 'lengkap', 'banget', 'cepat', 'berhadiah', 'poin', 'cepat', 'unduh', 'donwload', 'daftar', 'guys', 'best']</t>
  </si>
  <si>
    <t>['myindihome', 'terbaik', 'ayo', 'pakai', 'indihome', 'solusi', 'era', 'digitalisasi', '']</t>
  </si>
  <si>
    <t>['lemot', 'aplikasinya', 'sinyal', 'konsisten', 'malu', 'pelanggan', 'ngeluh', 'peningkatan', 'kompetitor', 'harga', 'murah', 'fup', 'tolong', 'berpikir', 'kedepan', 'kapitalis', 'tolonv', 'dengarkan', 'keluhan', 'konsumen', 'maju', '']</t>
  </si>
  <si>
    <t>['aplikasi', 'gouubblokk', 'input', 'kode', 'verifikasi', 'sya', 'copy', 'paste', 'email']</t>
  </si>
  <si>
    <t>['aplikasi', 'indihome', 'keren', 'membantu', '']</t>
  </si>
  <si>
    <t>['maju', 'byk', 'promonya', 'menarik', 'indihome', 'sukses']</t>
  </si>
  <si>
    <t>['puas', 'pelayanan', 'kecepatan', 'internetnya']</t>
  </si>
  <si>
    <t>['wifi', 'top', 'indihome', 'mantap']</t>
  </si>
  <si>
    <t>['mntap', 'sesuai', 'kemapuan', 'bayar']</t>
  </si>
  <si>
    <t>['aplikasi', 'lemot', 'lapor', 'gangguan', 'muncul', 'berlangganan', 'internet', 'udah', 'bayar', 'mahal', 'berlangganan']</t>
  </si>
  <si>
    <t>['yeaa', 'aplikasi', 'update', 'indihome', 'mudah', 'menggunakannya', 'item', 'item', 'pilihan', 'paket', 'tagihan', 'muncul', 'detail', 'bantuan', 'indihome', 'terbiasa', 'update', 'pembiasaan', 'step', 'step', 'indihome', 'majuu', 'yaaa']</t>
  </si>
  <si>
    <t>['update', 'login']</t>
  </si>
  <si>
    <t>['memuaskan', 'pokoknya', 'kayak', 'kendaraan', 'myindihome', '']</t>
  </si>
  <si>
    <t>['diperbarui', 'bagus', 'aplikasi']</t>
  </si>
  <si>
    <t>['versi', 'terbarunya', 'keren', 'aplikasinya', 'lemot', 'jaringan', 'wifinya', 'lemot', 'mbps', 'pengaduan', 'layanan', 'via', 'email', 'cepat', 'tanggap', 'cepat', 'ditangani', 'terima', 'kasih', 'indihome', 'sukses']</t>
  </si>
  <si>
    <t>['good', '']</t>
  </si>
  <si>
    <t>['alhamdulillah', 'sekian', 'berlangganan', 'indihome', 'berlangganan', 'uang', 'habis', 'beli', 'kuota', 'uang', 'beli', 'kuota', 'numpang', 'wifi', 'tetangga', 'terbaik', 'pokoknya', 'mah', 'berlangganan', 'indi', 'home', 'kuliah', 'aman', 'kendala', 'terimakasih']</t>
  </si>
  <si>
    <t>['pakai', 'puas', '']</t>
  </si>
  <si>
    <t>['perbaiki', 'loading']</t>
  </si>
  <si>
    <t>['sip', 'aplikasi', 'membantu']</t>
  </si>
  <si>
    <t>['indihome', 'jancookkkk']</t>
  </si>
  <si>
    <t>['', 'honest', 'applikasi', 'fitur', 'mengatur', 'pelanggan', 'bagus', 'bermanfaat', 'date', 'tagihan', 'menunggu', 'notifikasi', 'tunggakan', 'pembayaran', 'indihome', 'udah', 'upgrade', 'dikitlah', 'merangkak', 'jalan', 'kaki', 'hahaha', 'btw', 'good', 'progres', 'kepuasan', 'pelanggan', 'indihome', 'sampe', 'tertinggal', 'jaman', 'berubah', 'berharap', 'gas', 'bre', 'lanjutkan', '']</t>
  </si>
  <si>
    <t>['nyaman', 'aplikasinya', 'mudah', 'kendor', 'performanya', '']</t>
  </si>
  <si>
    <t>['mendukung', 'informasi', 'seputar', 'pelanggan', 'memudahkan', 'pelanggan', 'solusi', 'kendala']</t>
  </si>
  <si>
    <t>['really', 'bad', 'service', 'bad', 'quality', 'kacau', 'gilaaaakk', 'banget', 'aplikasi', 'memenuhi', 'kebutuhan', 'aplikasi', 'gunanya', 'developernya', 'level', 'magang', 'kali', 'sampe', 'berhari', 'gini', 'troublenya', '']</t>
  </si>
  <si>
    <t>['assalamu', 'alaikum', 'warahmatullahi', 'wabarakatuh', 'terbantu', 'indihome', 'kerjaan', 'mudah', 'thanks', 'saran', 'applikasi', 'jaringan', 'kadang', 'stabil', 'tolong', 'cek', 'semangat', '']</t>
  </si>
  <si>
    <t>['udah', 'pakai', 'indihome', 'indihome', 'pelayanan', 'terbaik', 'online', 'offline', 'sinyal', 'bagus', 'recommended', 'banget', 'berlangganan', 'indihome', 'sukses', 'indihome', '']</t>
  </si>
  <si>
    <t>['jaringan', 'wifi', 'daerah', 'indihome', 'pakai', 'indihome', 'snagat', 'membantu', 'perkuliahan', 'online', 'dirumah', 'enaknya', 'trouble', 'teknisinya', 'langsung', 'gercep', 'terimakasih', 'indihome']</t>
  </si>
  <si>
    <t>['bagus', 'bermanfaat']</t>
  </si>
  <si>
    <t>['aplikasinya', 'lumayan', 'membantu', 'laporan', 'gangguan', '']</t>
  </si>
  <si>
    <t>['senangenggunakan', 'indihom', '']</t>
  </si>
  <si>
    <t>['membantu', 'berfungsi']</t>
  </si>
  <si>
    <t>['pelayanan', 'perbaikan', 'cepat', 'bagus', 'indihome', 'bermasalah', 'semoga', 'tingkatkan', '']</t>
  </si>
  <si>
    <t>['jaringan', 'terluas', 'indonesia', 'semoga', 'tingkatkan', 'kualitas', 'layanan', 'internetnya', '']</t>
  </si>
  <si>
    <t>['bagus', 'bagus', 'klw', 'dilengkapi', 'perbarui', '']</t>
  </si>
  <si>
    <t>['indihome', 'wifi', 'membantu', 'mengirit', 'paket', 'data', 'keluarga', 'dirumah', 'thanks', 'indihome', '']</t>
  </si>
  <si>
    <t>['aplikasi', 'modern', 'kerennn', '']</t>
  </si>
  <si>
    <t>['desainnya', 'informatif', 'mudah', 'dipahami', 'keselurhan', 'udah', '']</t>
  </si>
  <si>
    <t>['jaringan', 'mantap']</t>
  </si>
  <si>
    <t>['aplikasi', 'enak', 'pilih', 'paket', 'daftar', 'sekedar', 'cek', 'ketersediaan', 'jaringan', 'lokasi', 'harap', 'aplikasi', 'myindihome', 'optimalkan', 'lancar', '']</t>
  </si>
  <si>
    <t>['tim', 'indihome', 'kreatif', 'menambah', 'tombol', 'reset', 'pengaturan', 'password', 'router', 'indihome', 'darimana', 'online', '']</t>
  </si>
  <si>
    <t>['aplikasi', 'indihome', 'membantu', 'sekalii', 'mantappp', 'pokoknya', '']</t>
  </si>
  <si>
    <t>['hidup', 'lemootttttttt', 'terkadang', 'suka', 'gangguann', '']</t>
  </si>
  <si>
    <t>['pakai', 'indihome', 'jaringan', 'memuaskan', 'membantu', 'apapun', 'terimakasih', 'indihome', '']</t>
  </si>
  <si>
    <t>['teruskan', 'kualitas', 'terbaiknya']</t>
  </si>
  <si>
    <t>['internet', 'bayar', 'jaringan']</t>
  </si>
  <si>
    <t>['bagus', 'pembaharuan', 'hancur', 'aplikasinya', 'dibuka', 'aplikasi', 'sampah', 'tolong', 'diperbaiki', '']</t>
  </si>
  <si>
    <t>['poin', 'masuk', 'terima', 'kasih', 'pelayanan', 'admin', 'telkom', 'pengaduan', 'twitter', 'telepon', 'langsung', 'tinggal', 'tukarin', 'poin']</t>
  </si>
  <si>
    <t>['mantaaap', '']</t>
  </si>
  <si>
    <t>['', 'bad', 'tanggapan', 'membutuhkan', 'solusi', 'membutuhkan', 'bantuan', 'balasan', 'cma', 'pembayaran', 'rajin', 'email', 'nelpun', 'keluhan', 'pelanggan', 'koneksi', 'mengganti', 'passwood', 'wifi', 'respont', 'sedikitpun', 'peduli', 'kebutuhan', 'cuatomer', 'kecewa', 'gua', '']</t>
  </si>
  <si>
    <t>['performance', 'improvement']</t>
  </si>
  <si>
    <t>['masuk', 'kemarin', 'enak', 'klau', 'cek', 'disuruh', 'password', 'masukkan', 'email', 'uda', 'mala', 'uda', 'berlangganan', 'tolong', 'dipermudah', 'sulit', 'klau', 'terlambat', 'bayar', 'langsung', 'putus']</t>
  </si>
  <si>
    <t>['terima', 'kasih', 'indihome', 'membantu', 'pekerjaan', 'penjualan', 'produk', 'sistem', 'digital', 'maju', 'sukses', 'indihome', '']</t>
  </si>
  <si>
    <t>['kecepatan', 'bagus', 'pakai', 'berdua', 'suami', 'kali', 'eror', 'nggak', 'pakai', 'alhamdulillah', 'petugasnya', 'kerumah', 'gangguan', 'petugasnya', 'ramah', 'semoga', 'peningkatan', 'segi', 'kualitas', 'peyanan', '']</t>
  </si>
  <si>
    <t>['aplikasinya', 'berjalan', 'kendalaa', 'memudahkan', 'sekalii']</t>
  </si>
  <si>
    <t>['', 'comen', 'deh']</t>
  </si>
  <si>
    <t>['lemot', 'lelet', 'parah']</t>
  </si>
  <si>
    <t>['dimana', 'perbaikannya', 'versi', 'loading', 'lambat', 'fitur', 'nilai', 'perubahan', 'sekelas', 'produk', 'bumn', 'hasilnya', 'semoga', 'perbaikan', 'trus', '']</t>
  </si>
  <si>
    <t>['', 'update', 'lemott']</t>
  </si>
  <si>
    <t>['perbaikan', 'diselesaikan', 'lumayan', 'cepat', 'semoga', 'pelayanan', '']</t>
  </si>
  <si>
    <t>['aplikasi', 'update', 'lelet', 'verifikasi', 'ulang', 'buka', 'menu', 'membutuhkan', 'indihome', 'jelek', 'layanan', 'offline', 'bagus', 'aplikasinya', 'jelek', '']</t>
  </si>
  <si>
    <t>['update', 'lemooooottttttttttt', '']</t>
  </si>
  <si>
    <t>['versi', 'mantul', '']</t>
  </si>
  <si>
    <t>['membantu', 'kendala', 'wifi', 'langsung', 'tangani', 'pelayanan', 'oke', 'banget', 'memuaskan']</t>
  </si>
  <si>
    <t>['membantu', 'memantau', 'cek', 'info', 'modem', 'tanks', 'indihome']</t>
  </si>
  <si>
    <t>['indihome', 'kemarin', 'gangguan', 'indonesia', 'rumah', 'diperbaiki', 'nyala', 'mati', 'gimana', 'tugas', 'online', 'kesel', 'gini']</t>
  </si>
  <si>
    <t>['ribet', '']</t>
  </si>
  <si>
    <t>['kacau', 'update', 'ssah', 'masuk', 'aplikasi']</t>
  </si>
  <si>
    <t>['thn', 'berlangganan', 'komplen', 'cepat', 'tanggapu', 'sllu', 'dapet', 'poin', 'rewerd', 'tuker', 'vocer', 'tingkiyuu', 'indihome']</t>
  </si>
  <si>
    <t>['nilai']</t>
  </si>
  <si>
    <t>['aplikasi', 'praktis', 'bermanfaat', 'keluhan', 'cepat', 'jaringan', 'gangguan', '']</t>
  </si>
  <si>
    <t>['waow', 'bagus', 'tingkatkan', 'bug']</t>
  </si>
  <si>
    <t>['sipp', 'apknya', '']</t>
  </si>
  <si>
    <t>['indihome', 'hebat', 'tiada', 'duanya']</t>
  </si>
  <si>
    <t>['membantu', 'menambah', 'siaran', 'pengecekan', 'pemakaian', 'tanggal', 'jatuh', 'tempo', 'pembayaran']</t>
  </si>
  <si>
    <t>['bagus', 'recomend', 'internet', 'rumahan']</t>
  </si>
  <si>
    <t>['bagus', 'aplikasi', 'model', 'nyaman', 'uiux', 'mudah', 'mengerti', 'bagus', 'desain', 'maju', 'indihome', 'telkom']</t>
  </si>
  <si>
    <t>['aplikasi', 'bermanfaat', 'pembayaran', 'indihome', 'bagus', 'menukarkan', 'point', 'semoga', 'ditingkatkan', 'sukses']</t>
  </si>
  <si>
    <t>['', 'tuker', 'poin', 'lounge', 'bandara', 'yia', 'tanggal', 'nopember', 'aplikasi', 'indihome', 'bandara', 'alasan', 'lounge', 'belom', 'kerja', 'smg', 'kedepan', 'lbh', 'layanan', 'penukaran', 'poin', 'php', '']</t>
  </si>
  <si>
    <t>['tampilan', 'aplikasi', 'berubah', 'fitur', 'komplain', 'udah', 'lapor', 'jumat', 'jaringan', 'akses', 'senin', 'benerin', 'remainder', 'tagihan', 'cepet', 'banget', 'lapor', 'jaringan', 'rusak', 'diem', 'bae', '']</t>
  </si>
  <si>
    <t>['josss']</t>
  </si>
  <si>
    <t>['aplikasi', 'membantu', 'pelanggan', 'indihome', 'keluhan', 'bayar', 'upgrade', 'add', 'langganan', '']</t>
  </si>
  <si>
    <t>['mudah', 'gampang', 'komplain', 'membantu', 'saran', 'aplikasinya', 'leboh', 'ringan', 'karna', 'loadingnya', 'kadang']</t>
  </si>
  <si>
    <t>['aplikasi', 'indihome', 'date', 'mudah', 'manfaat', '']</t>
  </si>
  <si>
    <t>['membantu', 'semoga', 'suskes', 'lov', '']</t>
  </si>
  <si>
    <t>['pelanggan', 'indihome', 'kendala', 'trims', 'indihome']</t>
  </si>
  <si>
    <t>['customer', 'service', 'cpt', 'menindak', 'lanjuti', 'keluhan', 'jaringan']</t>
  </si>
  <si>
    <t>['aplikasi', 'mempermudah', 'pembayaran', 'lihat', 'tagihan', 'tanggal', 'permbayaran']</t>
  </si>
  <si>
    <t>['aplikasi', 'fiturmya', 'buka', 'loadingnya', 'lambat', 'masuk', 'menu', 'smoga', 'cepat', 'perbaiki', 'maju', 'indihome', '']</t>
  </si>
  <si>
    <t>['membantu', 'pengecekan', 'info', 'data', 'berlangganan', 'pemakaian', 'terimakasih']</t>
  </si>
  <si>
    <t>['aplikasi', 'terbaru', 'fitur', 'informatif', 'terkait', 'paket', 'rinci', 'benefit']</t>
  </si>
  <si>
    <t>['indihome', 'berguna', 'drumah', 'krna', 'drmh', 'kmi', 'susah', 'signal']</t>
  </si>
  <si>
    <t>['murah', 'berkualitas', 'memuaskan']</t>
  </si>
  <si>
    <t>['perubahan', 'tampilan', 'aplikasi', 'bagus', 'mohon', 'tingkat', 'karna', 'lambat', 'memuat', 'aplikasi', 'makasih', '']</t>
  </si>
  <si>
    <t>['pelanggan', 'indihome', 'th', 'alhamdulillah', 'lancar', 'trouble', 'problem', 'jaringan', 'lancar', 'kali', 'kasih', 'gift', 'pelanggan', 'setia', 'wkwkw', 'sukses']</t>
  </si>
  <si>
    <t>['menarik', 'mudah', 'dimengerti', 'tingkatkan', '']</t>
  </si>
  <si>
    <t>['udah', 'bosan', 'laporan', 'gangguan', 'aplikasi', 'balasannya', 'gangguan', 'massal', 'lapor', 'siang', 'diperbaiki', 'normalnya', 'besoknya', 'bayar', 'full', 'mbps', 'dapetnya', 'mbps', 'ngaco', 'kompensasi', 'gangguan', 'gini', 'deh', 'tunggu', 'konsumen', 'kabur', 'liat', 'ratingnya', 'udah', 'ketauan']</t>
  </si>
  <si>
    <t>['aplikasi', 'indihome', 'lemot', 'super']</t>
  </si>
  <si>
    <t>['update', 'kacau', 'balau']</t>
  </si>
  <si>
    <t>['brengsek', 'app', 'indihome', 'skrng', 'error', 'trs', 'login']</t>
  </si>
  <si>
    <t>['developer', 'koplok', 'sekelas', 'bumn', 'developer', 'gini', 'semprull', 'update', 'kemarin', 'lancar', 'update', 'iming', 'tampilan', 'coba', 'update', 'tampilan', 'doang', 'fungsi', 'diutamakan', 'woyyyy', 'lemot', 'parah', 'aplikasi', 'bug', '']</t>
  </si>
  <si>
    <t>['bingung', 'pasang', 'wifi', 'dapet', 'rekomendasi', 'review', 'google', 'pasang', 'indihome', 'harganya', 'terjangkau', 'sinyalnya', 'bagus', 'teknisi', 'indihome', 'fast', 'respon', 'gangguan', 'alhamdulillah', 'berlangganan', 'dapet', 'potongan', 'pembayaran', 'tagihan', 'berlangganan', 'memuaskan', 'deh', 'pokoknya', 'terimakasih', 'indihome', 'semoga', 'memuaskan', 'pelanggan', '']</t>
  </si>
  <si>
    <t>['ngelag', 'lelet', 'apk']</t>
  </si>
  <si>
    <t>['sorry', 'aplikasi', 'menjengkelkan', 'beda', 'banget', 'aplikasi', 'simpel']</t>
  </si>
  <si>
    <t>['download', 'aplikasi', 'berlangganan', 'wifi', 'indihome', 'mengunggah', 'mengupload', 'data', 'pribadi', 'syarat', 'berlangganan', 'gagal', 'muncul', 'pemberitahuan', 'perbaikan', 'harap', 'akses', 'data', 'disimpan', 'draft', 'perbaikan', 'selesai', 'tinggal', 'upload', 'mohon', 'ditingkatkan', 'kelancarannya', '']</t>
  </si>
  <si>
    <t>['susah', 'acces', 'updatd', 'login', 'susah', 'tolong', 'perbaiki']</t>
  </si>
  <si>
    <t>['ngajak', 'ribut', 'aplikasi', 'nomor', 'udah', 'terdaftar', 'website', 'aplikasi', 'login', 'terdaftar', '']</t>
  </si>
  <si>
    <t>['renew', 'speed', 'perbaiki', '']</t>
  </si>
  <si>
    <t>['registrasi', 'susah', 'banget', 'sihhhh', 'kecewaa']</t>
  </si>
  <si>
    <t>['jaringan', 'kemarin', 'leg', 'indihome', 'tolol']</t>
  </si>
  <si>
    <t>['apk', 'cerdas', 'orang', 'kesulitan', 'masuk', 'mendaftar', 'apk', 'lanjutkan', 'apk', 'kaya', 'gini', 'sdm', 'rendah', 'mikirin', 'orang']</t>
  </si>
  <si>
    <t>['update', 'lemot', 'aplikasi', 'busuk', 'aplikasi', 'milik', 'pemerintah', 'sejelek', 'malu', 'cari', 'pakar', 'mumpuni', 'tolol', 'muak', 'buka', 'buka', 'loading', 'trs', '']</t>
  </si>
  <si>
    <t>['update', 'kacau', 'mending', 'versi', 'login', 'susah', 'ngecek', 'riwayat', 'pembayaran', 'gini', 'salah', 'password', 'disuruh', 'nunggu', 'jam', 'aplikasi', 'indihome', 'mobile', 'banking', 'lebay', 'proteksi', 'disuruh', 'ubah', 'password', 'tombol', 'hadehh', 'sampe', 'skrg', 'blom', 'login', '']</t>
  </si>
  <si>
    <t>['fitur', 'maksimal', 'contohnya', 'pengaduan', 'gangguan', 'aplikasi', 'eror', 'costumer', 'mendengar', 'maaf', 'telkom']</t>
  </si>
  <si>
    <t>['kode', 'otp', 'salah', 'ulangi', 'kode', 'otp', 'salah', '']</t>
  </si>
  <si>
    <t>['', 'isp', 'apk']</t>
  </si>
  <si>
    <t>['indihome', 'lelet', 'gaguna', 'gerammm', 'tolong', 'indihome', 'memperbaiki', 'jaringan']</t>
  </si>
  <si>
    <t>['apk', 'paokk', 'susah', 'bner', 'masuknya', 'minggu', 'verifikasi', 'ulang', 'teruss', 'aplikasinya', 'lemot', 'bnerin', 'napa', 'apknya', 'ngk', 'nyusahin', 'kek', 'bgni']</t>
  </si>
  <si>
    <t>['tolong', 'ditingkatkan', 'room', 'fitur', 'aplikasi', 'lemot', 'paya']</t>
  </si>
  <si>
    <t>['update', 'buruk', 'aplikasi', 'ribet', 'masuk']</t>
  </si>
  <si>
    <t>['woi', 'kirim', 'otp', 'server', 'perbaiki', 'servernyan', 'tolol']</t>
  </si>
  <si>
    <t>['versi', 'terbaru', 'info', 'perangkat', 'terhubung', 'lemot', 'diakses']</t>
  </si>
  <si>
    <t>['cacat', '']</t>
  </si>
  <si>
    <t>['pembaruan', 'aplikasi', 'aplikasinya', 'buka', 'lemot', 'banget', 'cek', 'perangkat', 'pengguna', 'jaringan', 'wifi', 'tolong', 'perbaikan', '']</t>
  </si>
  <si>
    <t>['aplikasi', 'lambat', 'buruk', 'update', 'versi', 'ringan']</t>
  </si>
  <si>
    <t>['aplikasi', 'powerfull', 'loading']</t>
  </si>
  <si>
    <t>['aplikasinya', 'lemottttt', 'wifi', 'kenceng', 'memory', 'ram', 'herannnnn']</t>
  </si>
  <si>
    <t>['msh', 'bagus', 'aplikasi', 'tks']</t>
  </si>
  <si>
    <t>['minggu', 'melaporkan', 'koneksi', 'teknisi', 'connect', 'kejadian', 'connect', 'menunggu', 'minggu', 'connect', 'connect', 'minggu', 'disconnect', 'tagihan', 'cepat', 'menghubungi', 'pelanggan', '']</t>
  </si>
  <si>
    <t>['appaan', 'pengaduan', 'layanan', 'teknisi', 'kesini', 'udah', 'kali', 'lapor', '']</t>
  </si>
  <si>
    <t>['perbarui', 'jelek', 'buka', 'profil', 'fitur']</t>
  </si>
  <si>
    <t>['saran', 'perbaikan', 'stabilitas', 'performa', 'koneksi', 'utamakan']</t>
  </si>
  <si>
    <t>['aplikasi', 'lemot', 'fitur', 'menghubungi', 'langsung', 'customer', 'care']</t>
  </si>
  <si>
    <t>['diperbarui', 'diakses']</t>
  </si>
  <si>
    <t>['aplikasi', 'error']</t>
  </si>
  <si>
    <t>['pakai', 'add', 'wifi', 'berhubung', 'ganti', 'add', 'hilang', 'beli', 'add', 'disuruh', 'upgrade', 'paket', 'internetnya', 'sistemnya', 'puyeng', '']</t>
  </si>
  <si>
    <t>['wifi', 'udah', 'bayar', 'lemot', 'buka', 'app', 'indihome', 'optimal', 'pindah', 'nomor', 'indihome', 'lemot', 'kualitas', 'indihomo', '']</t>
  </si>
  <si>
    <t>['jaringannya', 'bermasalah', 'streaming', 'lancar', 'ngegame', 'ngga', 'ngedown']</t>
  </si>
  <si>
    <t>['open', 'apk', 'sungguh', 'jaringan', 'lemot', 'buka', 'apk', 'ringan', 'perbaiki', '']</t>
  </si>
  <si>
    <t>['udah', 'serimg', 'error', 'berhari', 'seminggu', 'error', 'pembayaran', 'telat', 'sehari', 'diputuss', 'pakai', 'indihome', 'deh', 'rugi', 'gaess', 'mending', 'pakai', 'data', 'itung', 'itung', 'hemat', 'beli', 'data', 'ketimbang', 'langganan', 'internet', 'pakai', 'indihome', 'dibawa', 'kemana', '']</t>
  </si>
  <si>
    <t>['parah', 'aplikasi']</t>
  </si>
  <si>
    <t>['hbis', 'update', 'log', 'out', 'susah', 'tuk', 'login', 'parah', 'telat', 'bayar', 'telpon', 'trus', 'kerusakan', 'jaringan', 'indihome', 'indihome', 'ndak', '']</t>
  </si>
  <si>
    <t>['perbaikannya', 'cepat', 'tanggap']</t>
  </si>
  <si>
    <t>['update', 'susah', 'log']</t>
  </si>
  <si>
    <t>['woi', 'aplikasi', 'kayak', 'lelet', 'otak', 'aplikasi', 'telfon', 'selesaikan', 'bagus', 'perbarui', 'aplikasi', 'lelet', 'kayak', 'siput', 'orang', 'emosi', 'perbarui', 'aplikasi', 'taik']</t>
  </si>
  <si>
    <t>['loding', 'lambat', 'banget', 'capek', 'nunggu']</t>
  </si>
  <si>
    <t>['bermanfaat']</t>
  </si>
  <si>
    <t>['ngebug', 'apk']</t>
  </si>
  <si>
    <t>['aplikasi', 'mudah', 'memudahkan', 'pengaduan', 'memudahkan', 'meihat', 'tagihan', 'perbulan', '']</t>
  </si>
  <si>
    <t>['gabisa', 'login', 'najiss', 'ripuh', 'kualitas', 'lokal', 'rusak']</t>
  </si>
  <si>
    <t>['mohon', 'ijin', 'update', 'susah', 'login', 'kemarin', 'kemarin', 'udah', 'top', 'aplikasi', 'tolong', 'perbaiki', 'makasih']</t>
  </si>
  <si>
    <t>['myindihome', 'mengecewakan', 'memiliki', 'fitur', 'keren']</t>
  </si>
  <si>
    <t>['mendwonlod', 'susahnya', 'apun', '']</t>
  </si>
  <si>
    <t>['lelet', 'skli', 'tolong', 'balikin', 'aplikasi', 'mempermudah', 'tolooong', '']</t>
  </si>
  <si>
    <t>['pelayanan', 'teknisinya', 'bagus', 'ate', 'suryana', 'teknisi', 'beges', 'pembohong', 'laporannya', 'terselesaikan', 'tangani', 'ditelfon', 'pindah', 'lokasi', 'pindah', 'diselesaikan', 'merugikan', 'pelanggan', '']</t>
  </si>
  <si>
    <t>['sekelas', 'indihome', 'build', 'apps', 'lemot', 'parah']</t>
  </si>
  <si>
    <t>['ribet', 'update']</t>
  </si>
  <si>
    <t>['kemarin', 'update', 'udah', 'bagus', 'rekening', 'indihome', 'ribet', 'aplikasi', 'email', 'nomor', '']</t>
  </si>
  <si>
    <t>['bener', 'apk', 'update']</t>
  </si>
  <si>
    <t>['myindihome', 'keren', 'tuker', 'point', 'lihat', 'tagihan', 'detail']</t>
  </si>
  <si>
    <t>['aplikasi', 'login', 'pembaharuan', 'milik', 'bumn', 'aplikasi', 'kya', 'gin', 'pantesan', 'maju', '']</t>
  </si>
  <si>
    <t>['login', 'susah', 'lemot', 'bener', 'servernya']</t>
  </si>
  <si>
    <t>['monyet', 'aplikasi', 'update', 'hancur', 'log', 'orang', 'itnya', 'aplikasi', 'sok', 'jago', 'makan', 'gaji', 'buta', '']</t>
  </si>
  <si>
    <t>['aplikasi', 'susah', 'login']</t>
  </si>
  <si>
    <t>['susah', 'buka', 'aplikasi', 'indihome']</t>
  </si>
  <si>
    <t>['aplikasi', 'membantu', 'pemenuhan', 'kebutuhan', 'internet', 'sehari', 'penjelasan', 'produk']</t>
  </si>
  <si>
    <t>['aplikasi', 'perusahaan', 'koq', 'kayak', 'login', 'susah', 'udah', 'email', 'nomor', 'tlp', 'gimana', 'bayar', 'coba', 'nomor', 'wifinya', 'lupa', 'login']</t>
  </si>
  <si>
    <t>['semoga', 'menguatkan', 'sinyal', 'kalah', 'semangat', 'indihome']</t>
  </si>
  <si>
    <t>['ribet', 'bin', 'njlimet', 'mumet']</t>
  </si>
  <si>
    <t>['susah', 'log', 'membantu']</t>
  </si>
  <si>
    <t>['gimana', 'diperbarui', 'login', 'susah', 'banget', 'apknya', 'bobrok', '']</t>
  </si>
  <si>
    <t>['tlg', 'perbaiki', 'apknya', 'byk', 'menu', 'add', 'seamless', '']</t>
  </si>
  <si>
    <t>['jlek']</t>
  </si>
  <si>
    <t>['jelek', 'benget', 'sinyalnya', 'pilihan', 'indihome', '']</t>
  </si>
  <si>
    <t>['jelek', 'apk', 'login']</t>
  </si>
  <si>
    <t>['kali', 'aplikasi', 'hang', 'restart', 'pilihan', 'kota', 'sidoarjo']</t>
  </si>
  <si>
    <t>['lambat', 'penanganannya', 'gangguan', 'login', 'susahnya', 'ampun', 'emang', 'layanan', 'ditingkatkan', 'login']</t>
  </si>
  <si>
    <t>['aplikasi', 'buruk', 'loading', 'berulang', 'ulang', 'kali', 'masukkan', 'kode', 'otp', 'salah', 'udah', 'nungguin', 'salah', 'hapuskan', 'aplikasi', 'kaya', 'gini', 'saran', 'download', 'apk', 'mending', 'mengecewakan', 'full', 'penyimpanan', '']</t>
  </si>
  <si>
    <t>['myindihome', 'memudahkan', 'mengatur', 'user', 'friendly', 'lihat', 'tagihannya']</t>
  </si>
  <si>
    <t>['aplikasi', 'buruk']</t>
  </si>
  <si>
    <t>['update', 'otomatis', 'nggak', 'masuk', 'login', 'salah', 'password', 'reset', 'loading', 'update', 'terbaru', 'dikeluarin', '']</t>
  </si>
  <si>
    <t>['aplikasi', 'tolol', 'penyedia', 'langganan', 'internet', 'lemot', 'emosi', '']</t>
  </si>
  <si>
    <t>['tolong', 'apk', 'lemot', 'update', 'kecewa']</t>
  </si>
  <si>
    <t>['babiii', 'apk', 'login', 'gagal', 'anjeeeng']</t>
  </si>
  <si>
    <t>['jelek', 'banget', 'aplikasinya', 'indihome', 'login']</t>
  </si>
  <si>
    <t>['diperbajarui', 'masuk', 'gagal', 'perbaiki', 'min', 'apknya', 'nemu', 'solusi', 'hapus', 'dri', 'playstore', 'apknya']</t>
  </si>
  <si>
    <t>['aplikasinya', 'lelet']</t>
  </si>
  <si>
    <t>['aplikasi', 'lelet', 'sanga', 'sesuai', 'nama']</t>
  </si>
  <si>
    <t>['jelek', 'burik', 'sampah', 'berguna']</t>
  </si>
  <si>
    <t>['kebanyakan', 'errornya']</t>
  </si>
  <si>
    <t>['ngak', 'masukan', 'sandi', '']</t>
  </si>
  <si>
    <t>['jaringan', 'lelet', 'laporan', 'jarang', 'respon', 'sampe', 'sebulan', 'telvon', 'itupun', 'menutup', 'tiket', 'pelaporan', 'perbaikan', 'laporan', 'lelet']</t>
  </si>
  <si>
    <t>['mohon', 'pemingkatan', 'layanan', 'internet']</t>
  </si>
  <si>
    <t>['update', 'versi', 'terbaru', 'susah', 'login', 'indihome', 'kagak', 'gangguan', 'gimana']</t>
  </si>
  <si>
    <t>['login', 'perbaikan', 'tolong', 'infonya']</t>
  </si>
  <si>
    <t>['masuk', 'hapus', 'aplikasi', 'masuk', 'gunanya']</t>
  </si>
  <si>
    <t>['min', 'semalem', 'log', 'gimana', '']</t>
  </si>
  <si>
    <t>['pelayanan', 'ramah', 'sinyal', 'internet', 'stabil', 'merekomendasikan', 'pemasangan', 'jaringan', 'internet', 'indihome', 'tetangga', 'sodara', '']</t>
  </si>
  <si>
    <t>['updatenya', 'diuji', 'buka', 'aplikasi', 'muter', 'muter', 'sampe', 'pemberitahuan', 'peningkatan', 'layanan', 'update', 'update', 'tgl', 'kemaren', '']</t>
  </si>
  <si>
    <t>['iihhh', 'sebel', 'aplikasi', 'login', 'udah', 'nlpon', 'disuruh', 'cek', 'berkala', 'iya', 'masuk', '']</t>
  </si>
  <si>
    <t>['sinyal', 'wifi', 'indihome', 'emang', 'burik']</t>
  </si>
  <si>
    <t>['abal', 'abal', 'login']</t>
  </si>
  <si>
    <t>['susah', 'login']</t>
  </si>
  <si>
    <t>['dipersulit', 'login', 'email', 'msh', 'konfim', 'sms', 'ato', 'trs', 'sms', 'confim', 'ditunggu', 'enggk', 'aneeh', '']</t>
  </si>
  <si>
    <t>['aplikasi', 'berguna', 'simpel']</t>
  </si>
  <si>
    <t>['update', 'login', 'ampun', 'apk']</t>
  </si>
  <si>
    <t>['lemot', 'parah', 'pembaharuan', '']</t>
  </si>
  <si>
    <t>['hati', 'pelayan', 'cepat', 'semoga', 'sukses', 'jaya', 'trs', 'indihome']</t>
  </si>
  <si>
    <t>['aplikasi', 'goblok', 'login', 'ngelek', 'ampun', 'salamin', 'progammer', 'orng', 'jaringan', 'telkom', 'gblok', 'smua', 'skolah', 'login', 'pass', 'ngeleknya', 'ampun', 'dongo']</t>
  </si>
  <si>
    <t>['aplikasi', 'burik']</t>
  </si>
  <si>
    <t>['ganti', 'mah', 'aplikasi', 'susah', 'masuk', 'mening', 'jaringan', 'sebelah']</t>
  </si>
  <si>
    <t>['aplikasi', 'update']</t>
  </si>
  <si>
    <t>['login', 'parah', 'nihh', '']</t>
  </si>
  <si>
    <t>['penanganan', 'secepat', 'pembayaran', 'bulannya', 'pasang', 'mahal', 'kecewa', 'sya', '']</t>
  </si>
  <si>
    <t>['aplikasi', 'sangan', 'membantu', 'mantap']</t>
  </si>
  <si>
    <t>['apps', 'jelek', 'loading', 'seluler', 'tsel', 'coba', 'speedtest', 'mbps', 'loading', 'doang', 'buset', 'perbaikin', 'aplikasi', 'jelek']</t>
  </si>
  <si>
    <t>['akses', 'applikasinya', 'update']</t>
  </si>
  <si>
    <t>['login', 'aplikasi', 'loading', 'parah']</t>
  </si>
  <si>
    <t>['pembaruannya', 'jelek', 'login', '']</t>
  </si>
  <si>
    <t>['myindihome', 'sukses', 'aminnn']</t>
  </si>
  <si>
    <t>['berat', 'banget', 'masuk', 'susah', 'bener', 'bayar', 'kaga', '']</t>
  </si>
  <si>
    <t>['', 'niat', 'ngasih', 'sinyal']</t>
  </si>
  <si>
    <t>['stiap', 'byar', 'ganguan', 'mulu', 'sengaja', 'kenakan', 'denda', 'terlambat', '']</t>
  </si>
  <si>
    <t>['telat', 'internet', 'udah', 'mati', 'denda', 'jalan', 'bayar', 'gannguan', 'kemarin']</t>
  </si>
  <si>
    <t>['susah', 'log', 'bayar', 'susah', 'gangguan', 'giliran', 'masuk', 'denda', 'bayar', '']</t>
  </si>
  <si>
    <t>['apk', 'memudahkan', 'menyusahkan', 'masuk', 'susah', 'banget', '']</t>
  </si>
  <si>
    <t>['tolong', 'cek', 'nomor', 'banget', 'udh', 'update', 'msh', 'gaada', 'perubahan', 'koneksi', 'internet', 'down', '']</t>
  </si>
  <si>
    <t>['log', 'bufering', 'susah', 'masuknya', 'mohon', 'diperbaiki', 'apknya', '']</t>
  </si>
  <si>
    <t>['masuk', 'aplikasinyaa']</t>
  </si>
  <si>
    <t>['gabisa', 'login', 'gabisa', 'byar', 'tagihan', 'internet', 'mati', 'pembodohan', 'otw', 'ganti', 'provider', '']</t>
  </si>
  <si>
    <t>['updated', 'masuk']</t>
  </si>
  <si>
    <t>['update', 'smkin', 'ribet', 'pembayaran', 'sulit', 'alhasil', 'terisolir', 'masuk', 'daftar', 'blacklist', 'kemren', 'bayar', 'app', 'dana', 'udah', 'kelar', 'dbayar', 'muncul', 'pesan', 'peningkatan', 'layanan', 'indiehome']</t>
  </si>
  <si>
    <t>['tolong', 'diperbaiki', 'service', 'aplikasinya', 'login', 'gabisa', 'pembayaran', 'didalam', 'apps']</t>
  </si>
  <si>
    <t>['masak', 'login', 'game', 'chat', 'gabisa', 'sinyal', 'jelek', 'bet', 'lho']</t>
  </si>
  <si>
    <t>['app', 'buka', 'bayar', 'shopy', 'trus', 'gimana', 'indihome', 'pidah', 'firs', 'media', 'yuk', 'pindah', 'fira', 'media', 'nyesel', 'pasang', 'indihome']</t>
  </si>
  <si>
    <t>['udah', 'update', 'aplikasi', 'mengecewakan', 'cacad', 'sumpah', 'bagusan', 'late', 'version', 'beta', 'tetep', 'kesen', 'mengecewakan', 'bug']</t>
  </si>
  <si>
    <t>['settan', 'gua', 'bayar', 'telat', 'gangguan', 'mulu', 'mati', 'parah', 'sampe', 'gua', 'ttep', 'bayar', 'sesuai', 'angsuran', 'sma', 'kebijaksanaan', 'antek', 'indihome', 'indihome', 'merugikan', 'anjink', '']</t>
  </si>
  <si>
    <t>['bug']</t>
  </si>
  <si>
    <t>['parah', 'aplikasi', 'login', 'gitu', 'update']</t>
  </si>
  <si>
    <t>['aplikasi', 'model', 'kaya', 'aplikasi', 'produk', 'ecek', 'ecek']</t>
  </si>
  <si>
    <t>['', 'aplikasi', 'email', 'berguna', 'parah', 'gini', 'minim', 'pelayanan', 'kayaknya', 'hrs', 'ganti', 'provider', 'lbh', '']</t>
  </si>
  <si>
    <t>['pembayaran', 'tagihan', 'putuskan', 'wifi']</t>
  </si>
  <si>
    <t>['apk', 'lelet', '']</t>
  </si>
  <si>
    <t>['butut', 'verifikasi']</t>
  </si>
  <si>
    <t>['bayar', 'persulit', 'karna', 'susah', 'masuk', 'aplikasi', 'indihome', 'cek', 'jdi', 'jatuh', 'tempo', 'kecewa', 'playanan', '']</t>
  </si>
  <si>
    <t>['', 'log', 'apk', 'aduh', 'lapor', 'jaringan', 'lemot', '']</t>
  </si>
  <si>
    <t>['gagal', 'login', 'ngerefers', 'nampiliin', 'koten', 'masuk', 'udah', 'melengkapi', 'data', 'pengajuan']</t>
  </si>
  <si>
    <t>['kek', 'kntl', 'aplikasinya', 'susah', 'kali', 'gunaka']</t>
  </si>
  <si>
    <t>['najis', 'banget', 'gustiiii', 'aplikasinya', 'lemot', 'login', 'kirim', 'verifikasi', 'lemot', 'hih', 'bad', 'sekelas', 'bumn', 'apalikasinya', 'kaya', 'gitu', '']</t>
  </si>
  <si>
    <t>['update', 'login', 'update', 'login', 'update', 'logout', 'login', 'layanan', 'tingkatkan', 'mah', 'bkn', 'tingkatkan', 'perjelek', '']</t>
  </si>
  <si>
    <t>['', 'the', 'best']</t>
  </si>
  <si>
    <t>['aplikasi', 'login', 'susah', 'ampun']</t>
  </si>
  <si>
    <t>['aplikasi', 'perasaan', 'pakai', 'indihome', 'aplikasi', 'bug', 'systemnya', 'bermasalah', 'kayak', 'login', 'web', 'tujuanya', 'mempermudah', 'pengguna', 'mempersulit', 'pengguna', '']</t>
  </si>
  <si>
    <t>['update', 'apk', 'berat', 'dibuka', 'loading', 'banget', 'login', 'update', 'bukanya', 'bagus', 'apk', 'jelek', 'berat', 'buka', 'hape', 'ram', 'gede', 'kaya', 'buka', 'hape', 'ram', 'gb', '']</t>
  </si>
  <si>
    <t>['login', 'maintenance', '']</t>
  </si>
  <si>
    <t>['aplikasi', 'login', 'masukkan', 'email', 'nomor', 'telepon', 'masuk', 'gagal', 'loginnya']</t>
  </si>
  <si>
    <t>['maaf', 'mengganggu', 'bos', 'bayar', 'indihome', 'gangguan', 'denda', '']</t>
  </si>
  <si>
    <t>['semoga', 'lancar', 'ditingkatkan', 'aplikasi', 'pelayanan', 'customer', 'servicenya', 'keep', 'the', 'good', 'work', '']</t>
  </si>
  <si>
    <t>['indihome', 'emang', 'nyesel', 'lancar', 'jaringannya', 'jarang', 'banget', 'down']</t>
  </si>
  <si>
    <t>['udah', 'bayar', 'indihome', 'pakai', 'gopay', 'tanggal', 'tanggal', 'putusin', 'internet', 'telf', 'smpai', 'kali', 'proses', 'skrng']</t>
  </si>
  <si>
    <t>['aplikasinya', 'bagus', 'berguna', 'banget']</t>
  </si>
  <si>
    <t>['aplikasi', 'sgt', 'berguna', 'membayar', 'tagihan', 'membeli', 'add', '']</t>
  </si>
  <si>
    <t>['mudah', 'bagus', 'thanks']</t>
  </si>
  <si>
    <t>['customer', 'service', 'membantu']</t>
  </si>
  <si>
    <t>['keren', 'aplikasi', 'barunya', 'fresh', 'intuitif']</t>
  </si>
  <si>
    <t>['mantab', 'jiwa', 'terima', 'kasih', 'indihome']</t>
  </si>
  <si>
    <t>['kebayang', 'internet', 'rumah', 'terima', 'kasih', 'indihome']</t>
  </si>
  <si>
    <t>['internet', 'lancar', 'keluarga', 'happy']</t>
  </si>
  <si>
    <t>['asli', 'aplikasi', 'fungsi', 'tujuannya', 'aplikasi', 'malu', 'maluin', 'plat', 'merah', '']</t>
  </si>
  <si>
    <t>['susah', 'banget', 'login', 'giliran', 'udah', 'bayar', 'via', 'alfamart', 'pemberitahuan', 'bayar', 'berhnti', 'didenda', 'setahun', 'kapitalis', 'kapitalis', 'kecewa']</t>
  </si>
  <si>
    <t>['semenjak', 'diperbarui', 'login', 'yaa']</t>
  </si>
  <si>
    <t>['tolong', 'aplikasinya', 'perbaiki', 'karna', 'buka', 'loading', '']</t>
  </si>
  <si>
    <t>['apk', 'tibatiba', 'logout', 'login', 'susah', 'sampe', 'loading', 'wifi', 'dipake', 'masuk', 'jaringan', 'terhubung', 'internet', 'pdhal', 'tagihan', 'dibayarkan', 'serba', 'daring', 'kegiatan', 'sekeluarga', 'terhambat', 'terimakasih', 'semoga', 'diperhatikan', 'diperbaiki', '']</t>
  </si>
  <si>
    <t>['parah', 'aplikasinya', 'download', 'cepat', 'keterangan', 'aplikasi', 'peningkatan', 'aplikasi', '']</t>
  </si>
  <si>
    <t>['logout', 'susah', 'login', 'aplikasi', 'ngelag', '']</t>
  </si>
  <si>
    <t>['lemot', 'banget', 'image', 'loading', 'iklan', 'cek', 'kuoata', 'pakai', 'banget', 'mending', 'aplikasi', 'simpel', 'lemot', 'aplikasi', 'ringan', 'promo', 'iklan', 'produknya', 'lemot', 'loading', 'speed', 'udah', 'langsung', 'drop', 'sampe', 'fup', '']</t>
  </si>
  <si>
    <t>['aplikasi', 'kaya', 'kakean', 'login', 'mending', 'ari', 'login', 'langsung', 'masuk', 'wis', 'pirang', 'pirang', 'login', 'ora', 'masuk', 'masuk', 'wedie', 'ora', 'bayar', 'tenan']</t>
  </si>
  <si>
    <t>['habis', 'update', 'susah', 'masuk']</t>
  </si>
  <si>
    <t>['mohon', 'membayar', 'tagihannya', 'terhubung', 'internet']</t>
  </si>
  <si>
    <t>['muter', 'lemot', '']</t>
  </si>
  <si>
    <t>['otp', 'sms', 'login', 'aplikasi', 'update', 'mohon', 'diperbaiki']</t>
  </si>
  <si>
    <t>['', 'login', 'abis', 'masukin', 'password', 'masuk', 'aplikasi', 'muncul', 'notif', 'mohon', 'maaf', 'peningkatan', 'pelayanan', 'tolong', 'dev', 'aplikasi', 'ready', 'rilis', 'bumn', 'bagus', 'pelayanan', '']</t>
  </si>
  <si>
    <t>['tagihan', 'udah', 'nggak', 'direspon', 'keluhan', 'pelanggan', 'nggak', 'direspon', 'layanan', 'memalukan', '']</t>
  </si>
  <si>
    <t>['buruk', 'enak', 'versi', '']</t>
  </si>
  <si>
    <t>['gag']</t>
  </si>
  <si>
    <t>['error', 'ganiat', 'aplikasi', '']</t>
  </si>
  <si>
    <t>['mantulllll']</t>
  </si>
  <si>
    <t>['ngga', 'login', 'aplikasi', 'ngga', '']</t>
  </si>
  <si>
    <t>['aplikasi', 'tolol']</t>
  </si>
  <si>
    <t>['', 'provider', 'apknya', 'sampah']</t>
  </si>
  <si>
    <t>['daftar', 'loadingnya', 'bnget', 'kadang', 'gagal', 'munculnya', 'perbaikan', 'peningkatan', 'sistem', 'udah', 'bagus', 'kasih', 'bintangnya', 'kasih', 'bintang']</t>
  </si>
  <si>
    <t>['update', 'versi', 'terbaru', 'akses', 'payah', 'perusahaan', 'plat', 'merah', 'aplikasinya', 'canggih']</t>
  </si>
  <si>
    <t>['', 'kesal', 'emang', 'bayar', 'tanggal', 'gangguan', 'tungguin', 'sampe', 'besok', 'gangguan', 'paginya', 'wifi', 'putus', 'telat', 'sehari', 'app', 'dibuka', 'hang', 'loading', 'rating', 'jelek', 'jajaran', '']</t>
  </si>
  <si>
    <t>['akses', 'myindihome', 'mohon', 'maaf', 'peningkatan', 'layanan', 'internet', 'dirumah', 'internet', 'laporan', 'sibuk', 'laporan', 'teknisi', 'respon', 'layanan', 'tingkatkan', '']</t>
  </si>
  <si>
    <t>['kukira', 'kencang', 'kacang']</t>
  </si>
  <si>
    <t>['bagusan', 'aplikasi']</t>
  </si>
  <si>
    <t>['', 'apk', 'update', 'mlah', 'bagus', 'troublenya', 'masuk', 'kesel']</t>
  </si>
  <si>
    <t>['gimana', 'udah', 'masuk', 'log', 'out', 'plis', 'peningkatan', 'bet']</t>
  </si>
  <si>
    <t>['apkikasinya', 'lemot']</t>
  </si>
  <si>
    <t>['kualitas', 'jaringan', 'aplikasi', 'buruk', 'udah', 'gitu', '']</t>
  </si>
  <si>
    <t>['gimana', 'apk', 'suruh', 'login', 'gabisa', 'akses', 'udah', 'ganti', 'sandi', 'tulisan', 'peningkatan', 'layanan', 'payah']</t>
  </si>
  <si>
    <t>['aplikasi', 'mengecewakan', 'update', 'skalian', 'total', 'update', 'trus', 'bka', 'ssah', '']</t>
  </si>
  <si>
    <t>['update', 'login', 'aneh', '']</t>
  </si>
  <si>
    <t>['koq', 'ribet', 'udah', 'masuk', 'email', 'sandi', 'masukin', 'kode', 'verifikasi', 'kurleb', 'menitan', 'dipake', 'apk', 'udah', 'disuruh', 'masuk', 'ulang', 'kode', 'verifi', 'hadeeeeh', 'layanan', 'koq', 'bkn', 'mudah', 'sulit', 'ribet', 'gini', 'yak', '']</t>
  </si>
  <si>
    <t>['aplikasi', 'tlg', 'diperbaiki', 'bnyak', 'kekurangan', 'developer', 'canggih', 'lbh', 'aplikasi', 'bozz', 'hrs', 'muncul', 'terbaru', 'lbh', 'tmbh', 'buruk', 'hadewh', 'capek', 'dech', '']</t>
  </si>
  <si>
    <t>['perlayanan', 'buruk', 'uang', 'jaminan', 'potongkan', 'tagihan', 'kembalikan', 'menghubungi', 'tanggal', 'oktober', 'november', 'jawabanya', 'suruh', 'tunggu', 'iyaa', 'tunggu', 'layanan', 'datanya', 'putus', 'berguna', 'pusat', 'layanan', '']</t>
  </si>
  <si>
    <t>['aplikasi', 'lemot', 'untk', 'liat', 'info', 'jaringan', 'ngak', 'konsisten', 'posisi', 'mbps', 'mbps']</t>
  </si>
  <si>
    <t>['nomer', 'tersimpan', 'otomatis', 'nomer', 'email', 'terdaftar', 'android', 'devopernya', 'penanggung', 'aplikasi', 'ditingkatkan', 'bagus', 'login', 'ketik', 'ulang', 'tingal', 'verifikasi', 'kode', 'otomatis', 'keamanan']</t>
  </si>
  <si>
    <t>['add', 'osn', 'lapor', 'update', 'aplikasi', 'login', 'ulang', 'terbaru', 'langganan', 'box', 'profil', 'indihome', 'telpon', 'heran']</t>
  </si>
  <si>
    <t>['lumayan', 'leg', 'banget', 'apk', 'barunya']</t>
  </si>
  <si>
    <t>['napa', 'suruh', 'login', 'udah', 'login', 'tetep', 'gabisa', 'dibuka', 'ahh', 'indihome', 'rivet']</t>
  </si>
  <si>
    <t>['tanggal', 'bayar', 'trouble', 'teros', 'giliran', 'masuk', 'tanggal', 'langsung', 'putus', 'masang', 'tenggat', 'sampek', 'masuk', 'tanggal', 'besoknya', 'udah', 'gabisa', 'taii', 'bener', 'indihome', 'skrg', 'kerjaan', 'beda', 'tanggal', 'gajian', 'blok', 'mikir', 'user', 'dikit', 'susah', 'bener', '']</t>
  </si>
  <si>
    <t>['login', 'akun', 'lupa', 'password', 'nomor', 'kadang', 'suka', 'hangus', 'klau', 'isi', 'pulsa', 'pls', 'perbaiki']</t>
  </si>
  <si>
    <t>['aplikasi', 'terbaik', 'gagal', 'tiket', 'pengaduan', '']</t>
  </si>
  <si>
    <t>['kecewa', 'program', 'telkom', 'pembayaran', 'tagian', 'maksimal', 'tgl', 'pembayaran', 'tgl', 'jam', 'via', 'link', 'lazada', 'tokopedia', 'harapan', 'kena', 'denda', 'ujungnya', 'dibayar', 'jam', 'dibayar', 'namanya', 'curangi', 'konsumen', 'denda', 'indonesia', 'nilai', 'sungguh', 'kecewa', 'sistem', 'manajemen', 'telkom', 'kompensasi', 'tolong', 'kekami']</t>
  </si>
  <si>
    <t>['berat', 'aplikasi', 'berat', 'darioada', 'genshin', 'impact', 'masuk', 'berbelit', 'belit', 'bayar', 'susah', '']</t>
  </si>
  <si>
    <t>['aplikasi']</t>
  </si>
  <si>
    <t>['lemot', 'banget', 'sinyalnya', 'sumpahh']</t>
  </si>
  <si>
    <t>['aplikasi', 'ngadat', 'telkom', 'nggak', 'aplikasi', 'bener', 'memalukan', 'telkom']</t>
  </si>
  <si>
    <t>['samppppaaahhhh', 'ufdate', 'login', 'susah', 'masuk', 'parah', 'parah', 'apk', 'hancur', '']</t>
  </si>
  <si>
    <t>['suka', 'aplikasi', 'aplikasi', 'memuat', 'informasi']</t>
  </si>
  <si>
    <t>['', 'suka', 'aplikasi', 'adl', 'app', 'memuat', 'informasi']</t>
  </si>
  <si>
    <t>['aplikasi', 'loading', 'coba', 'upgrade', 'paket', 'sport', 'bayar']</t>
  </si>
  <si>
    <t>['aplikasi', 'membantu', 'mantab']</t>
  </si>
  <si>
    <t>['update', 'aplikasinya', 'lemot', 'euy']</t>
  </si>
  <si>
    <t>['tolong', 'kembalikan', 'menu', 'versi', 'versi', 'susah', 'infomasi', 'dalamnya', 'loading', 'menulu', 'versi', 'lbh', 'lbh', 'memudahkan']</t>
  </si>
  <si>
    <t>['buka', 'aplikasi', 'sampek', 'sejam', 'ujung', 'error', 'bug', 'mhon', 'perbaiki']</t>
  </si>
  <si>
    <t>['aplikasi', 'myindihome', 'versi', 'terbaru', 'super', 'keren', 'tampilan', 'user', 'friendly', 'fitur', 'lengkap', 'penggunaan', 'mudah', 'semoga', 'update', 'pengalaman', 'menyenangkan', 'indihome', '']</t>
  </si>
  <si>
    <t>['bad']</t>
  </si>
  <si>
    <t>['aplikasi', 'apan', 'susah', 'banget', 'msuk', 'pdhl', 'udh', 'bebrpa', 'tpi', 'msuk', 'jga', 'mending', 'unistal']</t>
  </si>
  <si>
    <t>['teman', 'grupnya', 'telkomsel', 'update', 'dibuka', 'aplikasi', 'bodoh', '']</t>
  </si>
  <si>
    <t>['menunya', 'susah', 'akses', 'lambat', 'banget', 'update', '']</t>
  </si>
  <si>
    <t>['update', 'memperburuk', 'kualitas', 'kebalik', '']</t>
  </si>
  <si>
    <t>['haduh', 'diupdate', 'login', 'apk', 'gunaaa', '']</t>
  </si>
  <si>
    <t>['bintang']</t>
  </si>
  <si>
    <t>['', 'upgrade', 'payah', 'gabisa', 'masuk']</t>
  </si>
  <si>
    <t>['parah', 'indihome', 'gmna', 'login', 'downgrad', 'sengaja', 'ulur', 'ajh', 'gini', 'indihome']</t>
  </si>
  <si>
    <t>['blm', 'sempurna', 'aplikasinya', 'mending', 'update', 'ribet', 'skrg']</t>
  </si>
  <si>
    <t>['respon', 'pengaduan', 'cepat']</t>
  </si>
  <si>
    <t>['tgl', 'payment', 'terkendala', 'aplikasi', 'login', 'parah', 'banget', 'ayooo', 'berhenti', 'langganan', 'indihome']</t>
  </si>
  <si>
    <t>['aplikasi', 'gabisa', 'diakses', 'akunnya', 'pdhl', 'lihat', 'status', 'tagihan', 'bayar', 'mbanking', 'tokped', 'gabisa']</t>
  </si>
  <si>
    <t>['banget', 'hadiah', 'promo', 'didapet', 'poin']</t>
  </si>
  <si>
    <t>['indihome', 'kayak', 'maintenance', 'kualitas', 'jaringan', 'internet', 'memuaskan', 'mohon', 'dikoreksi', 'bener', 'salahnya']</t>
  </si>
  <si>
    <t>['tampilan', 'mudah', 'dipahami', 'update', 'terbaru', 'ditingkatkan', 'kedepannya', 'mudah', 'update', 'terbaru', 'emang', 'lambat', 'tahap', 'peningkatan', 'layanan', 'kedepannya']</t>
  </si>
  <si>
    <t>['update', 'jelek', 'sebelumx', 'lihat', 'indihome', 'sya', 'udah', 'lunas', 'belom', 'tagihanx', 'tpi', 'membingungkan', 'permudah', 'dipersulit', 'hadeh', 'nomor', 'tagihan', 'harusx', 'udah', 'terdaftar', 'cek', 'dimana', '']</t>
  </si>
  <si>
    <t>['vangke', 'login', 'jaringan', 'bagus', 'muter', 'kayak', 'gasing']</t>
  </si>
  <si>
    <t>['update', 'aplikasi', 'terbaru', 'jelek', 'loading', 'menampilkan', 'menu', 'aplikasi', '']</t>
  </si>
  <si>
    <t>['diperbaharui', 'lemoooth', 'aplikasi', 'bagus', 'versi']</t>
  </si>
  <si>
    <t>['kacau', 'aplikasinya', 'lelet']</t>
  </si>
  <si>
    <t>['suka', 'banget', 'liat', 'fitur', 'fitur', 'aplikasi']</t>
  </si>
  <si>
    <t>['aplikasi', 'giliran', 'maw', 'bayar', 'dibilang', 'gangguan', 'masal', 'giliran', 'telat', 'bayar', 'diisolir', 'denda', 'bumn', 'ber', 'akhlak', 'parah', 'habis', '']</t>
  </si>
  <si>
    <t>['akun', 'logout', 'pass', 'login', 'susah', 'bayar', 'tagihan', 'update', 'app', 'bagus', 'jelek', 'heran']</t>
  </si>
  <si>
    <t>['jelek', 'lambat']</t>
  </si>
  <si>
    <t>['loading', 'aplikasi', 'lemott', 'bobrok', 'servernya', 'bayar', 'tgl', 'maintenance', 'huftt']</t>
  </si>
  <si>
    <t>['wahhh', 'senang', 'memakai', 'aplikasi', 'mudah', 'penggunaaan', '']</t>
  </si>
  <si>
    <t>['bersyukur', 'banget', 'indihome', 'aplikasi', 'terimakasih', 'indihome']</t>
  </si>
  <si>
    <t>['ribet', 'apk']</t>
  </si>
  <si>
    <t>['bayar', 'wifi', 'indomaret', 'alfamart', 'alasan', 'jaringan', 'rusak', 'masak', 'bayar', 'jaringan', 'rusak', 'tolong', 'diperbaiki']</t>
  </si>
  <si>
    <t>['gimana', 'perbarui', 'tpi', 'lemot', 'ngecek', 'tagihan', 'lemot', 'banget', 'trus', 'masuk', 'login', 'nomor', 'gabisa', 'katae', 'pke', 'nomor', 'aktif', 'nomornya', 'aktif', 'daftar', 'ngecek', 'tagihan', 'luamaa', 'bagusan', 'aplikasi', 'diperbarui', '']</t>
  </si>
  <si>
    <t>['kemarin', 'mbayarnya', 'progam', 'promo', 'ambil', 'tetep', 'disuruh', 'bayar', 'tolong', 'profesionalitasnya', 'diperbaiki', '']</t>
  </si>
  <si>
    <t>['aplikasi', 'lemot', 'banget', 'buka', 'enakan', 'versi', 'lawas', '']</t>
  </si>
  <si>
    <t>['semoga', 'indihome', 'maju', 'sukses']</t>
  </si>
  <si>
    <t>['cek', 'pengguna', 'giman']</t>
  </si>
  <si>
    <t>['abis', 'update', 'login', 'udah', 'bener', 'akun', 'nomer', 'telpon', 'bener', 'tetep', 'login']</t>
  </si>
  <si>
    <t>['update', 'terbaru', 'lemot', 'login', 'susahnya', 'ampun', 'aplikasi', 'indihome', '']</t>
  </si>
  <si>
    <t>['misi', 'indihome', 'solusinya', 'indihome', 'bayar', 'bulanan', 'nomernya', 'takut', 'tgl', 'koneksi', 'dimatikan', 'kena', 'denda', 'solusinya', '']</t>
  </si>
  <si>
    <t>['keren', 'bange', 'apk', 'indihom', 'skr', 'saldo', 'fiturnya', 'lengkap', 'terimah', 'kasih', 'indihom']</t>
  </si>
  <si>
    <t>['berjalan', 'lancar', 'pengamanan', 'akunnya', 'bagus', 'verifikasinya', 'pilih', 'pakek', 'sms', '']</t>
  </si>
  <si>
    <t>['update', 'susah', 'login', 'parah', 'ajah']</t>
  </si>
  <si>
    <t>['bagus', 'tampilan', 'vitur', 'tinggal', 'lengkapin', 'informasi', 'pelanggan', 'smakin', 'puas', 'trs', 'perbaikin', 'bug', 'berat', 'aplikasi', '']</t>
  </si>
  <si>
    <t>['cukkkk', 'niat', 'masang', 'udah', 'dipasang', 'wifi', '']</t>
  </si>
  <si>
    <t>['tampilan', 'lbh', 'keren', 'smg', 'layanan', 'indihome', 'lancar', 'trs', 'lbh', 'lgi', 'kedepannya', '']</t>
  </si>
  <si>
    <t>['mantap', 'bermanfaat', 'membantu']</t>
  </si>
  <si>
    <t>['lemot', 'appnya']</t>
  </si>
  <si>
    <t>['parah', 'berantakan', 'udah', 'bagkrut', 'kah', 'kaya', 'garuda', 'kasih', 'swasta', 'coba', 'serba', 'cepet', 'yahud', '']</t>
  </si>
  <si>
    <t>['alhamdulillah', '']</t>
  </si>
  <si>
    <t>['log', 'out', 'berat', 'loading', 'bug', 'stamil', 'bnyak', 'kekurangannya', 'app', 'sdah', 'simple', 'tmpilannya', 'skrang', 'sulit', 'bnyak', 'iklan', 'promo', 'hnya', 'membuhkan', 'app', 'simple', 'sperti', 'kembalikan', 'app', 'dlu', '']</t>
  </si>
  <si>
    <t>['jaringannya', 'stabil', 'banget', 'lancar', 'sekolah', 'daring']</t>
  </si>
  <si>
    <t>['aplikasi', 'lemot', 'bermutu', 'diperbarui', 'tmbah', 'parah', 'lemot', 'bayar', 'dll', 'aplikasi', 'sampah']</t>
  </si>
  <si>
    <t>['aplikasi', 'problem']</t>
  </si>
  <si>
    <t>['indihome', 'mantaaaaaap', 'coba']</t>
  </si>
  <si>
    <t>['apk', 'myindihome', 'cek', 'tagihan', 'jml', 'tagihan', 'dibayar', 'update', 'terbaru', 'apk', 'berat', 'lambat', 'yaa', 'menu', 'jml', 'tagihan', 'terbukanya', 'pikir', 'dihilangkan', 'semoga', 'perbaikan', 'buka', 'apk', 'update', 'terbaru', 'login', 'untunglah', 'menulis', 'pasword', 'lemari', 'pakaian', 'semoga', 'perbaikan']</t>
  </si>
  <si>
    <t>['jooss']</t>
  </si>
  <si>
    <t>['laporan', 'langsung', 'ditanggapi', '']</t>
  </si>
  <si>
    <t>['error', 'niat', 'bubar']</t>
  </si>
  <si>
    <t>['aplikasi', 'lemot', 'lengkap', 'fiturnya', 'pembayaran', 'nomer', 'nomer', 'bayar', 'nomer']</t>
  </si>
  <si>
    <t>['keren', 'anti', 'lemot', 'jaringan', 'stabil', 'rugi', 'pakai', 'indihome']</t>
  </si>
  <si>
    <t>['aplikasi', 'lamban', 'loading', 'error', 'informasi', 'dasar', 'dibutuhkan', 'pelanggan', 'indihome', 'melayani', 'keluhan', 'konsumen', 'bagus', 'aplikasi', '']</t>
  </si>
  <si>
    <t>['kalah', 'bewan', 'ilham']</t>
  </si>
  <si>
    <t>['gampang', 'banget', 'pemasangan', 'wifinya', 'keren', 'deh']</t>
  </si>
  <si>
    <t>['syukurlah', 'berkat', 'mudah', 'memanggil', 'teknisi']</t>
  </si>
  <si>
    <t>['terimakasih', 'indihome', 'jaringan', 'wifi', 'mengeluarkan', 'uang', 'sosmed', 'apk', 'indihome', 'puas', 'karna', 'mudah', 'metode', 'pembayarannya']</t>
  </si>
  <si>
    <t>['salah', 'pilih', 'pakai', 'indihome', 'diandalkan', 'streming', 'lancar', 'pakai', 'indihome']</t>
  </si>
  <si>
    <t>['update', 'msh', 'ajaaa', 'udh', 'update', 'lemot', 'login', 'ulang', 'susahnyaa', 'ampun', 'akun', 'kena', 'isolir', 'gara', 'telat', 'sehari', 'dibyr', 'msh', 'blm', 'dibuka', 'isolirnya', 'pdhl', 'telat', 'bayarnya', 'gabisa', 'berlangganan', 'dividio', 'susah', 'aktifin', 'paket', 'premiumnya', 'tolong', 'perbaiki', 'buka', 'akun', 'diisolir']</t>
  </si>
  <si>
    <t>['indihome', 'bayar', 'tgl', 'mesti', 'gangguan', 'bayar', 'haduhhhhhh', 'wes', 'sinyal', 'mbulettttt']</t>
  </si>
  <si>
    <t>['bagus', 'membantu', '']</t>
  </si>
  <si>
    <t>['tampilan', 'perangkat', 'terhubung']</t>
  </si>
  <si>
    <t>['mudah', 'praktis', 'pelayanan', 'ramah', 'congratulation', 'indihome', 'semoga', 'maju', 'kedepan']</t>
  </si>
  <si>
    <t>['trus', 'lodaing', 'uninstal', 'aza', '']</t>
  </si>
  <si>
    <t>['bug', 'aplikasi', 'akses', 'akun', 'susah', 'pembayaran', 'via', 'link', 'gagal', 'mohon', 'perbaiki', 'sayang', 'pelanggan', 'nntibpada', 'kabur', '']</t>
  </si>
  <si>
    <t>['aplikasi', 'wifi', 'lemot']</t>
  </si>
  <si>
    <t>['wadduh', 'juragannn', 'upgrade', 'lemot', 'menuntut', 'propesionalismenya', 'bos', '']</t>
  </si>
  <si>
    <t>['seru', 'banget', 'poinnya', 'nambah', 'promo']</t>
  </si>
  <si>
    <t>['recommend', 'banget', 'pakai', 'aplikasi', 'mudab', 'pembayarannya']</t>
  </si>
  <si>
    <t>['memudahkan', '']</t>
  </si>
  <si>
    <t>['chat', 'pengaduan', 'cepat', 'responnya']</t>
  </si>
  <si>
    <t>['pakai', 'aplikasi', 'mudah', 'liat', 'tagihan']</t>
  </si>
  <si>
    <t>['bagus', 'keren', 'dibanding', 'versi', 'promo', 'program', 'terbarunya', 'tertulis', 'mudah', 'dipahami']</t>
  </si>
  <si>
    <t>['', 'indihome', 'membantu', 'chanel', 'indihome', 'jaya']</t>
  </si>
  <si>
    <t>['indihome', 'salah', 'penyedia', 'jaringan', 'internet', 'terbesar', 'indonesia', 'menjangkau', 'tanah', 'air', 'sabang', 'merauke', 'indonesia', 'timur', 'papua', 'barat', 'terbantu', 'jaringan', 'internet', 'semoga', 'kedepannya', 'indihome', 'jaringan', 'kedepannya', 'terimakasih']</t>
  </si>
  <si>
    <t>['okk']</t>
  </si>
  <si>
    <t>['good', 'update', 'kerenn']</t>
  </si>
  <si>
    <t>['tampilannya', 'bagus', 'keren', 'fitur', 'terbaru', 'semoga', 'kedepannya', 'lebjh', 'login']</t>
  </si>
  <si>
    <t>['membantu', 'pelanggan', 'setia', 'indihome']</t>
  </si>
  <si>
    <t>['indihome', 'far', 'enak', 'aplikasinya', 'enak', 'dipakai', 'pemakaian', 'gampang', '']</t>
  </si>
  <si>
    <t>['versi', 'terbaru', 'menampilkan', 'pemakaian', 'mendekati', 'fup', '']</t>
  </si>
  <si>
    <t>['internetan', 'lancar', 'nonton', 'inflix', 'gratisss', 'kereeennnn']</t>
  </si>
  <si>
    <t>['aplikasi', 'indihome', 'mempermudah', 'pembayaran', 'lihat', 'usage', 'pemakaian', 'gampang', '']</t>
  </si>
  <si>
    <t>['update', 'tampilan', 'freshhhhhh', 'mantap', 'uhuy', 'pokok', 'sayang', 'lemot', 'adakan', 'peningkatan', 'smpe', 'pelanggan', 'nyaman', 'denganmu']</t>
  </si>
  <si>
    <t>['aplikasi', 'mudah', 'pembayaran', 'informatif']</t>
  </si>
  <si>
    <t>['fast', 'respon', 'gangguan', 'indihomenya']</t>
  </si>
  <si>
    <t>['ngga', 'login']</t>
  </si>
  <si>
    <t>['update', 'versi', 'buruk', 'log', 'susah', 'banget']</t>
  </si>
  <si>
    <t>['apk', 'kaya', 'shopee', 'pakai', 'apapun', 'tetep', 'lemot']</t>
  </si>
  <si>
    <t>['kendala', 'jaringan', 'mudah', 'teratasi', 'pengaduan']</t>
  </si>
  <si>
    <t>['bagus', 'banget', 'pasang', 'wifi', 'tinggal', 'hubungi', 'chat', 'aplikasinya']</t>
  </si>
  <si>
    <t>['pokokx', 'best', 'mah']</t>
  </si>
  <si>
    <t>['tampilan', 'kece', 'mohon', 'tingkatkan', 'load', 'yaa']</t>
  </si>
  <si>
    <t>['bagus', 'membantu', 'thx', 'indihome']</t>
  </si>
  <si>
    <t>['bagus', 'update']</t>
  </si>
  <si>
    <t>['akses']</t>
  </si>
  <si>
    <t>['seru', 'bangat', 'pakai', 'indihome', 'jaringannya', 'gampang']</t>
  </si>
  <si>
    <t>['respon', 'lelet', 'penanganan', 'lelet', 'bagus', 'ancur', 'kualitas', 'pelayanan']</t>
  </si>
  <si>
    <t>['membuang', 'pembaharuan', 'aplikasinya', 'bodohhhhhh', 'banget', 'simple', 'simple', 'aksesnya', 'cepat', 'setahun', 'puji', 'tuhan', 'batas', 'kesabarannya', 'selesai', 'terima', 'kasih', 'tuhan', 'menahan', 'sabar', 'stopppp', 'berlangganan', 'pelanggan', 'dibodoh', 'bodohi', 'produk', 'lokal', 'mahal', 'puas', 'kagak', 'adminnya', 'nelpon', 'mengganggu', 'penawaran', 'promo', 'nda', 'telat', 'bayar', 'namaku', 'bagus', '']</t>
  </si>
  <si>
    <t>['', 'masuk', 'menyenangkan', '']</t>
  </si>
  <si>
    <t>['maaf', 'bintangnya', 'ambil', 'aplikasi', 'skrg', 'byk', 'kendala', 'renew', 'susah']</t>
  </si>
  <si>
    <t>['abis', 'update', 'masuk', 'aplikasi', '']</t>
  </si>
  <si>
    <t>['buka', 'menu', 'loadingnya']</t>
  </si>
  <si>
    <t>['telkomsel', 'tempikkk', 'tagihan', 'tb', 'nawarin', 'promo', 'gratisnya', 'maksa', 'ujung', 'tagihan', 'tempiikkk', 'bekarat', 'susah', 'akses', 'aplikasi', 'tempikk', 'tempikk', 'bekarat', 'dajjal']</t>
  </si>
  <si>
    <t>['jaringan', 'indihome', 'sumpah', 'jawa', '']</t>
  </si>
  <si>
    <t>['update', 'versi', 'terbaru', 'berat', 'menampilkan', 'informasi', 'loading', 'kecepatan', 'internet', 'udah', 'maksimal']</t>
  </si>
  <si>
    <t>['server', 'play', 'store', 'kluwer', 'kluwer', 'perbaikilah', 'orang', 'pinter']</t>
  </si>
  <si>
    <t>['login', 'kemarin']</t>
  </si>
  <si>
    <t>['pakai', 'myindihome', 'pandemi', 'bertemu', 'orang', 'membantu', 'mencegah', 'penyebaran', 'covid', '']</t>
  </si>
  <si>
    <t>['kacau', 'aplikasi', 'bis', 'diupdate', 'gbener', 'login', 'susahnya', 'ampun']</t>
  </si>
  <si>
    <t>['pakai', 'aplikasi', 'pandemi', 'emang', '']</t>
  </si>
  <si>
    <t>['pembayarannya', 'mudah', 'pakai', '']</t>
  </si>
  <si>
    <t>['aplikasi', 'memudahkan', 'layanan', 'indihome']</t>
  </si>
  <si>
    <t>['tampilan', 'penanganan', 'lamban', 'cepat']</t>
  </si>
  <si>
    <t>['aplikasi', 'memudahkan', 'belajar', 'online', 'jaringannya', 'kuat', 'banget', '']</t>
  </si>
  <si>
    <t>['update', 'login', 'ribet', 'sampe', 'masuk', 'coba', 'coba', 'kasih', 'kode', 'verifikasi', 'masuk', 'udah', 'kali', 'parah']</t>
  </si>
  <si>
    <t>['aplikasi', 'bagus', 'membantu', 'terimakasih']</t>
  </si>
  <si>
    <t>['pembaruan', 'aplikasi', 'muter', 'mulu', '']</t>
  </si>
  <si>
    <t>['habis', 'pembaharuan', 'masuk', 'email', 'tlp', 'masuk', 'parah', 'parah']</t>
  </si>
  <si>
    <t>['duh', 'update', 'lemot', 'chat', 'indita', 'sebelah', 'fitur']</t>
  </si>
  <si>
    <t>['aplikasi', 'menyedihkan', 'berulang', 'mengirimkan', 'laporan', 'hasil', 'memuaskan', 'provider', 'pilih']</t>
  </si>
  <si>
    <t>['kacau', 'aplikasi', 'lambat', 'dibuka', 'lapor', 'gangguan', 'muncul', 'notifikasi', 'mohon', 'maaf', 'peningkatan', 'layanan', 'aplikasi', 'lapor', 'gangguan', 'tolong', 'dibenahi', '']</t>
  </si>
  <si>
    <t>['indihome', 'cacat']</t>
  </si>
  <si>
    <t>['parahhhh', 'app', 'butuh', 'komputer', 'ber', 'prosesor', 'quantum', 'lancar', 'konon', 'yng', 'bayar', 'kejar', 'setan', 'kredit']</t>
  </si>
  <si>
    <t>['lag', 'parah']</t>
  </si>
  <si>
    <t>['tampilan', 'segar', 'bagus', 'mata', 'indihome', 'kesini', 'serius', 'garap', 'app', 'ketinggalan', 'jadul']</t>
  </si>
  <si>
    <t>['versi', 'terbaru', 'tampilan', 'menu', 'lengkap', 'versi', 'sebelumnnya', 'login', 'akses', 'menunya', 'loadingnya', 'mohon', 'diperbaiki']</t>
  </si>
  <si>
    <t>['habis', 'bayar', 'trobel', 'pakai', 'tolong', 'kasih', 'pilihan', 'bintang', 'aplikasi', 'nggk', 'berguna']</t>
  </si>
  <si>
    <t>['mantapn', 'praktis']</t>
  </si>
  <si>
    <t>['bagus', 'pelayanannya']</t>
  </si>
  <si>
    <t>['trima', 'kasih', 'kemudahan', 'aplikasi', 'myindihome', 'aplikasi', 'mbps', 'bulannya', 'pemakaian', 'keluarga', 'menambah', 'wawasan', 'jaringan', 'internet', 'telkom', 'puas', 'pakai', 'indihome', 'mantapp']</t>
  </si>
  <si>
    <t>['parah', 'versi', 'lambat', 'aplikasinya', 'benahin', 'min', 'pelanggan', 'kasih', 'rating', 'buruk', 'bumn', 'pulq', 'malu', 'maluin', '']</t>
  </si>
  <si>
    <t>['mantap', 'skrg', 'aplikanya', 'stabil', 'menu', 'lengkap', 'sekrg', 'mantap', 'indihome']</t>
  </si>
  <si>
    <t>['berlangganan', 'indihome', 'salah', 'pelayanan', 'memuaskan', 'pastinya', 'harga', 'ditawarkan', 'flat', 'update', 'aplikasi', 'terbaru', 'indihome', 'praktis', 'interaktif', 'susah', 'dipahami', 'pengaduan', 'layanan', 'cek', 'tagihan', 'dll', 'mudah', 'thanks', 'indihome']</t>
  </si>
  <si>
    <t>['aplikasi', 'indihome', 'membantu', 'fitur', 'didalam', 'membantu', 'informasi', 'promo', 'produk', 'indihome', 'aplikasi', 'indihome', 'membantu', 'wifi', 'mengalami', 'gangguan', 'menelpon', 'pusat', 'bantuan', 'tinggal', 'buka', 'menu', 'gangguan', 'lapor', 'gangguan', 'wifi', 'dirumah', 'butuh', 'operator', 'langsung', 'menghubungi', 'mengirim', 'teknisi', 'indihome', 'kerumah', 'mengatasinya']</t>
  </si>
  <si>
    <t>['berguna', 'keperluan', 'berhubungan', 'internet', 'pengaduan', 'cek', 'pemakaian', 'pembayaran', 'aplikasi', 'ditingkatkan', 'kecepatan', 'mengakses', 'aplikasi', 'fitur', 'fiturnya', 'thx']</t>
  </si>
  <si>
    <t>['mengawali', 'pelanggan', 'indihome', 'alhamdulillah', 'internetan', 'aman', 'terima', 'kasih', '']</t>
  </si>
  <si>
    <t>['aplikasi', 'lemooooot', 'susah', 'masuk']</t>
  </si>
  <si>
    <t>['memudahkan', 'pengguna', 'indihome']</t>
  </si>
  <si>
    <t>['apk', 'bagus']</t>
  </si>
  <si>
    <t>['seru', 'aplikasi', 'myindihome', 'saking', 'serunya', 'connect', 'pelanggan', 'keterangannya', 'terdaftar', 'telp', 'call', 'center', 'berguna', 'deh', 'aplikasinya', '']</t>
  </si>
  <si>
    <t>['aplikasinya', 'membantu', 'kompling', 'langsung', 'benerin']</t>
  </si>
  <si>
    <t>['aplikasi', 'barunya', 'mantap', 'pelayanan', 'sedia', 'gangguan', '']</t>
  </si>
  <si>
    <t>['lemot', 'aplikasi', '']</t>
  </si>
  <si>
    <t>['membantu', 'mantap']</t>
  </si>
  <si>
    <t>['pengalaman', 'buka', 'aplikasi', 'indihome', 'versi', 'terbaru', 'lemot']</t>
  </si>
  <si>
    <t>['membantu', 'memakai', 'aplikasi']</t>
  </si>
  <si>
    <t>['nyaman', 'ringan', 'lemot', 'buka', 'aplikasi', 'dibanding', 'versi']</t>
  </si>
  <si>
    <t>['alhamdulilah', 'langganan', 'indohome', 'mengecewakan', 'keluhan', 'tanggapi', 'cepat', 'terimakasih', 'indihome', '']</t>
  </si>
  <si>
    <t>['', 'hape', 'force', 'close', 'trus', 'ngakses', 'menu', 'registrasi', 'menu', 'klik', 'registrasi', 'hmmm', 'mohon', 'pembaruan', 'perbaikan', '']</t>
  </si>
  <si>
    <t>['tampilan', 'menarik', 'user', 'friendly', '']</t>
  </si>
  <si>
    <t>['aplikasinya', 'mantap', 'banget', 'cek', 'status', 'paket', 'pembelian', 'add', 'minipack', 'channel', 'aplikasi', '']</t>
  </si>
  <si>
    <t>['kebantu', 'aplikasinya', 'tagihan', 'udah', 'bayar', 'belom', 'cek', 'poin', 'trus', 'kendala', 'tinggal', 'chat', 'gampang', 'deh']</t>
  </si>
  <si>
    <t>['tingkatkan', '']</t>
  </si>
  <si>
    <t>['update', 'tetep', 'buka', 'aplikasi', 'lemotnya', 'ampun', 'tolong', 'perbaiki']</t>
  </si>
  <si>
    <t>['lelet']</t>
  </si>
  <si>
    <t>['', 'update', 'masuk', 'gmana']</t>
  </si>
  <si>
    <t>['parah', 'lemot', 'tolong', 'diperbaiki', 'lemot', 'kaya', 'gini']</t>
  </si>
  <si>
    <t>['mantapp']</t>
  </si>
  <si>
    <t>['upgrade', 'aplikasinya', 'bug', 'lemot', 'fitur', 'berjalan']</t>
  </si>
  <si>
    <t>['mengajukan', 'pengaduan']</t>
  </si>
  <si>
    <t>['login', 'gabisa', 'indihome', 'emg', 'beda']</t>
  </si>
  <si>
    <t>['', 'update', 'lambat', 'banget']</t>
  </si>
  <si>
    <t>['aplikasi', 'buruk', 'sengat', 'lemot', 'membayar', 'tagihan', 'november', 'aplikasi', 'metode', 'bayar', 'link', 'pembayaran', 'sukses', 'tagihan', 'november', 'muncul', 'buruk', 'lemot', 'jelek', '']</t>
  </si>
  <si>
    <t>['gangguan', 'terusan']</t>
  </si>
  <si>
    <t>['aplikasi', 'berguna', 'cek', 'pembayaran', 'bulanan', 'pemakaian', 'data', 'lengkap', 'semoga', 'maju', 'berkembang', 'aplikasinya', '']</t>
  </si>
  <si>
    <t>['update', 'lemott', 'paraahhhhh']</t>
  </si>
  <si>
    <t>['pelayanan', 'cepat', 'internet', 'mantab', 'ngambil', 'mbps', 'promo', 'daftar', 'online', 'besok', 'pasang', 'top', 'pokoknya', 'indihome', '']</t>
  </si>
  <si>
    <t>['update', 'login', 'stuck', 'masukin', 'email', 'akun', 'terkunci', 'login', 'bar', 'wifi', 'indihome', 'full', 'update', 'jelek', 'banget', 'bintang', '']</t>
  </si>
  <si>
    <t>['lemot', 'bngt', 'pdhl', 'make', 'kost', '']</t>
  </si>
  <si>
    <t>['pembaruan', 'susah', 'masuk', 'tolong', 'diperbaiki']</t>
  </si>
  <si>
    <t>['aplikasi', 'membantu', '']</t>
  </si>
  <si>
    <t>['aplikasi', 'myindihome', 'membatu', 'memiliki', 'promo', 'promo', 'menarik']</t>
  </si>
  <si>
    <t>['mantab', 'mudah', 'pelaporan', 'gangguan', 'penanganan', 'cepat']</t>
  </si>
  <si>
    <t>['hallo', 'indihome', 'pelanggan', 'setia', 'terima', 'kasih', 'teman', 'terbaik', 'kelas', 'daringku', '']</t>
  </si>
  <si>
    <t>['tampilannya', 'fresh', 'yaa', 'aplikasi', 'terupdate', '']</t>
  </si>
  <si>
    <t>['menyenangkan', 'myindihome', 'tampilan', 'menyejukkan', 'mata', 'fitur', 'terbarunya', 'fan', 'berkembang', 'indihome', '']</t>
  </si>
  <si>
    <t>['pelayanan', 'indihome', 'mengecewakan', 'butuh', 'malam', 'teknisi']</t>
  </si>
  <si>
    <t>['bagusssss']</t>
  </si>
  <si>
    <t>['update', 'terbaru', 'lemot', 'update', 'fungsi', 'semoga', 'berinovasi', 'berkembang', '']</t>
  </si>
  <si>
    <t>['keren', 'diupdte', 'tampilannya', 'kece', 'penawaran', 'penawaran', 'terbaru', 'menu', 'pembayaran', 'tertera', 'nominalnya', 'mudha', 'penggunaan', 'internet', 'terpampang', 'penggunaanya', 'terimakasih', 'indihome', 'pelayanan', 'terbaik', '']</t>
  </si>
  <si>
    <t>['berat', 'lemot', 'aplikasinya', 'tunggu', 'update', 'aplikasinnya', 'tercepat', '']</t>
  </si>
  <si>
    <t>['puas', 'pakai', 'indihome', 'aplikasi', 'tampilan', 'menarik', '']</t>
  </si>
  <si>
    <t>['aplikasi', 'terbaru', 'terbaik', 'memudahkan', 'bayar', 'tagihan', 'mudah', 'semoga', 'kedepan', 'jaringan', 'tingkat', 'ngg', 'gangguang', '']</t>
  </si>
  <si>
    <t>['terima', 'kasih', 'indihome', 'aplikasi', 'myindihome', 'memudahkan', 'membantu', 'melaporkan', 'problem', 'semoga', 'lancar', 'sukses', 'indihome', '']</t>
  </si>
  <si>
    <t>['update']</t>
  </si>
  <si>
    <t>['aplikasinya', 'lemot', 'susah', '']</t>
  </si>
  <si>
    <t>['aplikasi', 'update', 'menu', 'tambahan', 'memudahkan', 'pelanggan', 'bertransaksi', 'fitur', 'indihome', '']</t>
  </si>
  <si>
    <t>['pelanggan', 'setia', 'indihome', 'kaget', 'petugas', 'rumah', 'benahi', 'jalur', 'optik', 'indihome', 'nggak', 'percaya', 'tanyai', 'nama', 'surat', 'tugas', 'indihome', 'pusat', 'bener', 'petugas', 'indihome', 'jalur', 'optik', 'indihome', 'kerumah', 'penurunan', 'memikirkan', 'kesitu', 'kantor', 'indihome', 'sampek', 'sedetile', 'memikirkan', 'costumer', 'puas', 'pokoknya', '']</t>
  </si>
  <si>
    <t>['indihome', 'dihati', '']</t>
  </si>
  <si>
    <t>['aplikasinya', 'lemot', 'banget', 'lola', 'loding', 'point', 'nomor', 'utama', 'nomor', 'pendamping', 'tukar', 'point', 'enak', '']</t>
  </si>
  <si>
    <t>['aplikasinya', 'membantu', 'mantap', '']</t>
  </si>
  <si>
    <t>['semoga', 'luas', 'jaya']</t>
  </si>
  <si>
    <t>['terimakasih', 'pelayanan', 'dlm', 'pengaduannya', 'cepat', 'ditanggapi', '']</t>
  </si>
  <si>
    <t>['indihome', 'membantu', 'perkuliahan', 'online', 'berguna', 'bangettt', 'semoga', 'kedepanya', 'pelayananya', '']</t>
  </si>
  <si>
    <t>['habis', 'update', 'susah', 'login', 'crash', 'plus', 'nge', 'hang']</t>
  </si>
  <si>
    <t>['aplikasinya', 'bagus', 'membantu', 'pelanggan', 'aplikasinya', 'joss', '']</t>
  </si>
  <si>
    <t>['aplikasi', 'membantu', 'fast', 'respons', 'mengajak', 'saudara', 'saudari', 'berlangganan', 'indihome', 'mengunduh', 'aplikasi', 'myindihome', 'kelancaran', 'merdeka', '']</t>
  </si>
  <si>
    <t>['aplikasinya', 'membantu', '']</t>
  </si>
  <si>
    <t>['bagus', 'jaringan', 'oke', '']</t>
  </si>
  <si>
    <t>['aplikasi', 'bumn', 'kaya', 'sampah', 'gini', '']</t>
  </si>
  <si>
    <t>['buka', 'aplikasi', 'eror', 'trs', 'loading', 'trs', 'cape', 'deh']</t>
  </si>
  <si>
    <t>['mohon', 'aplikasi', 'diperbaiki', 'berguna', 'serius', 'bayar', 'aplikasi', 'penyempurnaan', 'trus', 'lemot', 'pisan', 'aplikasi', 'bener', 'gtu']</t>
  </si>
  <si>
    <t>['akun', 'buka', 'aplikasi', 'gimna', 'byr', 'klu', 'aplikasi', 'buka']</t>
  </si>
  <si>
    <t>['bayar', 'lancar', 'jaringan', 'lemot', 'kecewa', '']</t>
  </si>
  <si>
    <t>['update', 'versi', 'jelek']</t>
  </si>
  <si>
    <t>['buruk', 'gagal', 'login', 'email', 'pemulihan', 'nggak', 'nggak', 'bintang', '']</t>
  </si>
  <si>
    <t>['updet', 'persi', 'terbaru', 'jelek', 'hadeuuuhhh', '']</t>
  </si>
  <si>
    <t>['buka', 'aplikasi', 'indihome', 'bsa', 'dklik', 'dperbarui', 'melulu']</t>
  </si>
  <si>
    <t>['pengguna', 'bertahun', 'masuk', 'mohon', 'perbaiki', 'bayar', 'lupa', 'nomer', 'wifi']</t>
  </si>
  <si>
    <t>['', 'login', 'kntl', 'aplikasi', 'negara']</t>
  </si>
  <si>
    <t>['', 'update', 'ribet', 'min', 'loading']</t>
  </si>
  <si>
    <t>['tolong', 'donk', 'lihat', 'tagihan', 'nanya', 'password', 'melulu', 'versi', '']</t>
  </si>
  <si>
    <t>['pembaruan', 'bagus', 'lemot', 'masuk', 'akun', 'pdahal', 'memasukkan', 'password', 'email', 'bagus', 'versi', 'ribet', 'tolong', 'diperbaiki']</t>
  </si>
  <si>
    <t>['leletnya', 'masuk', 'aplikasi', 'berasa', 'masuk', 'surga', '']</t>
  </si>
  <si>
    <t>['aplikasi', 'diupdate', 'login', 'bug', 'sekelas', 'bumn', 'apk', 'playstore', 'nge', 'bug']</t>
  </si>
  <si>
    <t>['beli', 'paket', 'minipack', 'indisport', 'paket', 'tersedia']</t>
  </si>
  <si>
    <t>['pakai', 'indihome', 'udah', 'nyesel', 'tunggu', 'setaon', 'kututup', '']</t>
  </si>
  <si>
    <t>['nomer', 'aplikasi', 'ganti', 'aktif', 'nomor', 'aneh']</t>
  </si>
  <si>
    <t>['parah', 'bug', 'gerak', 'ngescrooll']</t>
  </si>
  <si>
    <t>['lapor', 'gangguan', 'telpon', 'susah', 'nyambungnya', 'giliran', 'nyambung', 'mesin', 'diputer', 'suruh', 'restart', 'modem', 'sampe', 'ujungnya', 'suruh', 'lapor', 'aplikasi', 'giliran', 'aplikasi', 'update', 'lapor', 'aplikasi', 'lemot', 'progres', 'gangguan', 'hanyut', 'dimana', 'moto', 'doang', 'the', 'best', 'kasian', 'gangguan', 'udah', 'berhari', '']</t>
  </si>
  <si>
    <t>['aplikasi', 'versi', 'lemot', 'tampilan', 'membingungkan', 'tdak', 'update', 'profil', 'lihat', 'rincian', 'tagihan', 'mending', 'versi']</t>
  </si>
  <si>
    <t>['lemot', 'puoll']</t>
  </si>
  <si>
    <t>['wiki', '']</t>
  </si>
  <si>
    <t>['fungsi', 'aplikasi', 'fitur', 'fiturnya', 'berfungsi', 'fitur', 'bantuan', 'ditangani', 'cek', 'tiket', 'keluhan', 'berbulan', 'ditangani', '']</t>
  </si>
  <si>
    <t>['ngebug', 'lemot', 'liat', 'penggunaan', 'dll']</t>
  </si>
  <si>
    <t>['aplikasi', 'update', 'muter', 'lemot', 'versi', 'sblmnya', 'lbh', 'bagus', 'mohon', 'solusi', '']</t>
  </si>
  <si>
    <t>['maaf', 'kasih', 'bintang', 'tolong', 'tingkatkan']</t>
  </si>
  <si>
    <t>['aplikasi', 'sampah', 'lapor', 'gangguan', 'asli', 'sampah', 'aplikasi', 'bayar', 'telat']</t>
  </si>
  <si>
    <t>['semenjak', 'update', 'tampilan', 'appnya', 'lemot', 'banget']</t>
  </si>
  <si>
    <t>['gimana', 'ceritanya', 'komplain', 'aplikasi', 'koq', 'notifikasi', 'pasang', 'indihome', 'komplain', 'perihal', 'telp', 'berfungsi', 'komplain', 'via', 'aplikasi', 'kacau', 'telkom', '']</t>
  </si>
  <si>
    <t>['knpa', 'bri', 'liga', 'tonton', 'sngat', 'kecewa']</t>
  </si>
  <si>
    <t>['aplikasi', 'layanannya', 'currrrrr', 'ancurrrrr', 'aplikasi', 'modyarrrrrr', '']</t>
  </si>
  <si>
    <t>['', 'ampun', 'indihome', 'developer', 'apk', 'memuaskan']</t>
  </si>
  <si>
    <t>['laporan', 'jaringan', 'wifi', 'hilang', 'timbul', 'meresahkan', 'mendownload', 'file', 'nbesar', 'diatas', 'gb', 'mohon', 'bantuan', 'indihome']</t>
  </si>
  <si>
    <t>['seneng', 'bngat', 'apk', 'membantu']</t>
  </si>
  <si>
    <t>['update', 'aplikasi', 'susah', 'layanan', 'pengaduan', 'susah', 'dicari', 'loading']</t>
  </si>
  <si>
    <t>['aplikasi', 'lemot', 'login', 'berkali', 'kali', 'gagal', 'melulu', 'putar', 'youtube', 'indihome', 'diakses', 'bayar', 'mahal', 'youtube', 'fungsi', 'terpaksa', 'beli', 'stb', 'heiiii', 'perhatikan', 'keluhan', 'pelangganmu']</t>
  </si>
  <si>
    <t>['apl', 'berguna', 'lelet']</t>
  </si>
  <si>
    <t>['macet', 'aplikasi']</t>
  </si>
  <si>
    <t>['knpa', 'sdah', 'berhenti', 'gmna', 'downlodnya']</t>
  </si>
  <si>
    <t>['aplikasi', 'jelek', 'banget', 'masuk', 'pindah', 'ubah', 'sandi', 'kode', 'konfirmasi', 'email', 'masukin', 'kadaluarsa', 'kirim', 'payah', '']</t>
  </si>
  <si>
    <t>['sehabis', 'upd', 'aplikasi', 'mencoba', 'login', 'force', 'close', 'aplikasi', 'mohon', 'diperbaiki']</t>
  </si>
  <si>
    <t>['update', 'biss', 'login', 'akun', 'piye', 'developernya', '']</t>
  </si>
  <si>
    <t>['gilak', 'jelek', 'banget', 'uda', 'login', 'terkeluar', 'gegara', 'doang', 'telat', 'bayar', 'ranting', 'laah', '']</t>
  </si>
  <si>
    <t>['gunanya', 'aplikasi', 'lapor', 'gangguan', 'aplikasi', 'lemot', 'parah', 'mengulang', 'ulang']</t>
  </si>
  <si>
    <t>['aplikasi', 'terbaru', 'tampilan', 'menarik', 'menu', 'sayang', 'lemot', 'kadang', 'error', 'pencet', 'berkali', 'kali', 'semoga', 'kedepannya', 'perbaikan', 'bagus', 'aplikasinya', '']</t>
  </si>
  <si>
    <t>['stlh', 'update', 'ancur']</t>
  </si>
  <si>
    <t>['lemot', 'banget', 'informasi', 'lihat', 'tagihan', 'pembayaran', 'buka', 'aplikasi', 'bener', 'negara', 'bobrook', 'peningkatan', '']</t>
  </si>
  <si>
    <t>['jaringan', 'superrrr', 'lelet', 'masang', 'kabel', 'wifi', 'orang', 'genteng', 'tergganggu', 'kabel', 'izin', 'masang', 'tuhh', 'ngenai', 'antena', 'alhasil', 'tonton', 'heh', 'seenak', 'smk', 'ehh', 'panggil', 'hedehh', 'dasar', 'kesel', 'banget', 'sumpah']</t>
  </si>
  <si>
    <t>['nilai', 'star', 'nilai', 'star', 'update', 'bagus', 'parah', 'gerak', 'cepat', 'perbaiki', 'aplikasi', 'sinyal', 'wifi', 'indohome', 'tagihanya', 'mahal', 'kasih', 'konpensasi', 'senangi', 'pelanggan', '']</t>
  </si>
  <si>
    <t>['bingung', 'pengaduan', 'keluhan', 'aplikasi', 'indihome', 'ribet', 'lemot', 'twitter', 'dibalas']</t>
  </si>
  <si>
    <t>['pelayanan', 'bagus']</t>
  </si>
  <si>
    <t>['maaf', 'mengecewakan', 'buka', 'aplikasi', 'loading', 'cek', 'paket', 'telepon', 'emosi', 'telepon', 'call', 'senterpun', 'nyolusi']</t>
  </si>
  <si>
    <t>['bayar', 'wifi', 'gmna', 'apk', 'dibuka', 'semoga', 'kompensasi']</t>
  </si>
  <si>
    <t>['jelek', 'banget', 'lemot']</t>
  </si>
  <si>
    <t>['performa', 'memuaskan', 'msh', 'lemot', 'buka', 'verifikasi', 'email', 'semoga', 'kedepannya', 'lagii']</t>
  </si>
  <si>
    <t>['udh', 'ngeluh', 'lemot', 'msih', 'biarin', '']</t>
  </si>
  <si>
    <t>['versi', 'stabil', 'informatif', 'ditingkatkan', '']</t>
  </si>
  <si>
    <t>['tolong', 'update', 'menu', 'perangkat', 'terhubung', 'tampilkan', 'maaf', 'klik', 'alamat', 'web', 'bit', 'alamat', 'website', 'indihome', 'resmi', 'domain', 'pro', '']</t>
  </si>
  <si>
    <t>['lambat', 'proses', 'loadingnya']</t>
  </si>
  <si>
    <t>['jelek', 'nyesel', 'update', 'masuk', 'jangn', 'update']</t>
  </si>
  <si>
    <t>['lelet', 'banget', 'aplikasinya', '']</t>
  </si>
  <si>
    <t>['fitur', 'skrg', 'dibuka', 'mending', 'versi', 'skrg', 'dibuka', '']</t>
  </si>
  <si>
    <t>['update', 'aplikasi', 'mantab']</t>
  </si>
  <si>
    <t>['lemot', 'banget', 'apk', 'nambah', 'bingung', 'sekrang', 'enakan', 'apk', 'versi', 'lemot', 'mudah', 'mengerti', '']</t>
  </si>
  <si>
    <t>['lol', 'indihome', 'lemot', 'banget', 'mahal', 'doang', 'limit', 'sejujurnya', 'males', 'banget', 'indihome', 'mending', 'wifi', 'laen', 'emang', 'daerah', 'indihome', 'lelet']</t>
  </si>
  <si>
    <t>['langsung', 'pantau', 'dsngan', 'internet']</t>
  </si>
  <si>
    <t>['sesuai', 'dibayar', 'beda', 'aplikasi', 'menampilkan', 'tagihan']</t>
  </si>
  <si>
    <t>['pelayanan', 'dibawah', 'kepastian', 'gajelas', '']</t>
  </si>
  <si>
    <t>['suka', 'kekurangan', 'kelebihannya', 'semoga', 'melayani']</t>
  </si>
  <si>
    <t>['siih', 'jujur', 'lemot', 'banget']</t>
  </si>
  <si>
    <t>['membantu', 'repot', 'repot', 'bayar', 'tagihan', 'tinggal', 'tranfer', 'rumah', 'selesai']</t>
  </si>
  <si>
    <t>['pengguna']</t>
  </si>
  <si>
    <t>['aplikasi', 'fitur', 'lengkap', 'fast', 'respon', 'customer', 'service', 'menanggapi', 'pelanggan', 'maju', 'mempertahankan', 'sulit', 'meraih']</t>
  </si>
  <si>
    <t>['aplikasinya', 'bagus', 'tinggal', 'perbaiki', 'kadang', 'bukanya', 'lemot', 'update', 'terbaru', 'indihom']</t>
  </si>
  <si>
    <t>['aplikasinya', 'bagus', 'kadang', 'lemot', 'bukanya', 'tolong', 'diperbaiki']</t>
  </si>
  <si>
    <t>['', 'indihome', 'recommended', 'thank', 'indihome', 'love', 'you', 'full']</t>
  </si>
  <si>
    <t>['myindihome', 'keren', 'tampilan', 'aplikasinya', 'mantap', '']</t>
  </si>
  <si>
    <t>['fitur']</t>
  </si>
  <si>
    <t>['gangguan', 'buka', 'app', 'daftar']</t>
  </si>
  <si>
    <t>['bagus', 'komplain', 'layanan', 'indihome', 'aplikasi', 'langsung', 'petugas', 'indihome', 'rumah', 'mudah', 'telepon', 'plasa', 'telkom']</t>
  </si>
  <si>
    <t>['tampilan', 'keren']</t>
  </si>
  <si>
    <t>['terimakasih', 'myindihome', 'membantu', 'layanan', 'semoga', 'kedepannya', 'lagii', '']</t>
  </si>
  <si>
    <t>['pemakaian', 'add', 'nomor', 'langganan', 'aplikasi', 'good']</t>
  </si>
  <si>
    <t>['aplikasi', 'cek', 'tahigan', 'bulanan', 'kouta', 'giga', 'terpakai', '']</t>
  </si>
  <si>
    <t>['mohon', 'tingkatkan', 'kinerjanya']</t>
  </si>
  <si>
    <t>['mantap', 'indihome']</t>
  </si>
  <si>
    <t>['indihome', 'tempatku', 'tinggal', 'membantu', 'pekerjaan', 'aktifitas', 'virtual', 'sehari', 'trims', 'indihome', '']</t>
  </si>
  <si>
    <t>['keren', 'mudah', 'update']</t>
  </si>
  <si>
    <t>['apps', 'bagus', 'membantu']</t>
  </si>
  <si>
    <t>['bagus', 'mempermudah', 'penggunaan', 'indihome']</t>
  </si>
  <si>
    <t>['tolong', 'perbaiki', 'akun', 'myih', 'login', 'skrg', 'myih', 'update', 'login', 'pengaduan', 'solusi', '']</t>
  </si>
  <si>
    <t>['payaaaaah', 'giliran', 'gangguan', 'laporaaan', 'loading', 'lamaaaaa', 'uda', 'kyk', 'kura', 'upgrade', 'trus', 'makan', 'paraaaah', 'internet', 'seringa', 'gangguan', 'telp', 'matiiii', '']</t>
  </si>
  <si>
    <t>['jaringan', 'lemot', 'total', '']</t>
  </si>
  <si>
    <t>['aplikasi', 'mp', 'malu', 'negara', 'bkin', 'aplikasi', 'banget', 'bug', 'daftar', 'ulang', 'bertele', 'telpon', 'berkali', 'bolak', 'hasil', 'udah', 'datengin', 'plasa', 'telkom', 'tetep', 'berguna', 'kepasang', 'internet', 'rumah', 'udah', 'seminggu', 'registrasi', 'mekanisme', 'ancur', 'ngaco', 'ujung', 'dibilang', 'cancel', 'order', 'halooo', 'indhihome', 'dagelan', '']</t>
  </si>
  <si>
    <t>['lemot', 'komplain', 'slow', 'respon', 'skrang', 'bayar', 'buka', 'pdhal', 'bayar', 'tagiha', 'mohon', 'perbaiki', 'kualitas', 'pelayanany']</t>
  </si>
  <si>
    <t>['adibyka', 'lemot', '']</t>
  </si>
  <si>
    <t>['memalukan']</t>
  </si>
  <si>
    <t>['', 'indihome', 'dikenali', 'login', 'masuk', 'akun', '']</t>
  </si>
  <si>
    <t>['jaringan', 'ancur', '']</t>
  </si>
  <si>
    <t>['very', 'good']</t>
  </si>
  <si>
    <t>['jarongan', 'indihome', 'error', '']</t>
  </si>
  <si>
    <t>['cepat', 'perbaiki', 'aplikasi', 'rusak']</t>
  </si>
  <si>
    <t>['mohon', 'perbaiki', 'cek', 'tagihan', 'berkala', 'karna', 'notif', 'perbaikan', 'aplikasi']</t>
  </si>
  <si>
    <t>['kek', 'sampah', 'gini', 'app', 'versi', 'sblmnya', 'bagus']</t>
  </si>
  <si>
    <t>['menampilkan', 'menu', 'bayar', 'tagihan', 'niat', 'byr', 'tagihan', 'terhambat', 'giliran', 'telat', 'konsumen', 'salah', 'tlg', 'diperbaiki', 'aplikasinya', 'terimakasih']</t>
  </si>
  <si>
    <t>['susah', 'melaporkan', 'kerusakan', 'gampang', 'error', 'sistem', 'perbaikan', 'bumn', 'serius', 'pelayanan']</t>
  </si>
  <si>
    <t>['seancur', 'kah', 'aplikasinya', '']</t>
  </si>
  <si>
    <t>['donwload', 'mentok', '']</t>
  </si>
  <si>
    <t>['lapor', 'gangguan', 'gbsa']</t>
  </si>
  <si>
    <t>['pasang', 'sinyal', 'bagus', 'cepat', 'sinyalnya', 'lambat', 'pengaduan', 'layanan', 'disuruh', 'restart', 'modem', 'direstart', 'bagus', 'habis', 'sinyalnya', 'lambat', '']</t>
  </si>
  <si>
    <t>['gangguan', 'indihome', 'parahhhh', 'jdi', 'males', 'bayar', 'bgni', 'lgi', 'butuhin', 'bngt', 'los', 'merah', 'internetnya']</t>
  </si>
  <si>
    <t>['aplikasi', 'lemot', 'login', '']</t>
  </si>
  <si>
    <t>['pesan', 'twitter', 'balas', 'keluhan', 'aplikasi', 'indihome', 'aplikasi', 'pakai', 'sangt', 'lemot', 'profil', 'versi', 'lengkap', 'versi', 'terbaru', 'berlangganan', 'smarthome', 'pringatan', 'kalu', 'mengaktifkan', 'paket', 'internet']</t>
  </si>
  <si>
    <t>['maaf', 'bintang', 'update', 'nggak', 'karuan', 'nggak', 'aplikasi']</t>
  </si>
  <si>
    <t>['lemot', 'loadingnya']</t>
  </si>
  <si>
    <t>['hai', 'kak', 'indihome', 'ngelag', 'banget', '']</t>
  </si>
  <si>
    <t>['payah', 'maju', 'lodingnya', 'ribet', 'kebanyakan', 'dipromokan', '']</t>
  </si>
  <si>
    <t>['aplikasi', 'terburuk', 'lelet', 'susah', 'masuk', 'ram', 'gb', 'susah', 'buruk']</t>
  </si>
  <si>
    <t>['login', 'susah', '']</t>
  </si>
  <si>
    <t>['alhamdulillah', 'semenjak', 'jaringan', 'indihome', 'masuk', 'membantu', 'urusan', 'semoga', 'jaya', 'indihome', 'pelayanannya', 'membantu', 'bagus', 'banget']</t>
  </si>
  <si>
    <t>['aplikasi', 'transaksi', 'ngelag', 'kadang', 'error', 'tolong', 'indihome', 'benerin', 'aplikasi', 'renew', 'sped']</t>
  </si>
  <si>
    <t>['aplikasi', 'membantu', 'info', 'layanan', 'indihome', 'sayang', 'aplikasi', 'berjalan', 'lambat', '']</t>
  </si>
  <si>
    <t>['aplikasiny', 'lemot', 'udh', 'gtu', 'wifiny', 'eror', 'mulu', 'pengaduan', 'bsa', '']</t>
  </si>
  <si>
    <t>['mantap', 'banget', 'uinya', '']</t>
  </si>
  <si>
    <t>['terimakasih', 'myindihome', 'fasilitas', 'internet', 'bermanfaat', 'klg', 'pembaruan', 'app', 'simpel', 'laporan', 'pembayaran', 'terperinci', 'penawaran', 'lengkap', 'sukses', 'slalu']</t>
  </si>
  <si>
    <t>['aplikasi', 'lemot', 'mendingan', 'versi', '']</t>
  </si>
  <si>
    <t>['kasih', 'bintang', 'membantu', 'aplikasi', 'indihome', 'melaporkan', 'gangguan', 'aplikasi', 'cepat', 'direspon', 'kedepannya', 'akses', 'aplikasi', 'cepat', 'menampilkan', 'konten', 'aga', 'lambat']</t>
  </si>
  <si>
    <t>['aplikasi', 'lemot', 'tampilan', 'informatif']</t>
  </si>
  <si>
    <t>['aplikasi', 'berguna', 'update', 'lambat', 'isinya', 'penawaran', '']</t>
  </si>
  <si>
    <t>['login', 'loading', 'mohon', 'bantuan', 'perbaikan', 'terimakasih', '']</t>
  </si>
  <si>
    <t>['kebantu', 'banget', 'aplikasi', 'urusan', 'terkait', 'indihome', '']</t>
  </si>
  <si>
    <t>['update', 'lelet', 'fitur', 'hilangkan', 'perangkat', 'terhubung', '']</t>
  </si>
  <si>
    <t>['aplikasi', 'sulit', 'tolong', 'akun', 'sandi', 'tolong', 'diperbaiki', 'aplikasi', 'mudah', 'masuk', 'akun', 'login', 'nomor', 'internet', 'langsung', 'login', 'akun', 'contoh', 'mbps', 'gb', 'sekian', 'mbps', 'gb', 'paket', 'pembelian']</t>
  </si>
  <si>
    <t>['aplikasi', 'myindihome', 'mudah', 'mengontrol', 'pembayaran', 'bulannya', 'dibayarkan', '']</t>
  </si>
  <si>
    <t>['', 'aplikasi', 'dibilang', 'sandi', 'salah', 'cek', 'web', 'masuk']</t>
  </si>
  <si>
    <t>['liat', 'tagihan', 'slalu', 'kluar', 'muncul', 'ketrangan', 'upgred', 'upgred', 'gmn', 'mentok', 'upgred', 'kemarin', 'promo', 'apk', 'mbps', 'hrga', 'pilih', 'mlh', 'suruh', 'byr', 'blm', 'ppn', 'complain', 'kantor', 'turun', 'mbps', 'murah', 'kemarin', 'ppn']</t>
  </si>
  <si>
    <t>['bagus', 'versi']</t>
  </si>
  <si>
    <t>['update', 'aplikasi', 'renew', 'speed', 'susah', 'masuk', 'pasang', 'paket', 'internet', 'ngga', 'gtu', 'maaf', 'perbaikan', 'parah', 'indihome']</t>
  </si>
  <si>
    <t>['login', 'aplikasi', 'payah', '']</t>
  </si>
  <si>
    <t>['bayar', 'wifi', 'lemot', '']</t>
  </si>
  <si>
    <t>['aplikasi', 'berguna', 'update', 'berat', 'tagihan', '']</t>
  </si>
  <si>
    <t>['lemooottt', 'dibandingkan', 'versi']</t>
  </si>
  <si>
    <t>['terimakasih', 'kak', 'membatu']</t>
  </si>
  <si>
    <t>['mantaap', 'semoga', 'sukses']</t>
  </si>
  <si>
    <t>['update', 'aplikasi', 'mantap']</t>
  </si>
  <si>
    <t>['aplikasi', 'update', 'terbaru', 'tambahan', 'fitur', 'bagus', 'useetv', '']</t>
  </si>
  <si>
    <t>['perbarui', 'server', 'lemott', 'bangett', 'sihh', 'cek', 'tanggal', 'pembayaran', 'lambat', 'loading', 'teruss', 'perbarui', 'jelek', 'sihh', 'maless']</t>
  </si>
  <si>
    <t>['mantap', 'aplikasinya']</t>
  </si>
  <si>
    <t>['buffering', 'mulu', 'berat', 'aplikasi']</t>
  </si>
  <si>
    <t>['baguuuuuuus']</t>
  </si>
  <si>
    <t>['sistem', 'aplikasi', 'bagus', 'layanan', 'transparansi', 'tagihan', 'paket', 'internet', 'cenderung', 'turun']</t>
  </si>
  <si>
    <t>['apl', 'berar', 'loading', 'pusing']</t>
  </si>
  <si>
    <t>['bagus', 'sayang', 'lemot', 'tolong', 'perbaiki', '']</t>
  </si>
  <si>
    <t>['bagus', 'respontnya', 'kadang', 'loadingnya']</t>
  </si>
  <si>
    <t>['bagus', 'lambat']</t>
  </si>
  <si>
    <t>['suka', 'looding']</t>
  </si>
  <si>
    <t>['suka']</t>
  </si>
  <si>
    <t>['lemottt', '']</t>
  </si>
  <si>
    <t>['bangke', 'apk', 'bayar', 'susah', 'kerusakan', 'benerin', 'kerja', 'molor', 'perusahaan']</t>
  </si>
  <si>
    <t>['aplikasi', 'upgrate', 'terbaru', 'mantap', 'fasilitas', 'lengkap', '']</t>
  </si>
  <si>
    <t>['maaf', 'bintang', 'termotivasi', 'pelayanan', 'berkembang', '']</t>
  </si>
  <si>
    <t>['ente', 'kesepakatan', 'customer', 'setahun', 'langganan', 'kenakan', 'denda', 'oke', 'gangguan', 'nie', 'tgl', 'sampe', 'internetan', 'gangguannya', 'feed', 'back', 'bro', 'customer', 'nyaman', 'bayar', 'internet']</t>
  </si>
  <si>
    <t>['versi', 'terbaru', 'lemot']</t>
  </si>
  <si>
    <t>['pengaduan', 'cepat']</t>
  </si>
  <si>
    <t>['semoga', 'indihome', 'maju', 'loading', 'lemot', '']</t>
  </si>
  <si>
    <t>['wifi', 'error', 'sebulan', 'payahh', 'terpaksa', 'modem', 'kuota', 'data', 'potongan', '']</t>
  </si>
  <si>
    <t>['pengalaman', 'tebaik', 'gangguan', 'dikasih', 'kompensasi', 'pembukaan', 'all', 'chanel', 'indihome', 'istimewa', 'maju', 'indihome', '']</t>
  </si>
  <si>
    <t>['perbarui', 'koplak']</t>
  </si>
  <si>
    <t>['syukurlah', 'internet', 'rumah', 'lancar', 'indihome', 'thanks', 'for', 'your', 'hard', 'work', 'guys']</t>
  </si>
  <si>
    <t>['aplikasi', 'bermanfaat']</t>
  </si>
  <si>
    <t>['fresh', 'kaya', 'fitur', 'fitur']</t>
  </si>
  <si>
    <t>['jaringannya', 'cepet', 'lancar', 'jaya', 'mantab']</t>
  </si>
  <si>
    <t>['update', 'aplikasi', 'lag', 'susah', 'ngeload', 'halaman', 'bug', 'diperbaiki', 'terimakasih', '']</t>
  </si>
  <si>
    <t>['wifi', 'gajelas', 'kyk', 'taik', 'org', 'gila']</t>
  </si>
  <si>
    <t>['pengen', 'upgrade', 'speed', 'aplikasi', 'myindihome', 'mantulity']</t>
  </si>
  <si>
    <t>['udah', 'deket', 'tgl', 'bayar', 'tagihan', 'aplikasi', 'myindihome', 'emang', 'joss']</t>
  </si>
  <si>
    <t>['keren', 'aplikasinya', 'ditingkatkan', 'performansinya']</t>
  </si>
  <si>
    <t>['sip', 'udah', 'bagus', 'pertahankan', 'layanan', 'experiencenya', 'indihome']</t>
  </si>
  <si>
    <t>['pelayanannya', 'prima', 'teknisinya', 'cepet', 'datengnya']</t>
  </si>
  <si>
    <t>['layanan', 'indihome', 'tetep', 'terbaik', 'bravo', 'telkom']</t>
  </si>
  <si>
    <t>['pindah', 'provider', 'laen', 'hahahahaha']</t>
  </si>
  <si>
    <t>['asyik', 'tampilannya', 'memudahkan']</t>
  </si>
  <si>
    <t>['kasih', 'app', 'susah', 'buka', 'dng', 'myindihome', 'skrng']</t>
  </si>
  <si>
    <t>['aplikasi', 'myindihome', 'bagus', 'masuh', 'kembangkan', 'optimal', '']</t>
  </si>
  <si>
    <t>['penangan', 'lumayan', 'cepat', 'ditanggapi', 'customer']</t>
  </si>
  <si>
    <t>['indihome', 'troubel', 'berat', 'terima', 'kasih', 'bantuan', 'aplikasi', 'syangnya', 'penukaran', 'poin', 'sekaarang', 'mahal', 'kayak', 'corana', '']</t>
  </si>
  <si>
    <t>['bagus', 'lbh', 'gampang', 'customer', 'servicd']</t>
  </si>
  <si>
    <t>['berlangganan', 'indhome', 'hemat', 'saku']</t>
  </si>
  <si>
    <t>['aplikasi', 'lengkap', 'mudah', 'mengerti', 'disayangkan', 'lemot', 'mengoperasikan', 'sesuai', 'pengalaman', 'terimakasih']</t>
  </si>
  <si>
    <t>['memudahkan', 'pengecekan', 'app', 'mantapppp']</t>
  </si>
  <si>
    <t>['indihoom', 'mantap']</t>
  </si>
  <si>
    <t>['aplikasinya', 'mayan', 'semoga', 'kedepannya', 'lemot', '']</t>
  </si>
  <si>
    <t>['aplikasi', 'indihome', 'tampilan', 'layar', 'muka', 'bervariasi', 'tinggal', 'poles', 'menu', 'menu', 'informasi', 'detail', 'pelanggan', 'aplikasi']</t>
  </si>
  <si>
    <t>['update', 'mudah', 'tampilannya', 'bagus', 'ngak', 'teralalu', 'ngeloading', 'versi', 'kemarin', 'mantaps', 'pokoknya', '']</t>
  </si>
  <si>
    <t>['terima', 'kasih', 'indihome', 'layanan', 'semoga', 'jaya', '']</t>
  </si>
  <si>
    <t>['myindihome', 'mudah', 'informasi', 'seputar', 'paket', 'mudah', 'pengaduan', 'layanan', 'kendala', 'koneksi']</t>
  </si>
  <si>
    <t>['menghubungi', 'operator', 'wifi', 'jaringan', 'internet', 'tiket', 'pengecekan', 'tapii', 'pelaporan', 'teknisinya', 'gag', 'muncul', 'muncul']</t>
  </si>
  <si>
    <t>['bagus', 'informasi', 'berguna', 'banget', 'telp', 'rumah', 'mudah', 'dpt', 'info', 'tagihan', 'produk', 'telkom', '']</t>
  </si>
  <si>
    <t>['bintang', 'yak', 'infonya', 'lengkap']</t>
  </si>
  <si>
    <t>['untungnya', 'hemat', 'cepat', 'rezeki', 'lancar', 'tks', 'indi', 'home']</t>
  </si>
  <si>
    <t>['bayar', 'mahal', 'ngelag', 'hadeh']</t>
  </si>
  <si>
    <t>['aplikasi', 'berat', 'susah', 'pakai']</t>
  </si>
  <si>
    <t>['bagus', 'versi', '']</t>
  </si>
  <si>
    <t>['terbaik', 'pelayanan', 'memuaskan', '']</t>
  </si>
  <si>
    <t>['aplikasi', 'lemot', 'banget', 'mending', 'versi', 'update', 'informasi', 'lengkap', 'ngga', 'lemot', 'pelayanan', 'tingkatin', 'min', 'pengaduan', 'ribet', 'ampun', '']</t>
  </si>
  <si>
    <t>['update', 'leg', 'susah', 'buka', 'balikin', 'versi', 'leg', 'jad', 'burik', 'aplikasinya', '']</t>
  </si>
  <si>
    <t>['lemot', 'aplikasinya', 'susah', 'login', '']</t>
  </si>
  <si>
    <t>['aplikasi', 'berguna', 'lemot', 'pengaksesan', '']</t>
  </si>
  <si>
    <t>['aplikasi', 'busuk', 'login', 'trus']</t>
  </si>
  <si>
    <t>['', 'update', 'skarang', 'orang', 'konek', 'wifi', 'versi', 'sblumnya', 'langsung', 'brp', 'org', 'konek', 'wifi', 'bntng']</t>
  </si>
  <si>
    <t>['informatif', 'lemot', 'bintang', 'deh']</t>
  </si>
  <si>
    <t>['aplikatif', 'respon', 'kendala', 'dikeluhkan']</t>
  </si>
  <si>
    <t>['membantu', 'kepentingan', 'jaringan', 'kuat', 'bagus', 'indihome']</t>
  </si>
  <si>
    <t>['aman', 'nyaman', 'kakak', 'layanan', 'cepat', 'terima', 'kasih']</t>
  </si>
  <si>
    <t>['aplikasi', 'membantu', 'pengguna', 'indihome', 'ngecek', 'tagihan', 'tenggang', 'pembayaran', 'terlewatkan', 'indita', 'kendala', 'hadapi']</t>
  </si>
  <si>
    <t>['lumayan', 'stabil', 'masang', 'odp', 'penuh']</t>
  </si>
  <si>
    <t>['aplikasi', 'membantu', 'akses', 'indihome', 'fitur', 'ckup', 'membantu', 'ditingkatkan']</t>
  </si>
  <si>
    <t>['tampilan', 'mudah', 'dimengerti', 'enak', 'mencari', 'info', '']</t>
  </si>
  <si>
    <t>['aplikasinya', 'bagus', 'lemot', '']</t>
  </si>
  <si>
    <t>['mantap', 'internet', 'stabil', 'kendala', 'dngn', 'sigap', 'masukan', 'keluhan', 'pelanggan', 'sukses', 'indihome', 'tingkatkan', 'performa']</t>
  </si>
  <si>
    <t>['', 'setaon', 'indihome', 'manteppp', 'kendala', '']</t>
  </si>
  <si>
    <t>['indihome', 'smpet', 'trjd', 'perdebtan', 'pnjg', 'anak', 'barakallah', 'semenjak', 'covid', 'bljar', 'daring', 'mesti', 'paket', 'internet', 'krna', 'lelah', 'mesti', 'isi', 'paket', 'counter', 'indihome', 'pilihan', 'pjg', 'dpat', 'persetujuan', 'mama', 'mama', 'ngijinin', 'krna', 'beliau', 'jga', 'seorg', 'guru', 'hrus', 'dituntut', 'mengajar', 'online', 'seneng', 'indihome', 'beljr', 'online', 'mengajar', 'online', 'jga', '']</t>
  </si>
  <si>
    <t>['mantaf']</t>
  </si>
  <si>
    <t>['bagus', 'bintang', '']</t>
  </si>
  <si>
    <t>['aplikasi', 'bagus', 'home', 'pagenya', 'tertata', 'rapi', 'enak', 'mata', 'simple', 'praktis', 'kebutuhan', 'kebutuhan', 'aplikasi', 'mengcheck', 'pembayaran', 'bulanan', 'membuka', 'aplikasi', 'langsung', 'terpampang', 'layar']</t>
  </si>
  <si>
    <t>['versi', 'informatif', 'tampilan', 'catchy', 'penggunaan', 'mudah', 'good', 'job']</t>
  </si>
  <si>
    <t>['downlodnya', '']</t>
  </si>
  <si>
    <t>['senang', 'bgus', 'skli', 'internet', 'lncar']</t>
  </si>
  <si>
    <t>['loadingnya', 'perusahaan', 'telekomunikasi', 'hebat', 'bidang', 'teknologi']</t>
  </si>
  <si>
    <t>['aplikasi', 'lemootttt', 'buka', 'ora', 'danta', 'bintang', 'maksaa']</t>
  </si>
  <si>
    <t>['semenjak', 'update', 'liat', 'pemakaian', 'internet', 'aplikasi', 'lemot', 'kirain', 'sebentar', 'udah', 'banget', 'tetep', 'perubahan']</t>
  </si>
  <si>
    <t>['aplikasi', 'versi', 'beta', 'perbaikan', 'membuka', 'aplikasi', 'berat', 'lemot', '']</t>
  </si>
  <si>
    <t>['', 'indihome', 'pelanggan', 'setia', 'indihome', 'pengalaman', 'seru', 'aplikasi', 'myindihome', 'pelaporan', 'gangguan', 'butuh', 'rumit', 'aplikasi', 'laporan', 'cepat', 'teknisi', 'laporan', 'integrasi', 'add', 'catchplay', 'mudah', 'main', 'game', 'exclusive', 'items', 'terima', 'kasih', 'indihome', 'semoga', 'pelayanannya', '']</t>
  </si>
  <si>
    <t>['gagal', 'uplod', 'pendaftaran']</t>
  </si>
  <si>
    <t>['telkom', 'indihome', 'perusahaan', 'aplikasinya', 'lelet', 'aplikasi', 'pemula', 'sistem', 'robotika', 'mengalihkan', 'keluhan', 'pelanggan', 'tewitter', 'instagram', 'harap', 'aplikasi', 'wadah', 'menampung', 'keluhan', 'pelanggan', 'indihome', 'thanks', '']</t>
  </si>
  <si>
    <t>['uang', 'jaminan', 'ditransfer', 'lho', 'balasan', 'email', 'suruh', 'tunggu', 'trs', 'gimana', '']</t>
  </si>
  <si>
    <t>['terbaik', 'pokoknya', '']</t>
  </si>
  <si>
    <t>['joss', 'tenan', '']</t>
  </si>
  <si>
    <t>['jaringan', 'lumayan']</t>
  </si>
  <si>
    <t>['via', 'web', 'aplikasi', '']</t>
  </si>
  <si>
    <t>['pengalaman', 'melaporkan', 'problem', 'kantor', 'dibantu', 'customer', 'service', 'download', 'aplikasi', 'kantor', 'telkom', 'dikantor', 'report', 'problem', 'dihadapi', 'aplikasinya', 'mudah', 'teknisi', 'langsung', 'perbaikan', 'contactless', 'teknisi', 'tkp', 'problem', 'selesai']</t>
  </si>
  <si>
    <t>['udah', 'indihome', 'puas', 'banget', 'lemot', 'ank', 'dipake', 'nonton', 'youtube', 'rumah', 'smoga', 'lancar', 'kedepannya', 'skrg', 'aplikasi', 'indihime', 'terbaru', 'bagus', 'banget', 'tampilannya', 'mempermudah', 'pengguna', 'memantau', 'penggunaan', 'kuota', 'wifi', 'sukses', 'indihome']</t>
  </si>
  <si>
    <t>['tks']</t>
  </si>
  <si>
    <t>['susah', 'update']</t>
  </si>
  <si>
    <t>['irit', 'bermanfaat', 'pakai', 'indihome', 'wifi', 'dirumah', 'pakai', 'internet', 'sepuasnya', 'pikirin', 'kuota']</t>
  </si>
  <si>
    <t>['lemot', '']</t>
  </si>
  <si>
    <t>['lambat', 'benefit', 'redeem', 'poin', '']</t>
  </si>
  <si>
    <t>['interaktif', 'banget', 'aplikasinya']</t>
  </si>
  <si>
    <t>['interface', 'aplikasi', 'menarik', 'nyaman', 'peningkatan', 'tampilan', 'terkadang', 'aplikasi', 'lemot']</t>
  </si>
  <si>
    <t>['aplikasi', 'enak', 'api', 'lamban', 'loadnya', 'not', 'bad', 'selagi', 'aplikasi', 'berjalan', 'normal', '']</t>
  </si>
  <si>
    <t>['better', 'and', '']</t>
  </si>
  <si>
    <t>['tampilan', 'menarik', 'nyaman']</t>
  </si>
  <si>
    <t>['mantep']</t>
  </si>
  <si>
    <t>['indihome', 'mantap', 'jiwa', 'jaringannya', 'kuat', 'lemot', '']</t>
  </si>
  <si>
    <t>['nyaman', 'app', 'versi']</t>
  </si>
  <si>
    <t>['udah', 'install', 'myindihome', 'semenjak', 'kuliah', 'gara', 'kosan', 'deket', 'wifi', 'perubahan', 'aplikasi', 'semoga', 'kedepannya', '']</t>
  </si>
  <si>
    <t>['best', 'services']</t>
  </si>
  <si>
    <t>['mudah', 'aplikasi', 'indihome', 'informasi', 'lengkap', 'seputar', 'paket', 'bonus', 'dll', 'mengupgrade', 'indihome', '']</t>
  </si>
  <si>
    <t>['nyesel', 'update', 'terlambat', 'update', 'teman', '']</t>
  </si>
  <si>
    <t>['memperlancar', 'kecepatan', 'jaringan', '']</t>
  </si>
  <si>
    <t>['tampilan', 'dimudahkan', 'dibenadingkan', 'kadang', 'jaringan', 'labil', 'semoga', 'kedepan', 'diperbaiki']</t>
  </si>
  <si>
    <t>['membantu', 'pelanggan', 'informasi', 'gangguan', 'pakai', 'aplikasi', '']</t>
  </si>
  <si>
    <t>['berguna']</t>
  </si>
  <si>
    <t>['aktifasi', 'saldo', 'renew', 'paket', 'bayar', 'jt', 'perbulan', 'paket', 'mbps', 'internet', 'batasi', 'kecepatan', 'dibawah', 'mbps', 'unlimited', 'sesungguhnya']</t>
  </si>
  <si>
    <t>['bagus', 'membantu', 'penawaran', 'informasi', 'valid', 'mudah', 'pokoknya', 'recomended', 'banget']</t>
  </si>
  <si>
    <t>['aplikasi', 'sampah', 'ferifikasi', 'akun', 'ngga', 'selesai', 'lemot', 'banget']</t>
  </si>
  <si>
    <t>['mantap', 'joss', 'lambat']</t>
  </si>
  <si>
    <t>['pelayanan', 'memuaskan', 'laporan', 'berkali', 'teknisi', 'app', 'lemot', '']</t>
  </si>
  <si>
    <t>['diperbarui', 'jelek', 'aplikasinya', 'bagus', 'dibanding']</t>
  </si>
  <si>
    <t>['aplikasi', 'modern', 'memudahkan', 'penggunaan', 'thankyou', 'indihome', '']</t>
  </si>
  <si>
    <t>['mantap', 'signal', 'bagus', 'studi', 'pekerjaan', 'aman', 'terkendali', '']</t>
  </si>
  <si>
    <t>['aplikasi', 'lemot', 'pembaruan', 'sekedar', 'liat', 'nomor', 'bayar', 'susah', 'mati', 'lupa', 'nomernya', 'langsung', 'telpon', 'call', 'center', 'pulsa', 'orang', 'pembaruan', 'bagus', 'whhyyy', 'bumn', '']</t>
  </si>
  <si>
    <t>['aplikasi', 'sangan', 'susah', 'login', 'dangan', 'mengecewakan']</t>
  </si>
  <si>
    <t>['versi', 'terupdatenya', 'cepat', 'versi', 'tampilan', 'simple', 'mudah', 'mudah', 'riwayat', 'pembayaran', 'pembelian', 'pokoknya', 'mudah', 'bagus']</t>
  </si>
  <si>
    <t>['sip', 'mantab', 'memudahkan', 'panduan', 'pelayanan', 'telkomsel', '']</t>
  </si>
  <si>
    <t>['appnya', 'aneh', 'bayar', 'tagihan', 'telkom', 'taguhan', 'appnya', 'tagihan', 'hadeh', 'hapus', 'cache', 'data', 'trus', 'uninstall', 'reinstall', 'appnya', 'jelek']</t>
  </si>
  <si>
    <t>['mantab', 'aplikasi', 'indihome', 'membantu', 'memonitoring', 'wifi', 'dirumah', 'membantu', 'layanan', 'thanks', 'indihome']</t>
  </si>
  <si>
    <t>['bermanfaat', 'memilih', 'paket', 'add', 'tampilan', 'terbarunya', 'memukau']</t>
  </si>
  <si>
    <t>['gangguan', 'modem', 'los', 'indohome', 'sampah', '']</t>
  </si>
  <si>
    <t>['internetnya', 'kenceng', 'puooollll', 'aplikasi', 'indihome', 'mantappp', 'kontrol', 'kuota', 'pembayaran', 'permudah']</t>
  </si>
  <si>
    <t>['pelayanan', 'kendala', 'jam', 'pokok', 'download', 'apk', 'playstore', 'layanan', 'fast', 'respon']</t>
  </si>
  <si>
    <t>['aplikasi', 'lelet']</t>
  </si>
  <si>
    <t>['bagus', 'inovatif']</t>
  </si>
  <si>
    <t>['app', 'loding', 'bagus', 'jelek', 'indihome', 'indihome']</t>
  </si>
  <si>
    <t>['susah', 'log']</t>
  </si>
  <si>
    <t>['', 'perbarui', 'ngga', 'nmr', 'pembayaran', 'info', 'pengaduan']</t>
  </si>
  <si>
    <t>['udah', 'komplen', 'blm', 'tanggapan', 'perbaiki', 'jaringan', 'internet', 'udah', 'ganti']</t>
  </si>
  <si>
    <t>['servernya', 'lemot', 'koneksinya', 'lemot']</t>
  </si>
  <si>
    <t>['update', 'susah', 'pelanggan', 'melaporkan', 'gangguan', 'sejatinya', 'apk', 'mempermudah', 'layanan', 'indiehome', 'layanan', 'gangguan', 'mohon', 'perbaiki', 'update', 'manfaatkan', 'layanan']</t>
  </si>
  <si>
    <t>['aplikasi', 'perusahan', 'bumn', 'layak', 'pakai', 'malu', 'negara']</t>
  </si>
  <si>
    <t>['jam', 'pagi', 'mesti', 'gangguan', 'trouble', 'mulu']</t>
  </si>
  <si>
    <t>['knpa', 'stelah', 'updet', 'ngaco', 'masuk', 'susah']</t>
  </si>
  <si>
    <t>['aplikasi', 'update', 'udah', 'lemot']</t>
  </si>
  <si>
    <t>['ngelag', 'bet', 'internetlu', '']</t>
  </si>
  <si>
    <t>['aplikasi', 'lambat', 'alias', 'lelet', 'susah', 'login']</t>
  </si>
  <si>
    <t>['', 'msuk', 'menu', 'tagihan', 'login', 'klu', 'logout', 'hrus', 'install', 'ulang', 'bru', 'lemot']</t>
  </si>
  <si>
    <t>['aplikasi', 'berguna', 'update', 'lemot', 'berhenti', 'kena', 'denda', 'putus', 'layanan', 'sabar', 'buoan', 'setahun', 'berlangganan', 'langsung', 'berhenti', 'nyesal', 'pakai', 'indihome', '']</t>
  </si>
  <si>
    <t>['emosi', 'lemot', 'ketulungan']</t>
  </si>
  <si>
    <t>['noob', '']</t>
  </si>
  <si>
    <t>['parah', 'buka', 'hbo', 'hatus', 'pasword', 'indihome', 'skrg', 'aplilasinya', 'bsa', 'dibuka', 'nambah', 'paket', 'dipake', '']</t>
  </si>
  <si>
    <t>['maaf', 'tolong', 'diperbaiki', 'aplikasinya', 'update', 'tampilannya', 'lemot', 'banget']</t>
  </si>
  <si>
    <t>['kasih', 'bintang', 'aplikasi', 'lemot']</t>
  </si>
  <si>
    <t>['setahun', 'aman', 'banhet', 'kendala', 'ngebantu', 'banget', 'deh', 'pokoknya']</t>
  </si>
  <si>
    <t>['terpaksa', 'install', 'ulang', 'versi', 'versi', 'parah', 'loding', 'trus', 'seharian', 'enak', 'versi']</t>
  </si>
  <si>
    <t>['aplikasi', 'lemot', 'nunggu', 'login', 'submit', 'problem', 'auto', 'session', 'habis', '']</t>
  </si>
  <si>
    <t>['udh', 'login', 'email', 'verifikasi', 'via', 'sms', 'dasaarrr', 'apk', 'bodoohhh', 'udh', 'login', 'email', 'ngapain', 'verifikasi', 'emng', 'apk', 'tolol', 'gmn', 'login', 'nomor', 'hilang', 'cobaaa', 'tolong', 'diperbaiki', 'dipersulit', 'udh', 'berhasil', 'login', 'pke', 'email', 'ngapain', 'verifikasi', '']</t>
  </si>
  <si>
    <t>['pantesan', 'ngasih', 'rating', 'jelek', 'emng', 'bneran', 'jelek', 'lag', 'karuan', 'server', 'konek']</t>
  </si>
  <si>
    <t>['aplikasinya', 'lelet', 'loading', 'login', 'gagal']</t>
  </si>
  <si>
    <t>['aplikasi', 'lemot', 'mending', 'download', 'makan', 'bintang']</t>
  </si>
  <si>
    <t>['crash', 'berhenti', 'gabisa', 'akses', 'tolong', 'perbaiki', 'negara', 'bagus', 'swasta']</t>
  </si>
  <si>
    <t>['plat', 'merah', 'login', '']</t>
  </si>
  <si>
    <t>['indihome', 'best', 'for', 'all']</t>
  </si>
  <si>
    <t>['login', 'susah', 'lapor', 'gangguan', 'susah']</t>
  </si>
  <si>
    <t>['aplikasinya', 'bagus', 'perbaiki', 'karna', 'lambat', 'buka', 'aplikasinya', 'trimakasih']</t>
  </si>
  <si>
    <t>['update', 'terbaru', 'disuruh', 'instal', 'ulang', 'tampilan', 'aplikasinya', 'aneh', 'bagus', 'tampilan', 'penawaran', 'paket', 'layar', 'akibatnya', 'dibutuhkan', 'pelanggan', 'dqn', 'tujuan', 'utama', 'instal', 'aplikasi', 'terpenuhi', '']</t>
  </si>
  <si>
    <t>['asli', 'gua', 'bayar', 'sue', 'bagus', 'sever', 'butut', 'iya', 'gua', 'streaming', 'buka', 'apps', 'kocak']</t>
  </si>
  <si>
    <t>['pembayaran', 'kartu', 'berlogo', 'visa', 'master', 'card', 'bebas', 'bea', 'admin']</t>
  </si>
  <si>
    <t>['update', 'gagal', 'masuk', 'muter', 'masuk', 'masuk', '']</t>
  </si>
  <si>
    <t>['update', 'berat', 'susah', 'masuk']</t>
  </si>
  <si>
    <t>['semenjak', 'oake', 'indihome', 'belajar', 'anak', 'hambatan', 'nonton', 'apapun', 'mudah', 'terimakasih', 'indihome', 'sukses', '']</t>
  </si>
  <si>
    <t>['aplilasi', 'diperbarui', 'log', 'keluhan', 'mohon', 'diperbaiki', '']</t>
  </si>
  <si>
    <t>['fitur', 'terbaru', 'susah']</t>
  </si>
  <si>
    <t>['mantafff', '']</t>
  </si>
  <si>
    <t>['update', 'muncul', 'layar', 'indhihome', 'login', 'aplikasi', 'seakan', 'hang', 'please', 'perusahaan', 'nasional', 'apps', 'kayak', 'gini', 'update', 'burik', '']</t>
  </si>
  <si>
    <t>['indihome', 'aplikasi', 'berguna', 'log', 'susah', 'log', 'outnya', 'otomatis', 'payah', '']</t>
  </si>
  <si>
    <t>['lemot', 'bgd', 'aplikasi', 'pantes', 'bintang', 'dikit', '']</t>
  </si>
  <si>
    <t>['versi', 'sulit', 'akses', 'yaa', 'sampe', 'didalam', 'aplikasi', 'karna', 'sulit', 'masuk', 'usul', 'mendingan', 'dibalikin', 'versi', 'sblum', '']</t>
  </si>
  <si>
    <t>['aplikasi', 'buka', 'lemot', 'muncul', 'tulisan', 'dlm', 'perbaikan', 'hati', 'perusahan', 'nasional', 'pesaing', 'kalah', '']</t>
  </si>
  <si>
    <t>['indihome', 'jaringan', 'internet', 'kencang', 'puas', 'deh', 'terimakasih', 'indihome', '']</t>
  </si>
  <si>
    <t>['update', 'aplikasi', 'skrng', 'simple', 'mengecek', 'pemakaian', 'fup', 'dll', 'tampilan', 'elegan']</t>
  </si>
  <si>
    <t>['versi', 'masuk', 'otp', 'password', 'nunggu', 'ujung', 'perbaikan', 'haduu']</t>
  </si>
  <si>
    <t>['bagusss']</t>
  </si>
  <si>
    <t>['suka', 'bete', 'ujan', 'jaringan', 'terputus', 'good', 'produk', 'anak', 'negri', 'mendukung', 'dna', 'hrs', 'kreatif', '']</t>
  </si>
  <si>
    <t>['dangat', 'bermanfaat']</t>
  </si>
  <si>
    <t>['indihome', 'keren']</t>
  </si>
  <si>
    <t>['', 'indihome', 'bagus', '']</t>
  </si>
  <si>
    <t>['gimana', 'aplikasi', 'becus', 'bayar', 'mahal', 'buffering', 'sampah', 'aplikasi', 'sampah', 'kerja', 'bener', 'cok']</t>
  </si>
  <si>
    <t>['ampas']</t>
  </si>
  <si>
    <t>['', 'jelek', 'banget', 'update']</t>
  </si>
  <si>
    <t>['indihome', 'majunya', 'aplikasi', 'keren', 'doang', 'renew', 'sod', 'sampe', 'jam', 'buang', 'tenaga', 'udah', 'call', 'hasilnya', 'tunggu', 'pengusaha', 'swasta', 'jaringan', 'internet', 'liat', 'kecewa', 'aplikasi', '']</t>
  </si>
  <si>
    <t>['gimana', 'siihhh', 'kaga', 'dibuka']</t>
  </si>
  <si>
    <t>['kecewa', 'aplikasi', 'updatenya', 'lemotnya', 'parah', 'buka', 'susah', 'ganti', 'password', 'upgrade', '']</t>
  </si>
  <si>
    <t>['kaya', 'coba', 'lindungi', 'banget', 'tolong', 'kuota']</t>
  </si>
  <si>
    <t>['internetnya', 'ampuuun', '']</t>
  </si>
  <si>
    <t>['after', 'updating', 'this', 'app', 'can', 'login', 'account', 'please', 'fix', 'quickly', 'coz', 'really', 'need', 'thx']</t>
  </si>
  <si>
    <t>['aplikasi', 'pembaharuan', 'bingit', 'bukanya', 'menutup', 'sesi', 'habis']</t>
  </si>
  <si>
    <t>['merubah', 'paket', 'gmn', 'menghilangkan', 'channel', 'kepakai']</t>
  </si>
  <si>
    <t>['mantep', 'bat', 'aplikasinya']</t>
  </si>
  <si>
    <t>['aplikasinya', 'berat', 'udqh', 'updating', 'aplikasi', 'klar', 'klar', 'cape', 'deh']</t>
  </si>
  <si>
    <t>['skrng', 'gini', 'login', 'aplikasinya', 'kebuka', 'pke', 'wifi', 'pke', 'data', 'kebuka', 'lemot', 'banget', 'sinyal', 'bagus', 'buka', 'aplikasi', 'cpet', 'kebuka', 'buka', 'myindihome', 'lemot', 'banget', 'tolong', 'perbaiki', 'bayarnya', 'tanggal', 'brp', '']</t>
  </si>
  <si>
    <t>['update', 'gabisa', 'login', 'lodiiiiing', 'teruuuussss', 'pdhl', 'udh', 'uninstall', 'trus', 'installl', 'ulaaang', 'ttep', 'gabisa', 'login', 'peningkataan', 'sampe', 'nenek', '']</t>
  </si>
  <si>
    <t>['nyesel', 'pindah', 'kesini']</t>
  </si>
  <si>
    <t>['aplikasi', 'payah', 'abis', 'update', 'ancuurrrrrrr']</t>
  </si>
  <si>
    <t>['aplikasinya', 'busuk', 'internet', 'dlu', 'liat', 'brapa', 'pengguna', 'aktif', 'terhubung', 'skrg', 'ngk', 'bntar', 'log', 'out', 'bntar', 'kluar', 'masuk', 'aplikasi', 'loading', 'ngk', 'beres', 'verifikasi', 'mulu', 'berulang', 'ulang', 'knapa', 'plat', 'merah', 'mengecewakan']</t>
  </si>
  <si>
    <t>['mohon', 'dikembalikan', 'sistem', 'masuk', 'susah', 'liat', 'tagihan', '']</t>
  </si>
  <si>
    <t>['aplikasi', 'berat']</t>
  </si>
  <si>
    <t>['niat', 'aplikasi', 'login', 'aplikasi', 'hapus', 'playstore', 'sok', 'aplikasi', 'awas', 'alasan', 'jaringan', 'balas', 'komen', 'kena', 'koplain', 'habis', 'san', '']</t>
  </si>
  <si>
    <t>['parah', 'loading', 'trus']</t>
  </si>
  <si>
    <t>['haduuuuuuh', 'parah', 'niat', 'update', 'buruk', 'gini', 'login', 'susah', 'bener', 'sampe', 'login', 'rubah', 'pass', 'dibales', 'maaf', 'peningkatan', 'layanan', 'layanan', 'ditingkatkan', 'sinyalnya', 'mkin', 'jelek', '']</t>
  </si>
  <si>
    <t>['app', 'lag', 'lag', 'lag', 'habis', 'update']</t>
  </si>
  <si>
    <t>['pembaruan', 'terbaru', 'aplikasi', 'myindihome', 'lelet', 'aplikasi', 'dibuka', 'biruk', 'perusahan', 'bumn', '']</t>
  </si>
  <si>
    <t>['update', 'email', 'knp', 'indihome', 'dimasuk', 'pass', 'salah', 'mulu', '']</t>
  </si>
  <si>
    <t>['saran', 'indihome', 'sibuk', 'mempromosikan', 'paket', 'pengguna', 'indihome', 'kesusahan', 'indihomo', 'bermasalah', 'internet', 'putus', 'hubungi', 'teknisi', 'hub', 'call', 'center', 'call', 'center', 'udah', 'hub', 'kali', 'tersambung', 'udah', 'minggu', 'indhome', 'rumah', 'mati', 'ribet', 'bngt', 'hub', 'teknisi', 'rugi', 'mohon', 'perhatikan', 'lahi', 'indihome']</t>
  </si>
  <si>
    <t>['kesini', 'pelayanan', 'app', 'indihomo', 'buruk', 'babi', 'emang']</t>
  </si>
  <si>
    <t>['susah', 'masuk', 'gangguan', 'mulu']</t>
  </si>
  <si>
    <t>['perbaikan', 'layanan', 'mulu', 'sihhh', 'susah', 'kekk', 'hadehhhhh']</t>
  </si>
  <si>
    <t>['kembalikan', 'versi', 'ksni', 'buruk']</t>
  </si>
  <si>
    <t>['update', 'terbaru', 'jelek', 'segi', 'cocok', 'versi']</t>
  </si>
  <si>
    <t>['update', 'buka', 'balasan', 'aplikasi', 'indihome', 'gangguan', 'tekhnis', '']</t>
  </si>
  <si>
    <t>['', 'jul', 'aplikasi', 'indihome', 'dibuka', 'muncul', 'keterangan', 'peningkatan', 'layanan']</t>
  </si>
  <si>
    <t>['indihome', 'lemot', 'cok', 'udah', 'lemot', 'login', 'susah', 'pecuma', 'punyak', 'jaringan', 'benerin', 'lemot', '']</t>
  </si>
  <si>
    <t>['mendingan', 'afk', 'dlu']</t>
  </si>
  <si>
    <t>['mohon', 'perbaiki', 'ganti', 'nomor', 'login', 'tertulis', 'nomor', 'terdaftar', 'login', 'email', 'masuk', 'kirim', 'verifikasi', 'nmr', 'web', 'login', 'nomor']</t>
  </si>
  <si>
    <t>['bayar', 'ribu', 'lambat', 'mintak', 'ampun', 'solusi', 'indihome', '']</t>
  </si>
  <si>
    <t>['semenjak', 'update', 'fitur', 'pengaduan', 'layanan', 'trouble', 'dihilangkan', '']</t>
  </si>
  <si>
    <t>['login', '']</t>
  </si>
  <si>
    <t>['indihome', '']</t>
  </si>
  <si>
    <t>['tagihan', 'cepat', 'jaringan', 'bermasalah']</t>
  </si>
  <si>
    <t>['login', 'aplikasi', 'woy', '']</t>
  </si>
  <si>
    <t>['app', 'crash', '']</t>
  </si>
  <si>
    <t>['bagus', 'perbaiki', 'aplikasinya', 'salah', 'pasword', 'beda', 'web', 'aplikasi']</t>
  </si>
  <si>
    <t>['aplikasi', 'bagus', 'berat', 'ampun', 'ngelag', 'suka', 'force', 'close']</t>
  </si>
  <si>
    <t>['indihomecare', 'gua', 'dibales', 'udah', 'masukin', 'internet', 'tetep', 'ajh', 'read', 'doang', 'gua', 'nanya', 'knpa', 'apk', 'susah', 'akses', 'dikit', 'gangguan', 'males', '']</t>
  </si>
  <si>
    <t>['ribet', 'aplikasinya', 'log', 'susah', 'buffering', 'doang', 'nomer', 'susah', 'kode', 'verifikasi', 'skrang', 'pswrd', 'giliran', 'masukin', 'pswrd', 'salah', 'teruss', 'bntar', 'perbarui', 'bolak', 'log', '']</t>
  </si>
  <si>
    <t>['aplikasi', 'menyusahkan']</t>
  </si>
  <si>
    <t>['ngebug', 'susah', 'dibuka', 'semenjak', 'update']</t>
  </si>
  <si>
    <t>['error', 'mulu', 'diskon', 'ribet']</t>
  </si>
  <si>
    <t>['aplikasi', 'menyesatkan', 'terdaftar', 'suruh', 'ulang', 'kelera']</t>
  </si>
  <si>
    <t>['tingkat', '']</t>
  </si>
  <si>
    <t>['update', 'aplikasi', 'terbaru', 'masuk', 'tulisannya', 'update', 'layanan', '']</t>
  </si>
  <si>
    <t>['semenjak', 'update', 'super', 'lemot', 'bgtttttttt', 'cek', 'status', 'balikin', 'versi', 'cpat', 'dri', 'pda', 'versi', 'skrang', 'le', 'mnta', 'ampun', 'mnculin', 'status', 'lnganan', 'cek', 'pmakaian', 'kuota', 'diperbaikin', 'nntiku', 'prbaikin', 'rating', '']</t>
  </si>
  <si>
    <t>['masuk', 'jaringan', 'buruk', 'nonton', 'lancar', 'astagaaa', 'aplikasi', 'korup', 'petingggi', 'indihome', 'stop', 'langganan', '']</t>
  </si>
  <si>
    <t>['kasih', 'bintang', 'deh', 'aplikasinya', 'versi', 'login', 'susah', 'banget', 'perusahaan', 'sekelas', 'telkom', 'aplikasi', 'aplikasi', 'sampah', '']</t>
  </si>
  <si>
    <t>['wifii', 'mahal', 'seringg', 'losss', 'layanann', 'sangatt', 'burukkkk']</t>
  </si>
  <si>
    <t>['aplikasi', 'indihome', 'informatif', 'lambat', 'prosesnya', 'menu', 'masuk', 'kode', 'otp', 'diinput', 'menu', 'masuk', 'menu', 'keliru', 'kode', 'otp', 'masuk', 'klik', 'tanda', 'help', 'detik', 'menit', 'time', 'out', 'logout', 'aktif', 'dipakai', 'masuk', 'login', 'klik', 'tap', 'menu', 'menu', 'prosesnya', 'lambat', 'mohon', 'perbaikan', 'aplikasi', 'tsb']</t>
  </si>
  <si>
    <t>['indihome', 'corporate', 'bonafide', 'bumn', 'keluhan', 'human', 'manusia', 'reply', 'dibalas', 'system', 'computer', 'mengeluh', 'robot', '']</t>
  </si>
  <si>
    <t>['pembaruan', '']</t>
  </si>
  <si>
    <t>['masuk', 'susah', 'perusahaan', 'milik', 'negara', 'coba', 'tingkatkan']</t>
  </si>
  <si>
    <t>['update', 'memperbaiki', 'aplikasi', 'nambah', 'bobrok', 'gini', 'aplikasi']</t>
  </si>
  <si>
    <t>['indihome', 'penyedia', 'jaringan', 'teknologi', 'benahi', 'aplikasi', 'sediakan', 'jaringan', 'berkualitas', '']</t>
  </si>
  <si>
    <t>['mita', 'maaf', 'mulu', 'perkembangan', 'aplikasi', 'loading', 'mulu', 'logaut', 'perkembangan', 'maaf', 'mulu', 'konplenan', 'perbaiki', 'buruk', 'iya', 'tolong', 'apk', 'bener', 'maaf', 'mulu']</t>
  </si>
  <si>
    <t>['perusahaan', 'aplikasinya', 'jelek', 'masuk', 'susah', 'klik', 'menu', 'lambatnya', 'malu', 'indihome']</t>
  </si>
  <si>
    <t>['aplikasi', 'udah', 'ngk', 'buka', 'rendewspeed', 'ngk', 'udah', 'tlpon', 'ngk', 'perkembangan', '']</t>
  </si>
  <si>
    <t>['kedepannya', 'diperbaiki', 'permudah', 'login', 'loadingnya', 'aplikasinya', 'gangguan', '']</t>
  </si>
  <si>
    <t>['susah', 'ganti', 'pasword', 'perbaikana', 'ajah', 'msuk', 'indihome', 'tvv']</t>
  </si>
  <si>
    <t>['masuk', 'susah', 'banget', 'niat', 'app']</t>
  </si>
  <si>
    <t>['layananya', 'jelek', 'updete', 'mending', 'fersi', 'mengecek', 'pemakain', 'internet', 'nggak', '']</t>
  </si>
  <si>
    <t>['kecewa', 'total', 'versi', 'terbaru', 'nggak', 'akses', 'parah']</t>
  </si>
  <si>
    <t>['aplikasinya', 'buka', 'download']</t>
  </si>
  <si>
    <t>['gagal', 'login', '']</t>
  </si>
  <si>
    <t>['masuk', 'updet', 'resah', 'pengguna', 'indihome', '']</t>
  </si>
  <si>
    <t>['hbs', 'update', 'aplikasi', 'baa', 'login', 'dri', 'kmren', 'gmn', '']</t>
  </si>
  <si>
    <t>['apk', 'jelek', 'crash', 'maksimalin', 'aplikasinya', 'org', 'suka', 'aplikasi', 'nelpon', 'ngabisin', 'pulsa', 'pke', 'aplikasi', '']</t>
  </si>
  <si>
    <t>['koneksi', 'bagus', 'wifi', 'mauoun', 'paket', 'data', 'login', 'suruh', 'priksa', 'kneksi', 'internet', 'plis', 'repair', 'this', 'bug']</t>
  </si>
  <si>
    <t>['sampah', '']</t>
  </si>
  <si>
    <t>['maaf', 'login', 'aplikasi', '']</t>
  </si>
  <si>
    <t>['', 'ngadu', 'gmn', 'hri', 'wifi', 'nyala', 'internet', 'aplikasi', 'indihome', 'dihubungi', 'bener', 'udh', 'bgus', 'kmren', 'aplikasinya', 'mlah', 'perbaharui', 'jdi', 'mkin', 'ribet', 'byar', 'rutin', 'giliran', 'telat', 'dimatiin', 'wifi', 'kesel', 'pindah', 'udh', 'penuh', 'indihome', '']</t>
  </si>
  <si>
    <t>['blm', 'dipaksain', 'aplikasinya', 'rilis', 'playstore', 'aplikasi', 'cacat', '']</t>
  </si>
  <si>
    <t>['aplikasi', 'kebanyakan', 'update', 'susah', 'buka', 'berat', 'berat', 'game', 'pubg', 'mobale', 'parah']</t>
  </si>
  <si>
    <t>['aplikasi', 'jelek', 'pengaduan', 'susah', 'mohon', 'donk', 'perbaiki']</t>
  </si>
  <si>
    <t>['susah', 'masuk', 'dikkik', 'kaga', 'jalan', '']</t>
  </si>
  <si>
    <t>['hancur', 'terpakai', 'aplikasinya', '']</t>
  </si>
  <si>
    <t>['', 'bingung', 'indihome', 'jatuh', 'tempo', 'pembayaran', 'lemot', 'muter', 'muter', 'jaringannya', 'tolong', 'diperbaiki', 'servernya', 'kaya', 'gini', '']</t>
  </si>
  <si>
    <t>['aplikasi', 'tiada', 'udah', 'bayar', 'mahal', 'mahal', 'masi', 'trouble', 'rendah', 'hati', 'komplain', '']</t>
  </si>
  <si>
    <t>['aplikasi', 'jelek', 'lupa', 'pasword', 'suruh', 'kirim', 'token', 'masukin', 'token', 'valid', 'adahal', 'dpet', 'smsnya', '']</t>
  </si>
  <si>
    <t>['jaringan', 'parah', 'bayar', 'mahal', 'bagus', 'pindah', 'jaringan', 'biznet']</t>
  </si>
  <si>
    <t>['indihome', 'dunia', 'maya', 'genggaman']</t>
  </si>
  <si>
    <t>['aplikasi', 'jelek', 'bener', 'niat', 'aplikasi', 'liat', 'penggunaan', 'lemot', 'banget', 'muter', 'jaringan', 'full']</t>
  </si>
  <si>
    <t>['shame', 'you', 'telkom']</t>
  </si>
  <si>
    <t>['liat', 'komen', 'install', 'jelek', 'app', '']</t>
  </si>
  <si>
    <t>['indihome', 'sampah']</t>
  </si>
  <si>
    <t>['bagus', 'mengisi', 'saldo', 'aplikasi', 'indihome', '']</t>
  </si>
  <si>
    <t>['skrg', 'aplikasi', 'loading', 'parah', 'semenjak', 'ganti', 'tampilan', 'ringan', 'tampilan', '']</t>
  </si>
  <si>
    <t>['update', 'terbaru', 'bagus', 'ancur', 'lemot', 'buka', 'profil', 'butuh', 'menit', 'lihat', 'nomor', 'tagihan', 'pembayaran', 'buka', 'provider', 'masuk', 'akal', 'loading', 'buka', 'jaringan', 'lemotnya', 'mati', 'gimana', 'perusahaan', 'plat', 'merah', 'peningkatan']</t>
  </si>
  <si>
    <t>['instal', 'jaringan', 'lag', 'parah', 'gua', 'jamin', 'indihome', 'jaringan', 'lag', 'alam', 'semesta']</t>
  </si>
  <si>
    <t>['lemot', 'lemot', 'lemot', '']</t>
  </si>
  <si>
    <t>['login', 'salah', 'kode', 'otp', 'tolong', 'solusi']</t>
  </si>
  <si>
    <t>['daftar', 'info', 'aplikasinya', 'bersabae']</t>
  </si>
  <si>
    <t>['pelanggan', 'indihome', 'indihome', 'pikir', 'internet', 'gangguan', 'bayar', 'paket', 'indihome', 'murah', 'rugi']</t>
  </si>
  <si>
    <t>['login', 'aplikasi', 'lemot', 'mental']</t>
  </si>
  <si>
    <t>['lemoooooot', 'apknya']</t>
  </si>
  <si>
    <t>['mahal', 'kualitasnya', 'mengecewakan']</t>
  </si>
  <si>
    <t>['aplikasi', 'parah', 'doang', 'bagus', 'lemot', 'parah', 'fitur', 'fitur', 'mending', 'versi', 'biarpun', 'kotak', 'kotak', 'lancar', 'tes', 'release', 'kejar', 'tayang', 'hadeh', 'aplikasi', 'belom', 'tahan']</t>
  </si>
  <si>
    <t>['jelek', 'jaringan', 'gangguan', 'melapor', 'slow', 'respon']</t>
  </si>
  <si>
    <t>['eror', 'lht', 'pemakaian']</t>
  </si>
  <si>
    <t>['jujur', 'nyaman', 'banget', 'indiehome', 'udah', 'langganan', 'sampe', 'semenjak', 'rumah', 'make', 'indiehome', 'jaringannya', 'lemot', 'bnget', 'tolong', 'jngan', 'untungnya', 'nikmatin', 'tpi', 'kenikmatan', 'jaringan', 'pengguna', 'bayar', 'mahal', 'tolong', 'tingkatkan', 'kualitas', 'jaringan', 'pindah', 'jaringan', 'penggunanya', '']</t>
  </si>
  <si>
    <t>['tcaakkeeppp']</t>
  </si>
  <si>
    <t>['aplikasi', 'bug']</t>
  </si>
  <si>
    <t>['', 'malas', 'mencintai', 'produk', 'produk', 'negeri', '']</t>
  </si>
  <si>
    <t>['siip']</t>
  </si>
  <si>
    <t>['perbaiki']</t>
  </si>
  <si>
    <t>['gimanasi', 'udah', 'mbps', 'lelet', 'indihome', 'dirumah']</t>
  </si>
  <si>
    <t>['upgrade', 'aplikasi', 'bermasalah', 'segini', 'skill', 'kemampuan', 'karyawan', 'ovo', 'dana', 'cepat', 'eye', 'catching', 'responsif', 'mohon', 'merubah', 'drastis', 'kemampuan', 'bumn', 'dihargai']</t>
  </si>
  <si>
    <t>['indihome', 'ganguan', 'kabel', 'putus', 'alesannya', 'dimakan', 'tikus', 'mulu', 'tolong', 'layanan', 'bebas', 'pulsa', 'pengaduan', 'sebulan', 'ganguan', 'hrs', 'telp', 'kena', 'pulsa', 'hbis', 'rb', 'telp', 'sdngkan', 'via', 'email', 'lamq', 'ditanggapi', 'provider', 'mahal', 'pebayaran', 'jatuh', 'tempo', 'tgl', 'jaringan', 'langsung', 'matikan', 'kena', 'denda', 'hrs', 'kena', 'denda', 'denda', 'diputus', 'pokoknya', 'parah', 'indihome', 'mending', 'pasang', 'byk', 'murh']</t>
  </si>
  <si>
    <t>['internet', 'lemot', 'kecepatan', 'ajah', 'sesuai', 'harapan', 'sesuai', 'permintaan', 'mnta', 'mb', 'spedtes', 'mb', 'pelanggan', 'sesuai', 'permintaan', 'byar', 'hrs', 'tpt', 'telat', 'tanggal', 'internet', 'kena', 'denda', 'mmng', 'rakyat', 'sllu', 'kalah']</t>
  </si>
  <si>
    <t>['aplikasi', 'sampah', 'masuk', 'banget']</t>
  </si>
  <si>
    <t>['', 'login', 'indihome', 'myindihome', 'msak', 'nomer', 'udh', 'ketara', 'terdaftar', 'profil', 'kebaca', 'sma', 'sistem', 'app', 'hadehh', 'gmna']</t>
  </si>
  <si>
    <t>['kecewa', 'lihat', 'jaringan', 'telkom', 'andaikata', 'daerah', 'udah', 'jaringan', 'internet', 'pindah', 'indihome', '']</t>
  </si>
  <si>
    <t>['update', 'lemot', 'aplikasi', 'mohon', 'diperbaiki', 'trims']</t>
  </si>
  <si>
    <t>['jaringan', 'buruk', 'layanan', 'gangguan', 'aplikasi', 'berguna']</t>
  </si>
  <si>
    <t>['mohon', 'diperbaiki', 'dipermudah', 'masuk', 'aplikasinya', 'gimana', 'masuk', 'susah', 'ribet', '']</t>
  </si>
  <si>
    <t>['wadauhhh', 'parah', 'banget', 'apk', 'login', 'susahnya', 'ampun', 'mudah', 'sulit', '']</t>
  </si>
  <si>
    <t>['aplikasi', 'sampah', 'diupdate', 'login', 'reset', 'kali', 'terima', 'kasih', 'myindihome']</t>
  </si>
  <si>
    <t>['aplikasi', 'gaguna', '']</t>
  </si>
  <si>
    <t>['capedeh', 'muncul', 'warna', 'merah', 'gangguan', 'teruss', 'yaa', '']</t>
  </si>
  <si>
    <t>['update', 'aplikasinya', 'dibuka', 'susah', 'super', 'lemot']</t>
  </si>
  <si>
    <t>['login', 'susah']</t>
  </si>
  <si>
    <t>['gimana', 'login', 'kgak', '']</t>
  </si>
  <si>
    <t>['gilak', 'sumpah', 'update', 'aplikasi', 'berat', 'banget', 'ram', 'drop', 'fps', '']</t>
  </si>
  <si>
    <t>['sekelas', 'telkom', 'aplikasi', 'kaya', 'gini', 'pusat', 'aduan', 'ngadu', 'tulisannya', 'peningkatan', 'kualitas', 'ampun']</t>
  </si>
  <si>
    <t>['aplikasi', 'diam', 'masuk', 'doang', 'habis', 'macet', 'total', '']</t>
  </si>
  <si>
    <t>['mohon', 'indihome', 'membayar', 'jariangn', 'ngk', 'sesuai', 'bayar', 'mohon', 'indihome', 'perbagus', 'jaringan', 'terimakasih']</t>
  </si>
  <si>
    <t>['hallo', 'indihome', 'update', 'susah', 'masuk', 'mohon', 'dibenahi', 'aplikasinya']</t>
  </si>
  <si>
    <t>['gmna', 'bsa', 'hubungkn', 'internet']</t>
  </si>
  <si>
    <t>['kecewa', '']</t>
  </si>
  <si>
    <t>['aplikasi', '']</t>
  </si>
  <si>
    <t>['gagal', 'login', 'tulisannya', 'failed', 'giliran', 'failed', 'gagal', 'kode', 'otp', 'gara', 'gara', 'gabisa', 'masuk', 'kode', 'otp', 'ajja', 'gaada', 'masuk', 'mantap', 'indihomo']</t>
  </si>
  <si>
    <t>['update', 'fitur', 'kegunaan', 'aplikasi', 'berbeda', 'fitur', 'lemot', 'buka', 'menu', 'menu', '']</t>
  </si>
  <si>
    <t>['nambah', 'kecepatan', 'internet', 'persetujuan', 'konsumen', 'tagihan', 'nambah', 'pdhl', 'kecepatan', 'komplain', 'responnya', 'buruk', 'mengecewakan', '']</t>
  </si>
  <si>
    <t>['update', 'tmbh', 'masuk', 'aneh', 'bin', 'ajaib']</t>
  </si>
  <si>
    <t>['hiasan', 'pengaduan', 'apk', '']</t>
  </si>
  <si>
    <t>['apk', 'jelek', 'kacau']</t>
  </si>
  <si>
    <t>['pengerjaannya', 'lapor', 'kerjakannya', 'trimakasih']</t>
  </si>
  <si>
    <t>['gmna', 'update', 'susah', 'login', 'masukin', 'nombr', 'oake', 'sandi', 'email', 'susah', 'gmna', 'tolong', 'mah', 'perbaiki']</t>
  </si>
  <si>
    <t>['komplen', 'tagihan', 'pelayannnya', 'november', 'smpai', 'skrg', 'blm', 'respon', 'isolir', 'tgihan', 'full', 'tlp', 'gda', 'konfirmasi', 'pdahal', 'sya', 'bukti', 'riwayat', 'tlpn']</t>
  </si>
  <si>
    <t>['aplikasi', 'lemot', 'kirain', 'sinyalnya', 'aplikadinya', '']</t>
  </si>
  <si>
    <t>['update', 'akun', 'logout', 'login', 'keterangan', 'nomor', 'belom', 'terdaftar', 'coba', 'login', 'make', 'email', 'loading', 'doang', 'coba', 'daftar', 'akun', 'tetep', 'loading', 'udah', 'uninstall', 'install', 'tetep', 'sumpah', 'ampas', 'banget', 'devnya', 'ngacooooo']</t>
  </si>
  <si>
    <t>['aplikasi', 'sampaah', 'ngga']</t>
  </si>
  <si>
    <t>['aplikasi', 'busuk', 'update', 'lelet', 'kek', 'keong']</t>
  </si>
  <si>
    <t>['ampun', 'aplikasi', 'login', 'perbarui', 'data', 'login', 'maaf', 'layanan', 'tingkatkan', 'tingkatkan', 'apanya', '']</t>
  </si>
  <si>
    <t>['susah', 'bangat', 'pemakaian', 'versi', 'terbaru', 'nggk', 'nyaman', 'banget', 'membosan', 'persi', 'kecewaaaaaaaaaaaaa']</t>
  </si>
  <si>
    <t>['aplikasi', 'diupdate', 'bagus', 'bug', 'gangguan', 'sintang', 'kalbar', 'kompensasi', 'banjir', 'hadehh']</t>
  </si>
  <si>
    <t>['pelayanan', 'service', 'puas', 'gangguan', 'penanggulangan', 'kecewa']</t>
  </si>
  <si>
    <t>['susah', 'log', 'update', 'terbsru', 'andai', 'uang', 'negara', 'uang', 'pajak', 'rakyat', 'jujur', 'bumn', 'pejabat', 'kualitas', 'telkom', 'kek', 'gini', '']</t>
  </si>
  <si>
    <t>['semenjak', 'update', 'gabisa', 'login']</t>
  </si>
  <si>
    <t>['aplikasi', 'semenjak', 'update', 'susah', 'login']</t>
  </si>
  <si>
    <t>['aplikasi', 'terbaru', 'ngak', 'login', 'dibilang', 'terdaftar', '']</t>
  </si>
  <si>
    <t>['fup', 'mending', 'aplikasi', '']</t>
  </si>
  <si>
    <t>['aplikasi', 'myindihome', 'beratnya', 'mnta', 'ampun', 'update', 'ram', 'rom', 'masi', 'lega', 'nge', 'bug', 'tolong', 'diperbaiki', 'cape', 'nungguinnya', '']</t>
  </si>
  <si>
    <t>['oiiii', 'telkom', 'aplikasi', 'lelet', 'pengaduan', 'nggak', '']</t>
  </si>
  <si>
    <t>['playnan', 'memuaskan', 'sharusnya', 'tlpnn', 'trus', 'khabisan', 'plsa', 'tlpn', 'blik', 'dongg', 'habis', 'ribu', 'hazilnya', 'zong', 'man', 'internetny', 'los', 'merah', 'trus']</t>
  </si>
  <si>
    <t>['masukin', 'nomor', 'pelanggan', 'susah', 'limit', 'blm', 'dimasukin', 'nomor', 'aplikasi', 'dri', '']</t>
  </si>
  <si>
    <t>['gabisa', 'masuk', 'aplikasi', 'udh', 'dirubah', 'masuk', 'masukin', 'email', 'ajah', 'gabisa', '']</t>
  </si>
  <si>
    <t>['ksni', 'mantap']</t>
  </si>
  <si>
    <t>['pelayanan', 'indihome', 'profesional', 'lelet']</t>
  </si>
  <si>
    <t>['internet', 'gangguan', 'lapoan', 'via', 'aplikasi', 'susah', 'gangguan']</t>
  </si>
  <si>
    <t>['menu', 'menu', 'urgen', 'pelanggan', 'renewapeed', 'speed', 'demand', 'gagal', 'akses']</t>
  </si>
  <si>
    <t>['', 'snail', 'pace', 'knp']</t>
  </si>
  <si>
    <t>['janji', 'kunjungan', 'blm', 'butuh', 'aktifitas', 'rugi', 'malaman', 'pakai', 'inet', 'hrs', 'byr', 'menunggu', 'kecewa']</t>
  </si>
  <si>
    <t>['bagusan', 'loading', 'banget']</t>
  </si>
  <si>
    <t>['easy', 'use', 'recommended', 'banget', 'aplikasinya']</t>
  </si>
  <si>
    <t>['udah', 'nyoba', 'laen', 'emang', 'indihome', 'debes']</t>
  </si>
  <si>
    <t>['langganan', 'udah', 'far', 'good']</t>
  </si>
  <si>
    <t>['layanan', 'indihome', 'rumah', 'manjiw', 'semoga', 'lancar']</t>
  </si>
  <si>
    <t>['produk', 'telkom', 'berkualitas', 'emang', 'telkomsel', 'indihome']</t>
  </si>
  <si>
    <t>['better', 'lack', 'performance', 'ditingkatkan', 'guys']</t>
  </si>
  <si>
    <t>['ditingkatkan', 'pelayanannya', 'customer', 'service']</t>
  </si>
  <si>
    <t>['keren', 'deh', 'manteb', 'emang', 'updatenya']</t>
  </si>
  <si>
    <t>['udah', 'bagus', 'sekian', 'wkwkwk']</t>
  </si>
  <si>
    <t>['gangguan', 'fast', 'response', 'proaktif', 'kabarin', 'notif', 'via', 'aplikasi']</t>
  </si>
  <si>
    <t>['semoga', 'depannya', 'promo', 'pelanggan', 'setia']</t>
  </si>
  <si>
    <t>['pilihan', 'terbaik', 'layanan', 'internet', 'rumah']</t>
  </si>
  <si>
    <t>['gagal', 'masuk', 'salah', 'passwordnya', '']</t>
  </si>
  <si>
    <t>['lihat', 'status', 'langganan', 'sblmny', 'berbeda', 'lihat', 'status', 'langganan', 'paket', 'dsb', 'aplikasinya', 'lemot', 'memuat', 'informasi', 'beranda', 'full', 'iklan', 'promo', 'aplikasi', 'berat', 'pindah', 'menu']</t>
  </si>
  <si>
    <t>['diperbarui', 'bingung', 'fitur', 'pengaduan', 'layanan', 'suka', '']</t>
  </si>
  <si>
    <t>['app', 'perbaiki', 'berat', 'verifikasi', 'lokasi', 'wifi', 'tulisannya', 'tersambung', 'tersambung', 'jaringan', 'lancar', 'lancar', 'app', 'jdi', 'lemot', 'muter', 'buka', 'app', 'lancar']</t>
  </si>
  <si>
    <t>['tagihan', 'trz', 'layanan', 'pengaduanya', 'buruk', '']</t>
  </si>
  <si>
    <t>['update', 'login', 'suruh', 'masukan', 'password', 'lupa', 'password', 'masuk', 'kode', 'valid', 'tambak', 'buruk', 'aplikasi', 'terpaksa', 'uninstal', '']</t>
  </si>
  <si>
    <t>['loading', 'dipakai', 'lapor', 'ggn']</t>
  </si>
  <si>
    <t>['alikasi', 'download', '']</t>
  </si>
  <si>
    <t>['', 'ubah', 'bintang', 'wifi', 'internet', 'giliran', 'lapor', 'myindihome', 'akun', 'kluar', 'giliran', 'masuk', 'email', 'terdaftar', 'gimana', '']</t>
  </si>
  <si>
    <t>['ribet', 'diperbaharui', 'bego', '']</t>
  </si>
  <si>
    <t>['daftar', 'internet', 'telfon', 'wktu', 'cek', 'internet', '']</t>
  </si>
  <si>
    <t>['pembaruan', 'apk', 'jelek', 'peningkatan', 'bobrok', 'lihat', 'byk', 'pengguna', 'nggak', 'klw', 'ribet', 'nggak', 'ngerti', 'konsekuensi', 'krjaan', 'elo', 'nyediain', 'jasa', 'hrs', 'profesional', 'aaaaassss', '']</t>
  </si>
  <si>
    <t>['jngn', 'wifi', 'jelek', 'lemot', 'putus', '']</t>
  </si>
  <si>
    <t>['udah', 'kali', 'wifi', 'internet', 'modemnya', 'los', 'teknisi', 'jaringannya', 'lapangan', 'seharus', 'perbaiki', 'salah', 'bermasalah', 'tolong', 'suka', 'colok', 'cabut', 'conextornya', 'box', 'jaringan', 'konex', 'ikutan', 'konex', 'internet', 'gara', 'gara', 'salah', 'bermasalah', 'terima', 'kasih', '']</t>
  </si>
  <si>
    <t>['tolong', 'membayar', 'murah', 'knp', 'sinyal', 'jelek', 'putus', 'putus', 'tolong', 'perbaiki']</t>
  </si>
  <si>
    <t>['busuk', 'jaringan']</t>
  </si>
  <si>
    <t>['yas']</t>
  </si>
  <si>
    <t>['perusahaan', 'negara', 'aplikasi', 'lemot', 'error', 'loading', '']</t>
  </si>
  <si>
    <t>['sampah', 'aplikasi', 'ngelag', 'mulu', 'emang', 'internet', 'indihome', 'sampah', 'udah', 'bayar', 'gitu', 'kecepatannya', 'fup', 'udh', 'direset', 'gitu', 'kecepatannya', 'setengaj', 'dri', 'paketnya', 'emang', 'plat', 'merah', 'becus', 'mensejahterakan', 'rakyat', 'plat', 'merah', 'bertugas', '']</t>
  </si>
  <si>
    <t>['semenjak', 'update', 'versi', 'aplikasinya', 'eror', 'crash', 'terpaksa', 'downgrade', 'versi', 'tampilanna', 'simple', 'stabil', 'hormat', 'mohon', 'developer', 'aplikasi', 'tim', 'designer', 'mohon', 'memperbaiki', 'tampilannya', 'pengguna', 'aplikasi', 'butuh', 'tampilan', 'muluk', 'muluk', 'ramai', 'butuh', 'aplikasi', 'simple', 'stabil', 'ulasan', 'mengeluhkan', 'tampilan', 'crash', 'aplikasinya', '']</t>
  </si>
  <si>
    <t>['susah', 'masuk', 'balesan']</t>
  </si>
  <si>
    <t>['kecewa', 'app', 'indihome', 'diperbaharui', 'akun', 'nomor', 'telepon', 'nggak', 'hilang', 'coba', 'nggak', 'dirubah', 'enak', 'lihat', 'poin', 'tanggal', 'bayar', 'bayarnya']</t>
  </si>
  <si>
    <t>['aplikasinya', 'aneh']</t>
  </si>
  <si>
    <t>['download', 'aplikasi', 'diarahkan', 'registrasi', 'data', 'update', 'aplikasi', 'registrasi', 'muncul', 'aplikasi', 'berjalan', 'berat', 'lambat', 'update', '']</t>
  </si>
  <si>
    <t>['gangguan', 'sampe', 'tgl', 'nov', 'sampe', 'skrang', 'tgl', 'alasan', 'gangguan', 'masal', 'iya', 'gangguan', 'masal', '']</t>
  </si>
  <si>
    <t>['sinyal', 'lemot', 'aplgi', 'ujan', 'ilang', 'ngumpet', 'nth', 'kmn']</t>
  </si>
  <si>
    <t>['tingkatkan', 'jaringgannya', 'susah', 'masuk', 'aplikasi', '']</t>
  </si>
  <si>
    <t>['aplikasi', 'buruk', 'log', 'out']</t>
  </si>
  <si>
    <t>['enak', 'aplikasi', 'mudah', 'pahami', 'enak', 'pakainya', 'ribet']</t>
  </si>
  <si>
    <t>['update', 'login', 'login', 'arahkan', 'reset', 'password']</t>
  </si>
  <si>
    <t>['lemot', 'banget', 'kebukanya', 'jaringan', 'indihome', 'aksesnya']</t>
  </si>
  <si>
    <t>['', 'login', 'payah', '']</t>
  </si>
  <si>
    <t>['aplikasinya', 'koq', 'geser', 'diam', 'stack', 'respon', 'tolong', 'diperbaiki']</t>
  </si>
  <si>
    <t>['mudah', 'ribet', 'aplikasi', 'login', 'susah', 'reset', 'password', 'pelanggan', 'sulit', 'aplikasi', 'mempermudah', 'pusing', '']</t>
  </si>
  <si>
    <t>['gws', 'indihome', 'aplikasi', 'durasi', 'mendaftar', 'coba', 'daftar', 'kadang', 'kadang', 'eror']</t>
  </si>
  <si>
    <t>['profesional', 'melayani', 'pelanggan', 'janji', 'janji', 'jaringan', 'loss', 'putus', 'nyambung', 'bayar', 'mahal', 'terlambat', 'bayar', 'langsung', 'putus', '']</t>
  </si>
  <si>
    <t>['keluhan', 'pengguna', 'indihome', 'lelet', 'lancar', 'pemasangan', 'bayar', 'wifi', 'mahal', 'kalah', 'ama', 'paket', 'data', 'rb', '']</t>
  </si>
  <si>
    <t>['update', 'susah', 'masuk', 'lemot']</t>
  </si>
  <si>
    <t>['diupdate', 'susah', 'koneksi', 'server', 'aplikasinya', 'lola']</t>
  </si>
  <si>
    <t>['maaf', 'kasih', 'bintang', 'aplikasinya', 'informatif', 'sayang', 'lemot', 'informasi', 'ditampilkan', 'butuh', 'bagus', 'versi', 'fiture', 'versi', 'perangkat', 'terhubung', 'fiture', 'tolong', 'diperbaiki', 'disempurnakan', 'aplikasinya']</t>
  </si>
  <si>
    <t>['eror', 'bug', 'download', 'daftar', 'akun', 'imdihom', 'imail', 'sudsh', 'selesai', 'giliran', 'masukin', 'indihome', 'internet', 'telpun', 'gagal', 'gaktau', 'erornya', 'dimana']</t>
  </si>
  <si>
    <t>['diupdate', 'lambat', 'membuka', 'fitur', 'menu', 'menu', 'laporan', '']</t>
  </si>
  <si>
    <t>['aplikasi', 'lemot', 'menu', 'cek', 'tagihan', 'hilang', 'login', 'nomor', 'langganan', 'indihome', 'rusak']</t>
  </si>
  <si>
    <t>['masukan', 'indihome', 'maaf', 'masukan', 'gagal', 'salah', 'klik', 'pengaduan', 'klik', 'bantuan', 'loading', 'trus', 'huffff', 'ngebantu', 'tolong', 'marketingnya', 'please', 'jujur', 'tante', 'kena', 'biaya', 'tlp', 'call', 'center', 'keceptan', 'dinaikin', 'mbps', 'parah', 'marketing', 'tlp', 'angkat', 'tante', 'bayar', 'segitu', 'anak', 'yatim', 'zolimin', '']</t>
  </si>
  <si>
    <t>['kecewa', 'update', 'data', 'reset']</t>
  </si>
  <si>
    <t>['aplikasinya', 'berat', 'disign', 'oke', 'loading', 'gue', 'aplikasi', 'lancar', 'lelet', 'coba', 'perbaiki']</t>
  </si>
  <si>
    <t>['pelayanan', 'kecewa', 'bukti', 'pemutusan', 'disuruh', 'bayar', 'full', 'putus', 'perangkat', 'kerja', 'lambat']</t>
  </si>
  <si>
    <t>['bagus', 'internet', 'bermasalah', 'aplikasi', 'dibuka']</t>
  </si>
  <si>
    <t>['bobrok']</t>
  </si>
  <si>
    <t>['relogin', 'ulang', 'aplikasi', 'ribet', 'rubah', 'bintang', 'kemarin', 'udh', 'kirim', 'laporan', 'nomer', 'ponsel', 'ganti', 'coba', 'relog', 'pakai', 'nomor', 'robot', 'orang', '']</t>
  </si>
  <si>
    <t>['masuk', 'aplikasinya', 'masuk', 'berinteraksi', 'app', 'update', 'terbaru', 'masuk', 'dengam', 'email', 'kali', 'coba', 'app', 'langsung', 'nutup']</t>
  </si>
  <si>
    <t>['update', 'palah', 'erot', 'ngak', 'dibuka', 'lelet', 'lemot', 'ram', '']</t>
  </si>
  <si>
    <t>['', 'update', 'mlh', 'muter', 'trs', 'aplikasi', 'benerin', 'masak', 'sekelas', 'bumn', 'nggak', 'croschek', 'lyak', 'update', 'system', 'ndak']</t>
  </si>
  <si>
    <t>['aplikasi', 'nyuruh', 'login', 'login', 'tolong', 'diperbaiki', 'login', 'susah', '']</t>
  </si>
  <si>
    <t>['respon', 'app', 'new', 'update', 'lambat', 'bagus', 'versi']</t>
  </si>
  <si>
    <t>['mohon', 'link', 'zte', 'perbaiki', 'menghapus', 'permit', 'mac', 'address', 'admin', 'mati', 'log', 'out', 'opsi', 'nama', 'perangkat', 'copas', 'diisi', 'bolak', 'cari', 'mac', 'addres', 'hapus', 'kasihan', 'bayar', 'tagihan', 'bln', 'gratisan', 'keamanan', 'minim', 'bangat', 'pakai', 'aplikasi', 'eksternal', 'bug', 'bangat', 'user', 'kesulitan', 'memblokir', 'pencuri', 'mac', 'address', 'acak', '']</t>
  </si>
  <si>
    <t>['app', 'lambat', 'loading', 'ganti']</t>
  </si>
  <si>
    <t>['pelayanan', 'jelek', 'putus', 'cso', 'teknisi', 'berpindha', 'tugas', 'ditugaskan', 'internet', 'bojonegoro', 'ganti', '']</t>
  </si>
  <si>
    <t>['pasang', 'indihome', 'paket', 'internet', 'telpon', 'bayar', 'ribu', 'biaya', 'pasang', 'sbgai', 'pembayaran', 'november', 'tanggal', 'bayar', 'cek', 'aplikasi', 'indihome', 'kaget', 'deposit', 'masuk', 'uang', 'ribu', 'kpda', 'salah', 'pegawai', 'indihome', 'uang', 'bayar', 'hangus', 'pikir', 'aspek', 'kebohongan', 'menyenangkan', 'bintang', 'indihome', 'karna', 'keterangan', 'sejelas', 'jlasny']</t>
  </si>
  <si>
    <t>['aplikasi', 'responsif', 'crash', 'bagus', 'versi']</t>
  </si>
  <si>
    <t>['update', 'susah', 'login', 'app', 'lelet']</t>
  </si>
  <si>
    <t>['buruk', 'sebulan', 'kali', 'gangguan', 'perbaikannya', 'lamma', 'bannget', 'udah', 'bloom', 'beres', 'bayar', 'jalan', 'auto', 'ganti', 'sebelah', '']</t>
  </si>
  <si>
    <t>['aplikasi', 'terbaru', 'beda', 'tampilan', 'penurunan', 'kualitas']</t>
  </si>
  <si>
    <t>['update', 'mp', 'aplikasi', 'perusahaan', 'negara', 'modal', 'gede', 'aplikasi', 'tahunya', 'duit', 'biaya', 'pemasangan', 'dipatok', 'plus', 'ppn', 'paket', 'mahal', 'mbps', 'harga', 'ppn', 'bertele', 'telepon', 'spam', 'jaringan', 'bermasalah', 'tanganinnya', '']</t>
  </si>
  <si>
    <t>['fast', 'cepat']</t>
  </si>
  <si>
    <t>['lemot', 'delay', 'sinyal', 'jumping', 'solusi', 'bayarnya', 'indihome', 'konyol', '']</t>
  </si>
  <si>
    <t>['hancur', '']</t>
  </si>
  <si>
    <t>['hadeh', 'asik', 'bermasala', 'wifi']</t>
  </si>
  <si>
    <t>['aplikasi', 'diperbaiki', 'fitur', 'menu', 'utama', 'paket', 'internet', 'dipakai', 'buka']</t>
  </si>
  <si>
    <t>['kayaknya', 'dihubungi', '']</t>
  </si>
  <si>
    <t>['update', 'buruk', 'loading', 'trus', '']</t>
  </si>
  <si>
    <t>['jelek', 'aplikasi', 'pembaruan', 'pembelian', 'renew', 'aplikasi', 'aman', 'aman']</t>
  </si>
  <si>
    <t>['aplikasi', 'upgrade', 'susah', 'gerakin', 'layanan', 'pengaduan', 'susah', 'login', 'harap', 'cepat', 'tindakan', 'indihome']</t>
  </si>
  <si>
    <t>['berat', 'aplikasi', 'terbarunya', '']</t>
  </si>
  <si>
    <t>['lag', 'gini', 'buka', 'aplikasi', 'ribet']</t>
  </si>
  <si>
    <t>['perbaikan', 'sistem', 'mulu', 'aplikasi', 'payah', 'gua', 'download', 'ngelike', 'ngecek', 'pemakaian', 'males', 'download', 'signal', 'lemot', 'parah', 'tagihan', 'cepat', 'kwalitas', 'wifi', 'buruk', 'deposit', 'gua', 'kemana', 'woy', 'cek', 'saldo', 'kosong', 'prtama', 'pasang', 'gua', 'bayar', 'jaminan', 'skrng', 'jaminan', 'bln', 'kmna', 'masuk', 'kantong', 'jebakan', 'batman', 'aplikasi', 'hati', 'klik', 'salah', 'kepasang', 'berlangganan', 'tambahan', '']</t>
  </si>
  <si>
    <t>['aplikasi', 'berguna', 'report', 'gagal']</t>
  </si>
  <si>
    <t>['sampah']</t>
  </si>
  <si>
    <t>['versi', 'updatean', 'bener', 'bug', 'lemot', 'internet', 'lemot', 'anjirrrr']</t>
  </si>
  <si>
    <t>['login', 'boss', 'update', 'lelet', 'cemana', 'boss', '']</t>
  </si>
  <si>
    <t>['gimana', 'koq', 'ilang', 'komplain', 'udah', 'gangguan', 'sinyalnya', 'nyendat', 'download', 'gambar', 'aplikasi', 'gag', 'youtube', 'smart', 'bermasalah', '']</t>
  </si>
  <si>
    <t>['aplikasi', 'verifikasi', 'akun', 'ribet', 'bicaranya', 'muter', 'membantu', 'dipersulit', '']</t>
  </si>
  <si>
    <t>['maaf', 'myindihome', 'tolong', 'wifi', 'perbaikin', 'lancar', 'layak', 'wifi', 'moga', 'myindihome', 'memperbaiki', 'sebagus', 'wifi', 'lancar']</t>
  </si>
  <si>
    <t>['telat', 'bayar', 'denda', 'giliran', 'jaringan', 'ngk', 'perbaiki', 'bilangnya', 'maaf', 'enak', 'bett', 'anjg', 'router', 'delay', 'sampe', 'ms', 'bngstt', 'sampahh', 'banget']</t>
  </si>
  <si>
    <t>['loading', 'banget', 'wifi', 'perbaiki', '']</t>
  </si>
  <si>
    <t>['aplikasi', 'uodate', 'terbaru', 'bagus', 'memilih', 'nomer', 'indiehome', 'aktif', 'gagal', 'beranda', 'home', 'cek', 'bug', '']</t>
  </si>
  <si>
    <t>['aplikasi', 'sampah', 'bangke', 'duit']</t>
  </si>
  <si>
    <t>['jelek', 'indihome', 'lelet', 'low', 'respon', 'alasannya', 'perbaikan', 'jaringan', 'sekramg', 'harian', 'indihome', 'konek', 'mudah', 'provider', 'pindah', '']</t>
  </si>
  <si>
    <t>['applikasi', 'masuk', 'email', 'terdaftar', 'parah', 'itnya']</t>
  </si>
  <si>
    <t>['adminnya', 'ramah']</t>
  </si>
  <si>
    <t>['bener', 'comment', 'kualitasnya']</t>
  </si>
  <si>
    <t>['aplikasi', 'udah', 'update', 'lancar', 'lemot', 'banget', 'gunanya', 'update', '']</t>
  </si>
  <si>
    <t>['bagusan', 'versi', 'kemaren']</t>
  </si>
  <si>
    <t>['aplikasinya', 'update', 'lelet', 'bangett', 'bodoh', 'aplikasinya']</t>
  </si>
  <si>
    <t>['pasang', 'wifi', 'order', 'aplikasi', 'paketnya', 'cuman', '']</t>
  </si>
  <si>
    <t>['pembaruan', 'aplikasinya', 'lemot', 'nyaman']</t>
  </si>
  <si>
    <t>['bad', 'signal']</t>
  </si>
  <si>
    <t>['indihome', 'buruk', 'mending', 'cari', 'provider']</t>
  </si>
  <si>
    <t>['parahhhhhh']</t>
  </si>
  <si>
    <t>['internet', 'ngelag']</t>
  </si>
  <si>
    <t>['sinyal', 'parah', 'sya', 'mbps', 'update', 'aplikasi', 'mah', 'sinyal', 'perbaiki']</t>
  </si>
  <si>
    <t>['gangguan', 'payah', 'bayar', 'mahalmahal', '']</t>
  </si>
  <si>
    <t>['habis', 'update', 'jelek', 'lihat', 'tagihanya', 'nyesal', '']</t>
  </si>
  <si>
    <t>['aplikasinya', 'diperbaiki', 'berlangganan', 'salah', 'add', 'gampang', 'banget', 'klik', 'langganan', 'langsung', 'aktif', 'berhenti', 'berlangganan', 'dipersulit', 'gagal', 'menu', 'profil', 'suruh', 'masukin', 'ktp', 'terverifikasi', 'sesuai', 'permintaan', 'update', 'kali', 'parah', 'aplikasi', 'super', 'lelet', 'heran', 'sekelas', 'indihome', 'aplikasi', 'kek', 'gini', '']</t>
  </si>
  <si>
    <t>['error', 'claim', 'voucher', 'kasir', 'error', 'mengecewakan']</t>
  </si>
  <si>
    <t>['gangguan', 'mulu', 'bosss', 'bayar', 'mahal', 'mahal', 'gangguan', 'dasar', 'indigay']</t>
  </si>
  <si>
    <t>['knap', 'login', 'tulisan', 'maaf', 'peningkatan', 'layanan']</t>
  </si>
  <si>
    <t>['enakan', 'aplikasi']</t>
  </si>
  <si>
    <t>['update', 'poin', 'indihome', 'hilang', 'solusinya', 'poin', '']</t>
  </si>
  <si>
    <t>['gwe', 'update', 'mlh', 'lemot', 'komplen', 'internet', 'muter', 'terussssss']</t>
  </si>
  <si>
    <t>['', 'pengguna', 'app', 'myindihome', 'kecewa', 'diupdate', 'masuk', 'appnya', 'lola', 'ngecek', 'akun', 'msh', 'lola', 'ket', 'msh', 'pembaharuan', 'sistem', 'sampe', 'nunggunya', 'perbaiki', 'layanan', 'sistemnya', 'semoga', 'diaksi', 'koment', 'terima', 'kasih', '']</t>
  </si>
  <si>
    <t>['kirim', 'layanan', 'service', 'soalny', 'wifi', 'hidup', 'tulisan', 'pengembangan', 'layanan']</t>
  </si>
  <si>
    <t>['update', 'otomatis', 'log', 'apesnya', 'lupa', 'sandi', 'ikuti', 'petunjuknya', 'ribet', 'sms', 'reply', 'token', 'kode', 'verifokasi', 'suruh', 'nunggu', 'jam', 'atur', 'ulang', 'sandinya', 'komentar', 'mesin', 'jawabannya']</t>
  </si>
  <si>
    <t>['pemasangan', 'lancar', 'bayaran', 'ces', 'teknisi', 'ramah', 'sabar', 'kemarin', 'pasang', 'nunggu', 'kedepan', 'semoga', 'kendala', 'salamsukses', 'telkom', 'terimakasih', '']</t>
  </si>
  <si>
    <t>['provider', 'zholim']</t>
  </si>
  <si>
    <t>['aplikasi', 'memudahkan', 'pelanggan', 'mempersulit', 'jaringan', 'kacau', 'aplikasi', 'bise', 'kacau', 'update', '']</t>
  </si>
  <si>
    <t>['keren', 'tampilan', 'diupdate']</t>
  </si>
  <si>
    <t>['', 'berat', 'banget', 'isi', 'app', 'belm', 'kebuka', 'full', 'loading', 'melulu', 'simple', 'user', 'bayar', 'total', 'pemakaian', 'grafik', 'harian', 'pemakaian', 'info', 'seputar', 'perbaiki', '']</t>
  </si>
  <si>
    <t>['aplikasi', 'jelek', 'berat', 'sekelas', 'telkom', 'aplikasi', 'parah', 'banget', '']</t>
  </si>
  <si>
    <t>['update', 'aplikasi', 'lemot']</t>
  </si>
  <si>
    <t>['tolong', 'update', 'login']</t>
  </si>
  <si>
    <t>['mantab', 'normal']</t>
  </si>
  <si>
    <t>['habis', 'update', 'login', 'mending', 'aplikasi', 'ribet']</t>
  </si>
  <si>
    <t>['aplikasi', 'rusak', 'update', 'fiturnya', 'update', 'servernya', 'repot', 'membantu', 'malh', 'nambah', 'beban', 'tolong', 'developernya', 'update', 'jarangin', 'updet', 'tolong', 'dikunci', 'servernya']</t>
  </si>
  <si>
    <t>['gimana', 'indihome', 'jaringan', 'buruk', '']</t>
  </si>
  <si>
    <t>['lelet', 'banget', 'buka', 'sukur', 'kebuka', 'sangking', 'loading', 'jdi', 'malas', 'buka']</t>
  </si>
  <si>
    <t>['aplikasinya', 'leled', 'telpon', 'ribet', 'banget']</t>
  </si>
  <si>
    <t>['update', 'aplikasi', 'terbaru', 'dipakai', 'loading', 'daritadi', 'buka', 'youtube', 'free', 'call', 'lancar', 'tolong', 'dibenahi', 'aplikasi', 'diaplikasikan']</t>
  </si>
  <si>
    <t>['dibuka', 'sekelas', 'telkom', 'aplikasi', 'bener']</t>
  </si>
  <si>
    <t>['lemootttt', 'update', 'aplikasi', 'parah']</t>
  </si>
  <si>
    <t>['aplikasinyagakseriusupdate']</t>
  </si>
  <si>
    <t>['semenjak', 'habis', 'upgrade', 'versi', 'buka', 'halaman', 'indihome', 'lambat', 'banget', 'upgrade', 'bagus', 'berat', 'buka', 'halaman', 'indihome', 'perbaiki', 'aplikasi', 'layanin', 'internet', 'lemod', 'buka', 'halaman', 'aplikasi', '']</t>
  </si>
  <si>
    <t>['seharian', 'internet', 'gangguan', 'pemberitahuan', 'estimasi', 'terhubung', '']</t>
  </si>
  <si>
    <t>['heran', 'pegawai', 'indihone', 'pengecekan', 'alasan', 'meter', 'susah', 'rumit', 'jaringan', 'penuh', 'hospot', 'lingkungan', 'pemasangan', 'malas']</t>
  </si>
  <si>
    <t>['habis', 'update', 'bagus', 'lemot', 'parah']</t>
  </si>
  <si>
    <t>['update', 'teebaru', 'buruk', 'super', 'lemot', 'featurenya', 'lengkap', 'komplain', 'tersedia', 'aneh', '']</t>
  </si>
  <si>
    <t>['halo', 'maap', 'login', 'myindihome', 'masukkan', 'nomor', 'email', 'maap', 'mohon', 'maaf', 'peningkatan', 'layanan', '']</t>
  </si>
  <si>
    <t>['verifikasi', 'udah', 'ngeselin', 'gajelas', 'emang', 'indihome']</t>
  </si>
  <si>
    <t>['bln', 'login', 'tlf', 'ttp', 'meningkatkan', 'pelayanan', 'trs', 'alesannya']</t>
  </si>
  <si>
    <t>['halo', 'telekomunikasi', 'indonesia', 'mohon', 'info', 'aktifasi', 'dompet', 'myindihome', 'aplikasi', 'edited', 'myindihome', 'kurun', 'ganti', 'tampilan', 'aplikasi', 'relogin', 'insert', 'data', 'login', 'data', 'null', 'tanggal', 'lahir', '']</t>
  </si>
  <si>
    <t>['lemot', 'banget', 'jaringan', 'putus', 'dikomplain', 'bbrp', 'kali', 'dibenerin', 'lancar', 'selang', 'minggu', 'lemot', 'harga', 'sesuai', 'layanan', 'mohon', 'diperbaiki']</t>
  </si>
  <si>
    <t>['update', 'bagus', 'akses', 'pindah', 'haluan']</t>
  </si>
  <si>
    <t>['aplikasi', 'super', 'lemot', 'mohon', 'diperbaiki', 'pelanggan', 'kecewa']</t>
  </si>
  <si>
    <t>['indihome', 'care', 'good', 'gercep', 'makasih', '']</t>
  </si>
  <si>
    <t>['user', 'friendly', 'banget', 'nyesel', 'dehhh']</t>
  </si>
  <si>
    <t>['lag', 'bgsd', 'sialan']</t>
  </si>
  <si>
    <t>['wifinya', 'keren', 'kenceng', 'banget', 'sampe', 'dipake']</t>
  </si>
  <si>
    <t>['indihome', 'lancar', 'update', 'aplikasi', 'myindihome', 'anjurkan', 'verifikasi', 'emai', 'mudah', 'mksih', 'indihome', '']</t>
  </si>
  <si>
    <t>['pelayananya', 'lamban', 'kecewa', 'lelet', 'indihom']</t>
  </si>
  <si>
    <t>['', 'buka', 'apk', '']</t>
  </si>
  <si>
    <t>['wow', 'aplikasinya', 'berguna', 'banget']</t>
  </si>
  <si>
    <t>['update', 'paket', 'nomor', 'internet', 'loading', 'mohon', 'improve', '']</t>
  </si>
  <si>
    <t>['update', 'applikasi', 'myindihome', 'dibuka', 'aplikasinya', 'berasa', 'berat', 'banget', 'diupdate', 'buruk']</t>
  </si>
  <si>
    <t>['dasar', 'gembel', 'aplikasi', 'babi', 'susah', 'akses', 'bangke', 'ngapain', 'adain', 'aplikasi', 'akses', 'mahalnya', 'doang', 'kualitas', 'buruk']</t>
  </si>
  <si>
    <t>['apk', 'eror', 'login', 'register']</t>
  </si>
  <si>
    <t>['indihome', 'kesini', 'buruk', 'kualitas', 'jaringan', 'melambat', 'gangguan', 'los', 'giliran', 'tagihan', 'banget', 'cepet', 'dibayar', 'pelayanan', 'diperhatikan', '']</t>
  </si>
  <si>
    <t>['aplikasi', 'indihome', 'lemot', 'payah']</t>
  </si>
  <si>
    <t>['kacau', 'update', 'loading', 'teruss', 'susah', 'masuk', 'jaringan', 'hujan', 'turun', 'jelek', '']</t>
  </si>
  <si>
    <t>['apk', 'lelet', 'jaringan', 'los']</t>
  </si>
  <si>
    <t>['laporan', 'aplikasi', 'respon', 'cept', 'petugas', 'daerah', 'menu', 'laporannya', 'rumit', 'dpt', 'tiket', 'laporan']</t>
  </si>
  <si>
    <t>['aplikasinya', 'mantap']</t>
  </si>
  <si>
    <t>['indihome', 'alhamdulillah', 'kereen']</t>
  </si>
  <si>
    <t>['update', 'aplikasi', 'semangin', 'lemot', 'berat', 'kebanyakan', 'gayalah', 'fiturnya', 'aplikasi', 'renew', 'speed', 'nambah', 'nomor', 'internet', 'perbaikan', '']</t>
  </si>
  <si>
    <t>['membantu', 'customer']</t>
  </si>
  <si>
    <t>['', 'srg', 'gangguan']</t>
  </si>
  <si>
    <t>['enak', 'apk', 'smnjak', 'upgrade', 'payaaaahhhhhhh']</t>
  </si>
  <si>
    <t>['susah', 'kancar', 'kasih', '']</t>
  </si>
  <si>
    <t>['kluwer', 'lemot', 'banget', 'aplikasi', 'pembenahannya']</t>
  </si>
  <si>
    <t>['jdi', 'lemot', 'update', 'laporan', 'keluhan']</t>
  </si>
  <si>
    <t>['', 'update', 'versi', 'terbaru', 'lemot', 'membingungkan', '']</t>
  </si>
  <si>
    <t>['loadingnya']</t>
  </si>
  <si>
    <t>['', 'upgrade', 'app', 'lemot', 'lapor', 'internet', 'jadwal', 'lapor', 'internet', 'udah', 'seminggu', 'appnya', 'loading', 'mulu', '']</t>
  </si>
  <si>
    <t>['ribet', 'update', 'ratenya', 'jadiin']</t>
  </si>
  <si>
    <t>['jaringan', 'super', 'lelet', 'login', 'indihom', 'ngak', '']</t>
  </si>
  <si>
    <t>['pelayanan', 'buruk', 'masuk', 'masuk', 'email', '']</t>
  </si>
  <si>
    <t>['servernya', 'jelek', 'loading', 'startup', 'masuk', 'aplikasi', 'nyalahin', 'jaringan', 'user', 'buka', 'dimana', 'device', 'berbeda', 'gini', 'bintang', 'msh', 'cek', 'fup', 'pembayaran', '']</t>
  </si>
  <si>
    <t>['versi', 'mantap', 'tampilannya', 'liat', 'riwayat', 'pembayaran', '']</t>
  </si>
  <si>
    <t>['masukin', 'pelanggan', 'temukan', 'apps', 'giliran', 'pembayaran', 'pelanggan', 'temukan', 'pindah', 'isp']</t>
  </si>
  <si>
    <t>['produktif', 'aplikasi', 'good', '']</t>
  </si>
  <si>
    <t>['ujan', 'lemot', 'habis', 'hujan', 'putus']</t>
  </si>
  <si>
    <t>['membeli', 'wifi', 'seamless', 'didalam', 'tagihan', 'indihome', 'pembelian', 'sya', 'mengerti', 'sya', 'lakukan', 'pengaduan', 'plasa', 'mendapatkn', 'kepuasan', 'jawabn', '']</t>
  </si>
  <si>
    <t>['diupdate', 'ribet', 'lapor', 'gangguan', 'update', 'verifikasi', 'sukses', 'verifikasi', 'identitas', 'giliran', 'verifikasi', 'lokasi', 'konek', 'jaringan', 'wifi', '']</t>
  </si>
  <si>
    <t>['pelayanan', 'memuaskan', 'laporan', 'aplikasi', 'teknisi', 'tertulis', 'laporan', 'teknisi', 'sudh', 'selesai', 'perbaikan', 'telp', 'call', 'center', 'nggak', 'help', 'emosi']</t>
  </si>
  <si>
    <t>['respon', 'adminnya', 'cepat']</t>
  </si>
  <si>
    <t>['wifi', 'dipake', 'jaringan', 'tolong', 'kasih', 'imponya', 'ganti', 'fasword', 'gimana']</t>
  </si>
  <si>
    <t>['keren', 'banget', 'aplikasinya', 'sukses', 'myindihome']</t>
  </si>
  <si>
    <t>['aplikasinya', 'lelet', 'sengaja', 'diakses', 'fitur', 'pengajuan', 'komplainnya', 'beda', 'bangat', 'pln']</t>
  </si>
  <si>
    <t>['dikontrol', 'darimana', 'fitur', 'dipakai']</t>
  </si>
  <si>
    <t>['', 'intinya', 'gitu', '']</t>
  </si>
  <si>
    <t>['susah', 'aksesnya']</t>
  </si>
  <si>
    <t>['login', 'perbaikan', 'peningkatan', 'alias', 'mbelgedes']</t>
  </si>
  <si>
    <t>['kecepatan', 'jaringan', 'akui', 'bagus', 'jeleknya', 'lambat', 'bayar', 'internet', 'langsung', 'diputus', 'giliran', 'udah', 'dibayar', 'loss', 'loss', 'jaringan', 'adil', 'banget', 'udah', 'loss', 'minimal', 'tambahlah', 'jga', 'jaringan', 'jatem', 'jgan', 'tggal', 'jatempo', 'langsung', 'diputuss', 'giliran', 'duitt', 'ajaa', 'cepet', 'bagusnya', 'lambat', 'bayar', 'cpt', 'jaringan', 'putus', 'biarim', 'nombok', '']</t>
  </si>
  <si>
    <t>['wifi', 'lagg', 'bayar', 'tolong']</t>
  </si>
  <si>
    <t>['heran', 'update', 'login', 'alasannya', 'peningkatan', 'layanan', 'kesel', '']</t>
  </si>
  <si>
    <t>['aplikasi', 'myindihome', 'layak', 'bintang', 'pemilik', 'perusahan', 'teknologi', 'komunikasi', 'aplikasinya', 'jelek', '']</t>
  </si>
  <si>
    <t>['masukin', 'nomor', 'pelanggan', 'profil', 'aktifnya', 'liat', 'data', 'tagihan', 'pembayaran', 'fup', 'saran', 'kelengkapan', 'profil', 'diperjelas', 'karna', 'liat', 'permintaan', 'pemasangan', 'baca', 'komen', 'pelanggan', 'bingung', 'karna', 'sibuk', 'melengkapi', 'profil', 'kekurangan', 'aplikasi', 'berat', 'loading', 'lbh', 'bagus', 'versi', '']</t>
  </si>
  <si>
    <t>['parah', 'update', '']</t>
  </si>
  <si>
    <t>['aplikasi', 'rusak', 'abis', 'update', 'akun', 'habis', 'login', 'kode', 'salah', 'mulu', 'masuk', 'situs', 'webnya', 'aneh', 'aplikasi', 'makan', 'gaji', 'buta']</t>
  </si>
  <si>
    <t>['aplikasi', 'laporan', 'susah', 'banget', 'lemot', 'kecewa']</t>
  </si>
  <si>
    <t>['buruk', 'banget', 'lemot']</t>
  </si>
  <si>
    <t>['ngelek', 'babi']</t>
  </si>
  <si>
    <t>['update', 'apk', 'terbaru', 'buruk', 'mhon', 'perbaiki', '']</t>
  </si>
  <si>
    <t>['chanell', 'berkurang', 'pemberitahuan', 'wifi', 'lemot', 'memasuki', 'musim', 'penghujan', 'aplikasi', 'parah', 'complain', 'pengaduan', 'layanan', 'chat', 'aplikasi', 'telat', 'bayar', 'sehari', 'langsung', 'cut', 'off', 'layanan', 'indihome', 'oohh', 'hhh', 'indihome', 'salam', 'revolusi', 'mental', '']</t>
  </si>
  <si>
    <t>['mantab', 'sangad']</t>
  </si>
  <si>
    <t>['gaya', 'bahaya', '']</t>
  </si>
  <si>
    <t>['buka', 'aplikasi', 'loadingnya', 'abis', 'kopi', 'cangkir', 'kelar']</t>
  </si>
  <si>
    <t>['lemot', 'buka', 'app']</t>
  </si>
  <si>
    <t>['indihome', 'skt', 'kepala', 'jaringan', 'butut', 'update', 'trus', 'aplikasix', 'msk', 'slalu', 'ssh', 'gmna', 'byr', '']</t>
  </si>
  <si>
    <t>['profil', 'gimana', 'pemberitahuan', 'penggunaan', '']</t>
  </si>
  <si>
    <t>['kualitas', 'jelek', 'tingkatin', 'kuliatas', 'update', 'aplikasinya']</t>
  </si>
  <si>
    <t>['kendala', 'pengguna', 'indihome', 'tolong', 'tangani', 'secepatnya']</t>
  </si>
  <si>
    <t>['sinyal', 'bapuk', 'telat', 'lgsg', 'diputus', 'ngk', 'paket', 'internetnya', 'disuruh', 'bayar', 'kabel', 'indihome', 'pasang', 'kabel', 'permisi', 'ditiang', 'org', '']</t>
  </si>
  <si>
    <t>['bayar', 'mahal', 'gangguan', 'seminggu', 'kali', 'gangguan', 'dilaporkan', 'peningkatan', 'layanan', 'teman', 'wifi', 'anehhh', '']</t>
  </si>
  <si>
    <t>['bagusan', 'kemarin', 'update', 'profil', 'menarik', 'menarik']</t>
  </si>
  <si>
    <t>['aplikasi', 'bagus', 'jaringan', 'stabil']</t>
  </si>
  <si>
    <t>['update', 'aplikasi', 'versi', 'terbaru', 'poin', 'nol', 'trs', 'masuk', 'susah', 'banget', 'disuruh', 'daftar', 'ulang', 'giliran', 'daftar', 'telp', 'email', 'uda', 'terdaftar', 'masuk', 'skrg', 'giliran', 'masuk', 'telp', 'blm', 'terdaftar', 'bingung', 'ama', 'aplikasi', 'msh', 'gampang', 'versi', 'versi', 'barunya', 'bknnya', 'tmbh', 'bgs', 'bkn', 'bingung', 'uniintal', 'aplikasi', '']</t>
  </si>
  <si>
    <t>['lemot', 'respon', '']</t>
  </si>
  <si>
    <t>['apdet', 'versi', 'terbaru', 'sulit', 'masuknya', 'aplikasinya', 'jelek', 'banget', '']</t>
  </si>
  <si>
    <t>['gagal', 'login', 'apps', 'payah', 'ribet']</t>
  </si>
  <si>
    <t>['', 'login', 'make', 'nomor', 'telepon']</t>
  </si>
  <si>
    <t>['update', 'terbaru', 'aplikasinya', 'susah', 'login', 'klik', 'tombol', 'lupa', 'password', 'diarahkan', 'reset', 'password', 'nomor', 'via', 'sms', 'masuk', 'sms', 'dibuka', 'kode', 'dikirim', 'dibilang', 'berlaku', 'sepersekian', 'detik', 'buka', 'sms', 'aneh']</t>
  </si>
  <si>
    <t>['aplikasi', 'buruk', 'kali', 'laporan', 'tindak', 'laporan', 'proses', 'jam', 'telpon', 'responnya', 'cepat']</t>
  </si>
  <si>
    <t>['gangguan']</t>
  </si>
  <si>
    <t>['proses', 'update', 'lemot', 'banget', 'update', 'lancar', 'kaya', 'fiturnya', 'mudah', 'dimengerti', 'efisien', 'kembangkan', 'karya', 'bermanfaat', 'semangat', '']</t>
  </si>
  <si>
    <t>['indihome', 'pelayanan', 'buruk', 'bangt', 'sumpah', 'aing', 'kesell']</t>
  </si>
  <si>
    <t>['gjls', 'ngecek', 'pembayaran', 'myimdihome', 'pelayanan', 'kesini', 'buruk']</t>
  </si>
  <si>
    <t>['gmana', 'penanganan', 'pakai', 'aplikasi', 'mending', 'telpon', 'coba', 'tolong', 'gangguan', 'pelanggan', 'kompensasi', 'internet', 'daerah', 'mengalami', 'gangguan', 'penanganannya', 'lambat', 'bayarnya', 'segitu', 'kesel', 'pelayanannya', '']</t>
  </si>
  <si>
    <t>['update', 'akunku', 'hilang', 'boss', 'login', 'massa', 'terkait', 'letakkan', 'nomor', 'telepon', 'dikatakanyya', 'nomor', 'terdaftar', 'proses', 'laa', 'boss']</t>
  </si>
  <si>
    <t>['lapor', 'pagi', 'siang', 'langsung', 'ditelepon', 'lokasi', 'petugas', 'gokil', 'cepetnya']</t>
  </si>
  <si>
    <t>['app', 'lemot', 'request', 'data', 'server', 'intuitif', 'mahasiswa', '']</t>
  </si>
  <si>
    <t>['ekkren']</t>
  </si>
  <si>
    <t>['nambah', 'nomer', 'layanan', 'aplikasi', 'lemot', 'polll', 'parahh', '']</t>
  </si>
  <si>
    <t>['udah', 'buka', 'aplikasi', 'buka', 'login', 'terdaftar', 'hangus', 'mengajukan', 'perubahan', 'selang', 'dpt', 'telp', 'indihome', 'care', 'sukses', 'ganti', 'walhasil', 'aplikasi', 'cepat', 'respon', '']</t>
  </si>
  <si>
    <t>['lbh', 'mudah', 'dipahami', 'gampang', 'skrg', 'enak', 'ngecek', 'aplikasi', 'myindihome', 'sukses', 'indihome', '']</t>
  </si>
  <si>
    <t>['loadingnya', 'lambat', 'versi', '']</t>
  </si>
  <si>
    <t>['bagus', 'mudah', 'penggunaannya']</t>
  </si>
  <si>
    <t>['terimakasih', 'myindihome', 'membantu', 'melaksanakan', 'pekerjaan', 'kegiatan', 'kegiatan', 'jaringan', 'daring', '']</t>
  </si>
  <si>
    <t>['aplikasi', 'update', 'kek', 'aplikasi', 'ampas', 'berisikan', 'iklan', 'fiture', 'pengguna', 'fitur', 'hilangkan', 'bagus', 'aplikasi', 'update', '']</t>
  </si>
  <si>
    <t>['top']</t>
  </si>
  <si>
    <t>['crash', 'android', 'dibuka']</t>
  </si>
  <si>
    <t>['aplikasi', 'update', 'bagus', 'fiturnya', 'indohome', 'semoga', 'lancar', 'indihome', '']</t>
  </si>
  <si>
    <t>['kasih', 'bintang', 'update', 'status', 'poin', 'fitur', 'menerima', 'otp', 'otomatis', 'masuk', 'stuck', 'aneh', 'update', 'bagus', 'apk']</t>
  </si>
  <si>
    <t>['pelayanan', 'paking', 'buruk', 'dapatkan', 'pengaduan', 'diproses', '']</t>
  </si>
  <si>
    <t>['aplikasi', 'belajar', 'bagus', 'komunikatif', '']</t>
  </si>
  <si>
    <t>['gampang', 'dipahamin', 'versi', '']</t>
  </si>
  <si>
    <t>['fast', 'respon', 'good', 'aplikasi', 'perbaikan', 'cepet', 'setia', 'berlangganan', 'indihome', '']</t>
  </si>
  <si>
    <t>['mudah', 'mantaaap', 'semogamakin', 'kedepan', 'sukses']</t>
  </si>
  <si>
    <t>['aplikasi', 'bntuan', 'layanan', 'dibalas', '']</t>
  </si>
  <si>
    <t>['pokoknya', 'nyesel', 'nggak', 'pakai', 'indihome', 'indihome', 'mantaap']</t>
  </si>
  <si>
    <t>['aplikasi', 'membantu', 'renew', 'speed', 'dll', 'smoga', 'lancar', 'jaya', 'merdeka']</t>
  </si>
  <si>
    <t>['pengalaman', 'cek', 'pemakaian', 'kuota']</t>
  </si>
  <si>
    <t>['tampilan', 'keren', 'paketan', 'mudah', 'cari']</t>
  </si>
  <si>
    <t>['menurutku', 'update', 'lag', 'dibagian', 'profile', 'semoga', 'kedepannya', 'bagus', 'hilangin', 'namanya', 'lag', 'lag', 'diaplikasinya', 'god', 'bless', 'bismillah', 'saldo', 'link']</t>
  </si>
  <si>
    <t>['mantaps', 'and', 'datanya', 'akurat', 'membantu', '']</t>
  </si>
  <si>
    <t>['update', 'terbaru', 'pilihan', 'pengaduan', 'pelayanan', 'efektif']</t>
  </si>
  <si>
    <t>['macet', 'macet', 'sinyal']</t>
  </si>
  <si>
    <t>['aplikasi', 'abis', 'update', 'bengekk', 'gabisa', 'loginnnnnnnnnn', '']</t>
  </si>
  <si>
    <t>['bsa', 'terpasang', 'blok', 'sebelah', 'terpasang', 'cma', 'kehalangan', 'gang']</t>
  </si>
  <si>
    <t>['jaringan', 'stabil', 'harga', 'murah', 'puas']</t>
  </si>
  <si>
    <t>['tampilan', 'bagus', 'memudahkan', 'informasi', 'tagihan', 'kolom', 'bantuan', 'gangguan', 'tetsedia', 'langkah', 'langkah', 'pengaduan', 'sangan', 'membantu', 'pelanggan', 'cepat', 'menindak', 'gangguan', 'pelanggan', '']</t>
  </si>
  <si>
    <t>['bagus', 'membantu', 'mengecek', 'indihome']</t>
  </si>
  <si>
    <t>['kemudahan', 'mengakses']</t>
  </si>
  <si>
    <t>['lancar', 'donk', 'kecuali', 'ujan', 'tersendat', 'selebihnya', 'kek', 'jalan', 'tol', 'love', 'deh', 'pokoknya', '']</t>
  </si>
  <si>
    <t>['aman', 'lancar', 'tersendat', 'ngebut', 'semoga', 'bertahan', '']</t>
  </si>
  <si>
    <t>['aplikasi', 'memudahkan', 'info', 'terupdate', 'suka', 'liat', 'penggunaan', 'layanan', 'laporan', 'online']</t>
  </si>
  <si>
    <t>['aplikasi', 'terbaru', 'simple', '']</t>
  </si>
  <si>
    <t>['userfriendly']</t>
  </si>
  <si>
    <t>['mantap', 'membantu', 'pengaduan', 'direspon', 'cepat']</t>
  </si>
  <si>
    <t>['gooddd', '']</t>
  </si>
  <si>
    <t>['peraturan', 'skrg', 'beda', 'ngga', 'pasang', 'bulanan', 'biaya', 'pemasangan', 'diawal', 'berat', 'maap', 'pasang']</t>
  </si>
  <si>
    <t>['berlangganan', 'nunggak', 'kewajiban', 'internet', 'gangguan', 'update', 'aplikasi', 'point', '']</t>
  </si>
  <si>
    <t>['komplain', 'berkali', 'kali', 'messenger', 'gangguan', 'rusak', 'modemnya', 'jaringan', 'internetnya', 'pelanggan', 'ninggalin', 'persatu', '']</t>
  </si>
  <si>
    <t>['pelayananannya', 'memuaskan']</t>
  </si>
  <si>
    <t>['ditunggu', 'patch', 'terbaru', 'kendala', 'aplikasi', 'berat', 'high', 'loading', 'device', 'redmi', 'android', 'ram', 'miui', 'stable', 'global']</t>
  </si>
  <si>
    <t>['bayarnya', 'kenceng', 'internetnya', 'lelet', 'mati', 'nyala', 'mati', 'nyala', 'fix', 'lepas']</t>
  </si>
  <si>
    <t>['lag', 'mulu', 'buang', 'uang']</t>
  </si>
  <si>
    <t>['mudah', 'lengkap', 'pelayananannya']</t>
  </si>
  <si>
    <t>['aplikasi', 'sulit', 'akses', 'nukar', 'poin', 'susah', 'namanya', 'bumn']</t>
  </si>
  <si>
    <t>['bagus', 'lbih', 'detail', 'berat', 'aplikasinya']</t>
  </si>
  <si>
    <t>['tampilan', 'mudah']</t>
  </si>
  <si>
    <t>['aplikasi', 'terbaru', 'informatif', 'mudah', 'pahami']</t>
  </si>
  <si>
    <t>['aplikasi', 'indihome', 'terbaru', 'informatif', 'transparan', 'terhadapa', 'pemakaian', 'stabil', 'hiburannya', 'kedepan', 'event', 'ttp', 'dilaksanakan', 'hadiah', 'menarik', 'berkembang', 'indihome']</t>
  </si>
  <si>
    <t>['fitur', 'barunya', 'keren', 'mantap', 'indihome', '']</t>
  </si>
  <si>
    <t>['aplikasi', 'mudah', 'membantu', 'mengecek', 'membayar', 'tagihan']</t>
  </si>
  <si>
    <t>['layanan', 'indihome', 'terbaik', 'kecewa']</t>
  </si>
  <si>
    <t>['terbantu', 'indihome', 'rumah', 'wfh', 'sfh', 'berjalan', 'lancar']</t>
  </si>
  <si>
    <t>['langganan', 'indihome', 'rekomendasikan', 'install', 'aplikasi']</t>
  </si>
  <si>
    <t>['tolong', 'indihom', 'perbaiki', 'respon', 'keluhan', 'pengguna', 'pengguna', 'indihome', 'kecewa', 'menyesal', 'memakai', 'indihome', 'tagihan', 'wajar', 'suda', 'memakai', 'indihom', 'tagihanya', 'tolong', 'respon', 'pengaduan', '']</t>
  </si>
  <si>
    <t>['aplikasi', 'mempermudah', 'memantau', 'penggunaan', 'banwidth', 'indihome', 'cepat', 'penyampaian', 'kendala', 'penanganan', 'cepat', 'fitur', 'hiburan', 'sediakan', 'ckup', 'komplit']</t>
  </si>
  <si>
    <t>['cepat', 'info', 'promo', 'terupdate', 'produk', 'indihome', 'info', 'tagihan']</t>
  </si>
  <si>
    <t>['pemasangan', 'lancar', 'lelet', 'alasan', 'update', 'kecepatan', 'mbps', 'perubahan', 'useetvnya', 'gambarnya', 'stop', 'laporkan', 'kuota', 'operatornya', 'customer', 'servicenya', '']</t>
  </si>
  <si>
    <t>['tampilan', 'aplikasinya', 'menarik', 'informatif', 'menunya', 'interaktif', 'memudahkan', 'pelanggan', 'mengakes', 'layanan', 'semoga', 'indihome', 'semangat', 'berinovasi', 'layanan', 'terbaik', 'negeri', '']</t>
  </si>
  <si>
    <t>['aplikasi', 'bagus', 'promo', 'indihome', 'pelaporan', 'gangguan', 'cepat', 'tangani', 'point', 'tukar', 'menarik', 'membayar', 'tagihan', 'aplikasi', 'myindihome', 'kedepannya', 'lebik', 'terima', 'kasih', 'indihome']</t>
  </si>
  <si>
    <t>['detail', 'pengeluaran', 'perbulan', 'pemakaian', 'wifi', 'harganya', '']</t>
  </si>
  <si>
    <t>['aplikasi', 'error', 'mulu']</t>
  </si>
  <si>
    <t>['gabisa', 'terhubung', 'internet', 'gimana', 'kerumah', 'php', 'doang']</t>
  </si>
  <si>
    <t>['sedih', 'karna', 'update', 'aplikasi', 'masuk', 'nomor', 'email', 'daftar', 'masuk']</t>
  </si>
  <si>
    <t>['', 'stelah', 'update', 'gada', 'tampilan', 'ajukan', 'pelaporan', 'pdhl', 'laporan', 'gabsa']</t>
  </si>
  <si>
    <t>['gaa', 'nyesel', 'donwload', 'apl', 'berguna', 'banget']</t>
  </si>
  <si>
    <t>['pelayanan', 'terbaik', 'internet', 'normal', 'hr', 'ganguan', 'alasan', 'perbaikan', 'jaringan', 'giliran', 'telat', 'isolir', 'perusahaan', 'bumn', 'sekelas', 'perusahaan', 'amatir', '']</t>
  </si>
  <si>
    <t>['indhihome', 'buruk', 'jam', 'internet', 'wifi', 'indihome', 'balikpapan', 'parah', 'banget', 'kali', 'kecewa', 'balikpapan', 'gembar', 'gembor', 'internet', 'murah', 'pln', 'beralih', 'internet', 'pln', '']</t>
  </si>
  <si>
    <t>['bug', 'berguna']</t>
  </si>
  <si>
    <t>['pelayanan', 'buruk', 'eror', 'lemot', 'respon', 'harga', 'mahal', 'sebanding', 'kualitas', 'kecewa', 'sedalam', 'dalamnya', '']</t>
  </si>
  <si>
    <t>['jelek', 'indihome', 'minggu', 'giliran', 'bayar', 'rugi']</t>
  </si>
  <si>
    <t>['verifikasi', 'via', 'email', 'terkirim', '']</t>
  </si>
  <si>
    <t>['update', 'gabisa', 'login', 'udah', 'coba', 'daftar', 'email', 'terdaftar', 'masuk', 'akun', 'gabisa', 'aneh', 'banget', 'emg', 'update', 'bagus', 'poin', 'udah', '']</t>
  </si>
  <si>
    <t>['apknya', 'mantap', 'updtae', 'keren', 'poin', 'tetep', 'bekurang', 'mudah', 'mengecek', 'kuota', 'pakai', 'maju', 'indihome', '']</t>
  </si>
  <si>
    <t>['terima', 'kasih', 'pengembang', 'apk', 'update', 'aplikasi', 'perubahan', 'perbaikan', 'aplikasi', 'bagus', 'fiturnya', 'informatif', 'memudahkan', 'konsumen', 'pengguna', 'dijumpai', 'bug', 'crash', 'force', 'close', 'aplikasi', 'masukan', 'tampilan', 'icon', 'beranda', 'launcher', 'logo', 'myindihome', 'tampil', 'gambar', 'android', 'robot', 'hijau', 'sayang', 'sempurna', 'tks']</t>
  </si>
  <si>
    <t>['informasi', 'untik', 'aplikasi', 'update', 'mudah', 'pahami', 'tampilannya', 'menarik', 'feature', '']</t>
  </si>
  <si>
    <t>['gimana', 'indihome', 'jaringan', 'engga', 'bayaran', 'gapernah', 'telat', 'masang', 'wifi', 'gunain', 'data', 'gara', 'lag', 'mohon', 'diperbaiki', 'pengguna', 'kecewa', 'bayar', 'mahal', 'sinyal', 'sebanding', 'bayaran']</t>
  </si>
  <si>
    <t>['malam', 'internet']</t>
  </si>
  <si>
    <t>['kek', 'kontll', 'wifi', 'kolo', 'main', 'lag', 'mulu', 'mending', 'beli', 'data', 'deh']</t>
  </si>
  <si>
    <t>['pelanggan', 'kualitas', 'prinsip', 'indihome', 'pelanggan', 'kualitas', 'buruk', 'tagihan', '']</t>
  </si>
  <si>
    <t>['mudah', 'pemakaian', 'internet']</t>
  </si>
  <si>
    <t>['jaringan', 'lemoooootttttt', 'ping', 'payahhhhh', 'bangetttt', 'very', 'annoying']</t>
  </si>
  <si>
    <t>['laporan', 'sulit', 'pelayanan', 'jelek', 'kusus', 'untur', 'area', 'jepara', 'jaringan', 'pilih', 'jaringan', 'swasta', 'meremehkan', 'pelanggan', 'pegawai', 'telkom', 'buta', 'tuli', 'perbaiki', 'biadap']</t>
  </si>
  <si>
    <t>['mudah', 'membantu', 'memantau', 'tagihan', 'bulannya', 'serba', 'digital']</t>
  </si>
  <si>
    <t>['sebenernya', 'apk', 'bagus', 'poin', 'dituker', 'pembaruan', 'apk', 'lemot', 'lancar', 'komen', 'kesini', 'dpt', 'hadiah', 'indihome', 'via', 'link', 'via', 'ovo', 'shopee', 'hahaha', 'makasih']</t>
  </si>
  <si>
    <t>['keren', 'kreatif', 'informatif', 'inovatif']</t>
  </si>
  <si>
    <t>['internet', 'jelek', 'malam', 'bayar', 'mahal', 'aneh']</t>
  </si>
  <si>
    <t>['pengaturan', 'handphone', 'pembaharuan', 'aplikasi', 'otomatis', 'aplikasi', 'versi', 'terbaru', 'tampilan', 'lengkap', 'informasinya', 'mudah', 'aman', 'over', 'all', 'good', 'semoga', 'indihome', 'berinovasi', 'pelayanan', 'terbaik', 'pelanggan', 'setianya', 'terimakasih', 'sukses', '']</t>
  </si>
  <si>
    <t>['diupdate', 'buruk', 'aplikasi', 'versi', '']</t>
  </si>
  <si>
    <t>['aplikasinya', 'keren', 'membantu', 'pokoknya']</t>
  </si>
  <si>
    <t>['aplikasi', 'terupdate', 'semoga', 'praktis', 'manfaat']</t>
  </si>
  <si>
    <t>['lumayan', 'membantu', 'cek', 'tagihan', 'bulanan']</t>
  </si>
  <si>
    <t>['mudah', 'bagus']</t>
  </si>
  <si>
    <t>['udate', 'aplikasi', 'parah', 'tolong', 'kembalikan', 'kesemula']</t>
  </si>
  <si>
    <t>['update', 'login', 'pakai', 'email', 'nomor', 'telepon', 'keterangan', 'terdaftar', 'hadeeeehhh', 'wes', 'emboh', '']</t>
  </si>
  <si>
    <t>['aplikasinya', 'bermanfaat', 'pengguna', 'indihome']</t>
  </si>
  <si>
    <t>['update', 'data', 'suruh', 'login', 'lgi', 'nomor', 'udh', 'mati', 'udh', 'ganti', 'kenomer', 'jdi', 'ngga', 'masuk', 'opsi', 'ganti', 'nomer', 'jdi', 'gimna', 'bayar', 'aneh', 'emang']</t>
  </si>
  <si>
    <t>['versi', 'jelek', 'banget', 'loading', 'mulu', 'beres', 'beres', 'enakan', 'versi', 'versi']</t>
  </si>
  <si>
    <t>['update', 'karuan', 'loading', 'jaringan', 'ilang', 'tolong', 'diatasi', 'permasalahan', 'permasalahan']</t>
  </si>
  <si>
    <t>['gagal', 'update', '']</t>
  </si>
  <si>
    <t>['update', 'keterangan', 'pasang', 'hilang', '']</t>
  </si>
  <si>
    <t>['respon', 'menunggu', 'teknisi', 'pekerjaan', 'cepat', '']</t>
  </si>
  <si>
    <t>['pelayan', 'memutuskan', '']</t>
  </si>
  <si>
    <t>['bagus', 'aplikasi', 'praktis']</t>
  </si>
  <si>
    <t>['bayar', 'tagihan', 'jaringan', 'lemot', 'kafir', 'sumpah', 'indihome']</t>
  </si>
  <si>
    <t>['pembaruan', 'bagus', 'dibuka', 'daftar', 'parah']</t>
  </si>
  <si>
    <t>['pengembalian', 'uang', 'refund', 'deposit', 'dijanjikan', 'kerja', 'udah', 'udah', 'komplen', 'kesana', 'kemari', 'dilempar', 'kesan']</t>
  </si>
  <si>
    <t>['kecewa', 'penjelasan', 'customer', 'service', 'paket', 'stop', 'tagihannya', '']</t>
  </si>
  <si>
    <t>['lemotnya', 'ampun', 'buang', 'login', 'muter', 'aplikasi', 'mending', 'buang', 'aplikasinya', 'manfaatnya']</t>
  </si>
  <si>
    <t>['poin', 'ditukar', 'tutup', 'app', 'buka', 'voucher', 'hilang', 'tolong', 'histori', 'voucher', 'poin', 'ditukar']</t>
  </si>
  <si>
    <t>['kasih', 'btng', 'pemakaian', 'indihome', 'gamas', '']</t>
  </si>
  <si>
    <t>['gimana', 'putus', 'mitra', 'udah', 'nyaman', 'pakai', 'indihome', '']</t>
  </si>
  <si>
    <t>['bagus', 'aplikasinya', 'layanan', 'pengaduan', 'pelanggan', 'mengajukan', 'pagi', 'selang', 'jam', 'ditindaklanjuti', 'trims']</t>
  </si>
  <si>
    <t>['parah', 'apk', 'urus', 'liat', 'profile']</t>
  </si>
  <si>
    <t>['aplikasinya', 'berguna', 'banget']</t>
  </si>
  <si>
    <t>['rating', 'jelek', 'syekali']</t>
  </si>
  <si>
    <t>['buka', 'aplikasi', 'login', 'ulang', 'nomer', 'verifikasi', 'ganti', 'nomor', 'login', 'gimana', 'aplikasinya']</t>
  </si>
  <si>
    <t>['udah', 'internet', 'lemottt', 'aplikasi', 'lemot', 'giliran', 'bayar', 'telat', 'kntollll']</t>
  </si>
  <si>
    <t>['pembaruan', 'aplikasi', 'mlah', 'mkin', 'jlas', '']</t>
  </si>
  <si>
    <t>['siiip']</t>
  </si>
  <si>
    <t>['', 'sibuk', 'kayaknya', 'servernya', 'loading', 'mulu', 'masuk', 'apk', 'cek', 'tagiahan', 'gabisa', 'mbps', 'pningkatan', 'pelayanan', 'update', 'luama', 'bet', 'telkomsel', 'kaya', 'tingaktin', 'server', 'kirang', 'sdm', 'rekrut', 'poin', 'kemana', 'kek', 'pesulap', 'becandanya', 'galucu', 'wkwkw', 'semoga', 'baca', 'apk']</t>
  </si>
  <si>
    <t>['tertulis', 'aplikasi', 'telpon', 'gratis', 'menit', 'tilpon', 'menit', 'tagihan', 'tilpon', '']</t>
  </si>
  <si>
    <t>['']</t>
  </si>
  <si>
    <t>['updatenya', 'seh', 'bagus', 'tampilan', 'fresh', 'loading', 'aplikasinya', 'ampun', 'lelet', 'banget', '']</t>
  </si>
  <si>
    <t>['top', 'banget', 'myindihome', 'aplikasinya', 'memudahkan', 'pengguna', 'lengkap', 'semoga', 'kedepannya']</t>
  </si>
  <si>
    <t>['aplikasinya', 'keren', 'memudahkan', 'pengguna', 'tagihan']</t>
  </si>
  <si>
    <t>['menyukai', 'versi', 'tertera', 'paket', 'lengkap', 'update', 'lengkap', 'care', 'promosi', 'care', 'costumer', 'aplikasinya', 'kembalikan', 'versi', 'care', 'custumer', 'dev', 'tolong', 'perhatikan', 'masukan', 'rate', 'stars', 'trim', '']</t>
  </si>
  <si>
    <t>['aplikasinya', 'lelet', '']</t>
  </si>
  <si>
    <t>['membantu', 'keren', 'info', 'tools', 'pembayarannya']</t>
  </si>
  <si>
    <t>['telat', 'bayar', 'denda', 'udah', 'dibayar', 'gaguna']</t>
  </si>
  <si>
    <t>['aplikasinya', 'lemot']</t>
  </si>
  <si>
    <t>['update', 'muter', 'doank', 'hadeuuhh']</t>
  </si>
  <si>
    <t>['paket', 'tbtb', 'bengkak', 'downgrade', 'paket', 'aplikasi', 'masuk', 'aplikasi', 'eerror']</t>
  </si>
  <si>
    <t>['aneh', 'indihome', 'jaringan', 'trobel', 'ngelola', 'aplikasi', 'lemot', 'aplikator', 'cacat']</t>
  </si>
  <si>
    <t>['semenjak', 'update', 'loading', 'lemot', 'banget', 'kadang', 'kadang', '']</t>
  </si>
  <si>
    <t>['update', 'loading', 'mulu']</t>
  </si>
  <si>
    <t>['', 'update', 'lemot', 'kenceng', 'aneh', 'cepet', 'perbaiki', 'pelanggan', 'kabur']</t>
  </si>
  <si>
    <t>['gila', 'langgaman', 'paket', 'non', 'fup', 'kena', 'fup', 'kinerja', 'bumn', 'pasang', 'indihome', 'terpaksa', 'provider', 'masuk', 'mnc', 'play', 'masuk', 'auto', 'habis', 'kontrak', 'silahkan', 'bawa', 'peralatan', 'disewa', 'alias', 'putus', 'sambungan', 'mengecewakan']</t>
  </si>
  <si>
    <t>['lelet', 'buka']</t>
  </si>
  <si>
    <t>['abis', 'update', 'dibuka', 'aplikasinya']</t>
  </si>
  <si>
    <t>['aplikasi', 'aneh', 'apliksi', 'sampah', 'disuruh', 'update', 'update', 'selesai', 'update', 'masuk', 'nyantumin', 'email', 'dll', 'udh', 'lakuin', 'tetep', 'masuk', 'maunya', 'gimana', 'pemberitahuannya', 'perbaikan', 'layanan', 'sistem', 'silahkan', 'dicoba', 'pikir', 'update', 'perbaikan', 'apliksinya', 'dll', 'update', 'perbaikan', 'dalamnya', 'perbaikannya', 'gitu', '']</t>
  </si>
  <si>
    <t>['', 'allah', 'arep', 'masuk', 'aplikasi', 'angel', 'men', 'yoo', 'jane', 'aplikasi', 'opo', 'agen', 'rahasia', 'iki']</t>
  </si>
  <si>
    <t>['app', 'berat', 'loading', 'lelet', 'menu', 'ribet', 'sekelas', 'telkom', 'app', 'simple']</t>
  </si>
  <si>
    <t>['diperbarui', 'lemot']</t>
  </si>
  <si>
    <t>['mending', 'aplikasi', 'cek', 'pemakaian', 'suruh', 'verifikasi', 'lokasi', 'jaringan', 'baca', 'ribet', 'aplikasi', '']</t>
  </si>
  <si>
    <t>['banget', 'leletnya', 'skg']</t>
  </si>
  <si>
    <t>['aplikasinya', 'berat', 'banget', '']</t>
  </si>
  <si>
    <t>['apasi', 'mbps', 'dipake', 'orang', 'maen', 'game', 'nge', 'lag', 'bener', 'mahal', 'sinyal', 'jelek', 'bener']</t>
  </si>
  <si>
    <t>['aplikasi', 'sampah', 'sebentar', 'sebentar', 'loading', 'loadingnya', 'lambat', 'verifikasi', 'profil', 'gagal', 'mulu', 'aplikasi', 'utama', 'lambat', 'kasih', 'bintang', 'diperhatiin']</t>
  </si>
  <si>
    <t>['lemooooot', 'membuka', 'lamaaaaa', 'membingungkan', 'enak', 'diupdate', '']</t>
  </si>
  <si>
    <t>['update', 'lemot']</t>
  </si>
  <si>
    <t>['', 'cek', 'sisa', 'kuota', 'loading', 'update', 'ribet', 'ckckckk']</t>
  </si>
  <si>
    <t>['jam', 'malem', 'mati', 'wifi', 'konyol']</t>
  </si>
  <si>
    <t>['update', 'apk', 'login', 'udah', 'masukin', 'email', 'sandi', 'ditolak', 'login', 'web', 'bener', 'jelek', 'apk']</t>
  </si>
  <si>
    <t>['ngasih', 'masukan', 'cuman', 'balas', 'terima', 'kasih', 'doang', 'apk', 'ampas']</t>
  </si>
  <si>
    <t>['dikit', 'dikit', 'gangguan', 'berhenti', '']</t>
  </si>
  <si>
    <t>['ampas', 'ilang', 'ilangan', 'mulu', 'fiber', 'optic', 'kek', 'make', 'kabel', 'tembaga', 'koneksi', 'stabil']</t>
  </si>
  <si>
    <t>['aplikasi', 'susah', 'masuknya', 'sandi', '']</t>
  </si>
  <si>
    <t>['aplikasi', 'membantu', 'pengaduan', 'layanan', 'pembayaran', 'fiturnya', 'mudah', '']</t>
  </si>
  <si>
    <t>['diperbarui', 'apk', 'tampilan', 'bagus', 'sayang', 'layanan', 'pengaduan', 'susah', 'sebelumya']</t>
  </si>
  <si>
    <t>['jelek', 'berisi', 'promo', 'pelayanan', 'konsumen', '']</t>
  </si>
  <si>
    <t>['update', 'terbaru', 'berat', 'menu', 'membingungkan', 'versi']</t>
  </si>
  <si>
    <t>['indihome', 'gini', 'lawak', 'bet', 'bayar', 'mahal', 'nge', 'lag']</t>
  </si>
  <si>
    <t>['jaringan', 'ngtd', 'jellek', 'mulu', 'mahal', 'doang', 'asw']</t>
  </si>
  <si>
    <t>['udah', 'perbaharui', 'lelet', 'apk', 'berat', 'buka', 'error', 'bener']</t>
  </si>
  <si>
    <t>['gmna', 'daftar', 'lgi', 'update', 'aplikasi', 'aneh', 'aplikasi', 'updetaan', 'konyol']</t>
  </si>
  <si>
    <t>['astaga', 'apliksi', 'membantu', 'banget', 'pkog', 'sukaaaaa']</t>
  </si>
  <si>
    <t>['aplikasi', 'terbaru', 'susah', 'login', 'uda', 'daftar', 'perbarui', 'susah', 'daftar']</t>
  </si>
  <si>
    <t>['lemot', 'bet']</t>
  </si>
  <si>
    <t>['telkom', 'buruk', 'pelayanan', 'giliran', 'telat', 'bayar', 'sehari', 'langsung', 'blokir', 'adil', 'banget', 'aplikasi', 'update', 'masuk', 'kode', 'verifikasi', 'email', 'kirim', 'invalid', 'pakai', 'verifikasi', 'email', 'kemaren', 'ganti', 'masuk', 'verifikasi', 'pakai', 'mati', 'tlpn', 'call', 'center', 'nyambung', 'profesional', 'kerjanya', 'urusan', 'duit', 'cepet', 'bangke', 'darah', '']</t>
  </si>
  <si>
    <t>['update', 'bukanya', 'bagus', 'hancur', '']</t>
  </si>
  <si>
    <t>['keren', 'banget', 'tukar', 'point', 'lihat', 'tagihan', 'detail', 'usernya', 'friendly', 'bangettt']</t>
  </si>
  <si>
    <t>['paketan', 'mbps', 'bulanan', 'jaringan', 'bukanya', 'bagus', 'lelet', 'nonton', 'muter', 'banget']</t>
  </si>
  <si>
    <t>['kagak', 'apps', 'kadang', 'akun', 'logout', 'trus', 'pemakaian', 'speed', 'ngak', 'deteksi', 'amit', 'deh', 'udh', 'jaringan', 'jelek', 'apps']</t>
  </si>
  <si>
    <t>['kecewa', 'banget', 'setahun', 'pemasangan', 'jaringan', 'putus', 'putus', 'laporan', 'didatangin', 'emang', 'habis', 'teknisi', 'pulang', 'sampe', 'jam', 'udah', 'kambuh', 'putus', 'putusnya', 'parah', 'senja', 'malam', 'ngak', 'akses', 'internet', 'ditengah', 'kota', 'jarak', 'kantor', 'indihome', 'dri', 'rmh', 'sampe', 'km', 'respon', 'lambat', 'dibalas', 'refresh', 'kecewa', 'berat']</t>
  </si>
  <si>
    <t>['jaringan', 'stabil']</t>
  </si>
  <si>
    <t>['diperbaharui', 'langsung', 'log', 'out', 'login', 'ngk', 'perbaharui', 'meningkatkan', 'kinerja', 'aplikasi', 'menurunkan', 'kinerja', 'aplikasi', 'bravo', '']</t>
  </si>
  <si>
    <t>['update', 'versi', 'terbaru', 'menu', 'penggunaan', 'gb', 'tolong', 'perbaiki', 'terima', 'kasih', '']</t>
  </si>
  <si>
    <t>['jaringannya', 'parah', 'coy']</t>
  </si>
  <si>
    <t>['aplikasinya', 'pakai', 'komplain', 'jaringan']</t>
  </si>
  <si>
    <t>['haloo', 'admin', 'tampilan', 'usee', 'terbaru', 'update', 'susah', 'sempatnya', 'lihat', 'cuman', 'malem', 'acara', 'liat', 'cuman', 'jejak', 'sigundul', 'jam', 'sore', 'gimana', 'tayangan', 'kemaren', 'liat', 'acara', 'minggu', 'ngerti', 'susah', 'bener', 'bagus', 'kemaren', 'update', 'youtube', 'log', 'video', 'lihat', '']</t>
  </si>
  <si>
    <t>['renew', 'speed', 'susah', 'aplikasi', 'metode', 'pembayarannya', 'ngak', 'bank', 'bni', 'aplikasi', '']</t>
  </si>
  <si>
    <t>['tolong', 'apk', 'permudah', 'cek', 'telpon', 'rumahnya', 'bsa', 'hrus', 'kntor', 'telkom', 'dlu', 'jdnya']</t>
  </si>
  <si>
    <t>['aplikasi', 'noob']</t>
  </si>
  <si>
    <t>['update', 'apanya', 'aplikasi', 'buka', 'menu', 'perbaiki']</t>
  </si>
  <si>
    <t>['leg', 'trosssssssssssssssss']</t>
  </si>
  <si>
    <t>['baguus']</t>
  </si>
  <si>
    <t>['bukanya', 'lemot', 'kebanyakan', 'adon', 'jelek']</t>
  </si>
  <si>
    <t>['indihome', 'indonesia', 'kayak', 'gini', 'trouble', 'mulu', 'dibenerin', 'giliran', 'tagihan', 'nomer', '']</t>
  </si>
  <si>
    <t>['aplikasi', 'versi', 'versi', 'bedanya', 'versi', 'loadin', 'muter']</t>
  </si>
  <si>
    <t>['bagusan', 'cek', 'fup', 'riwayat', 'tagihan', 'cache', 'uda', 'bersih', 'data', 'ringan', 'aplikasi', 'berat', 'banget', '']</t>
  </si>
  <si>
    <t>['mengecewakan', '']</t>
  </si>
  <si>
    <t>['jaringan', 'internet', 'ancur', 'indonesia']</t>
  </si>
  <si>
    <t>['error', 'loss', 'jaringanya', 'laporan', 'sulit', 'aplikasi']</t>
  </si>
  <si>
    <t>['aplikasinya', 'error', 'teknisinya', 'laporan', 'udah', 'selesai', 'gimana', '']</t>
  </si>
  <si>
    <t>['buruk', 'asli', 'login', 'otp', 'salah']</t>
  </si>
  <si>
    <t>['lemot', 'aplikasinya']</t>
  </si>
  <si>
    <t>['login', 'nomer', 'emailnya', 'downgrade', 'ajah', 'versi', 'dipake', 'versi', 'susah', '']</t>
  </si>
  <si>
    <t>['wifi', 'internetnya', 'dipakai', 'teknisinyapun', 'kunjung', 'kekurangan', 'indihome', 'perbaikan', 'mengeluh', 'kemana']</t>
  </si>
  <si>
    <t>['tampilannya', 'udah', 'sederhana', 'menu', 'pengaduan', 'dll', 'disebelah', 'telpon']</t>
  </si>
  <si>
    <t>['eror', 'trus', 'nyala', 'lampu', 'merah', 'sinyal', 'lemot', 'tolong', 'kasih', 'kenyamanan', 'pelanggan']</t>
  </si>
  <si>
    <t>['aplikasinya', 'berat', 'banget', 'sumpah']</t>
  </si>
  <si>
    <t>['diperbarui', 'lemot', 'aplikasi', '']</t>
  </si>
  <si>
    <t>['aplikasi', 'ringan', 'mb', 'berat', 'banget', 'bukanya', 'loading', 'cek', 'tagihan', '']</t>
  </si>
  <si>
    <t>['aplikasi', 'ngk', 'bayar', 'tpi', 'sinyal', 'penyakit', 'perusaan', 'penyakit']</t>
  </si>
  <si>
    <t>['internet', 'lost', 'hall', 'bayar', 'telat', 'pelayanan', 'buruk', 'hancur', 'perbaikin', 'jaringan', 'jam', 'perbaikan', 'diksih', 'kesemua', 'pelanggan', 'kasih', 'notifikasi', 'gitu', 'internet', 'lost', 'sumpah', 'provider', 'buruk', 'sejarah', 'indihomo', '']</t>
  </si>
  <si>
    <t>['inhome', 'jaringan', 'gabut', 'ntar', 'nyesel', 'indihome', 'jaringan', 'putus', 'mulu', 'kebanyakan', 'ditumpuk']</t>
  </si>
  <si>
    <t>['mengecewakan']</t>
  </si>
  <si>
    <t>['aplikasinya', 'loading', 'lambat', 'verifikasi', 'bertele', 'tele', '']</t>
  </si>
  <si>
    <t>['aplikasi', 'perubahan', 'salah', 'satunya', 'disesali', 'tunggu', 'respon', 'permintaan', 'jaringannya', 'menit', 'data', 'ditampikan', 'kualitas', 'layanan', 'internetnya', 'bagus', 'servernya', 'ditingkatkan', '']</t>
  </si>
  <si>
    <t>['aplikasi', 'trllu', 'berat', 'lelet', 'coba', 'sesuaikan', 'dngn', 'tipe', '']</t>
  </si>
  <si>
    <t>['parah', 'udh', 'kecewa', 'parah', 'ganguan', 'mulu', 'penanganan', 'kecewa', 'dngan', 'pelayanan', 'live', 'chat', '']</t>
  </si>
  <si>
    <t>['update', 'aplikasi', 'versi', 'terbaru', 'point', 'hilang', 'nol', 'point', 'point', 'kelengkapan', 'profil', 'lengkap', 'dianggap', 'blm', 'melengkapi', 'tolong', 'teliti', 'update', 'aplikasi', 'software', 'terima', 'kasih', 'saran', 'user', 'interface', 'berat', 'coba', 'ringan', 'versi', '']</t>
  </si>
  <si>
    <t>['update', 'data', 'profil', 'pribadi', 'selesai', 'liat', 'perangkat', 'pakai', 'wifi', 'mending', 'ribet']</t>
  </si>
  <si>
    <t>['aplikasi', 'lelet', '']</t>
  </si>
  <si>
    <t>['pengaduan', 'kali', 'teknisi', 'mengiyakan', 'via', 'ditunggu', 'dihari', 'diarea', 'maksudnya', 'ping', 'ping', 'balas', 'sopankah', 'etikad', 'perusahaan', 'sistem', 'jaringan', 'error', 'teknisi', 'situ', 'dateng', '']</t>
  </si>
  <si>
    <t>['jaringan', 'ngentod']</t>
  </si>
  <si>
    <t>['update', 'aplikasinya', 'lemot']</t>
  </si>
  <si>
    <t>['tolong', 'diperbaiki', 'update', 'mlh', 'lupa', 'sandi', 'udah', 'dikirim', 'sandi', 'sms', 'mlh', 'keterangan', 'dipakai', 'gimana', 'nunggin', 'jam', '']</t>
  </si>
  <si>
    <t>['', 'aplikasi', 'perbarui', 'data', 'ilang', 'nyesel', 'login', 'susah', '']</t>
  </si>
  <si>
    <t>['gila', 'apss', 'bugs', 'ngotot', 'release', 'ticket', 'payah', 'udah', 'internet', 'gangguan', 'apps', 'bugs', 'bener', 'indihome', 'jaga', 'customers', '']</t>
  </si>
  <si>
    <t>['aplikasi', 'berat', 'banget', 'loading']</t>
  </si>
  <si>
    <t>['mahal', 'doang', 'service', 'bagus', '']</t>
  </si>
  <si>
    <t>['memudahkan', 'pengguna', 'wifi', 'indihome']</t>
  </si>
  <si>
    <t>['perbarui', 'otomatis', 'data', 'aplikasi', 'hilang', 'aplikasi', 'kecewa', '']</t>
  </si>
  <si>
    <t>['praktis', 'membantu']</t>
  </si>
  <si>
    <t>['gangguan', 'jam', 'kerja', 'lampu', 'indikator', 'merah', 'jam', 'kerja', 'menggangu', 'pekerja', 'wfh', '']</t>
  </si>
  <si>
    <t>['eror', 'channel', 'krng', '']</t>
  </si>
  <si>
    <t>['bagus', 'laporan', 'pet', 'tindak', 'lanjutinya', 'double', 'aboesk', 'wulan', 'hamzah']</t>
  </si>
  <si>
    <t>['tiket', 'laporan', 'penjadwalan', 'perbaikan', 'minimal', 'teknisinya', 'perbaikan', 'ide', 'jamin', 'kapok', 'berlangganan', 'perbaikan', 'diutamakan', 'ditunda', 'tunda']</t>
  </si>
  <si>
    <t>['benerin', 'konesi', 'makan', 'gaji', 'but', 'njink']</t>
  </si>
  <si>
    <t>['berat', 'tpi', 'oke']</t>
  </si>
  <si>
    <t>['msh', 'suka', 'sma', 'versi', 'versi', 'xx', 'busuk', 'login', 'passwrd', 'salah', 'trus', 'udh', 'gnti', 'password', 'bsa', 'msuk', '']</t>
  </si>
  <si>
    <t>['bintang', 'rahasia', 'mengecewakan', 'langganan', 'pilihan', 'nyampe']</t>
  </si>
  <si>
    <t>['jaringan', 'lancar', 'jaya']</t>
  </si>
  <si>
    <t>['gakjelas', 'restart', 'modem', 'restart', 'modem', 'kaga', 'ngapa', 'kendala', '']</t>
  </si>
  <si>
    <t>['berat', 'buka']</t>
  </si>
  <si>
    <t>['tambahkan', 'bintangnya', 'aplikasinya', 'lemot', 'sekedar', 'usulan', 'mebuka', 'aplikasi', 'indihome', 'buka', 'youtube', 'masak', 'aplikasinya', 'dipakai', 'jaringan', 'wifinya', 'banget', 'muncul', 'gambar', 'pemberitahuannya', 'masuk', 'akal', 'nonton', 'youtube', 'saaaangaaaaaat', 'lancaaaar', 'mohon', 'perbaiki', '']</t>
  </si>
  <si>
    <t>['salah', 'aplikasi', 'terburuk', 'coba', 'update', 'data', 'hilang', 'terdata', 'diulangi', 'kecewa', 'banget']</t>
  </si>
  <si>
    <t>['aplikasinya', 'berjalan']</t>
  </si>
  <si>
    <t>['menu', 'device', 'terhubung', 'koq']</t>
  </si>
  <si>
    <t>['tolong', 'diperbaiki', 'bener', 'bener', 'lemot', 'pemakaian', '']</t>
  </si>
  <si>
    <t>['aplikasi', 'mengecewakan', 'diupdate', 'bagus', 'hancur', 'masuk', 'hrs', 'daftar', 'giliran', 'daftar', 'diklik', 'niat', 'kerja', 'kagak', 'aplikasi', 'fucek', '']</t>
  </si>
  <si>
    <t>['semenjak', 'perbarui', 'gabisa', 'login', 'eror', 'mulu']</t>
  </si>
  <si>
    <t>['indihome', 'kntl', 'pntk']</t>
  </si>
  <si>
    <t>['update', 'login', 'ulang', 'tampilang', 'menu', 'ribet', 'rame', 'loading', '']</t>
  </si>
  <si>
    <t>['susah', 'permohonan', 'pasang', 'udah', 'jam', 'ditindaklanjuti', '']</t>
  </si>
  <si>
    <t>['provider', 'payah', 'lag', 'mulu', 'fix', 'bisanya', 'nyuruh', 'restart', 'doang', 'aplikasi', 'performa', 'busuk', 'sekelas', 'bumn', 'kaya', 'gini']</t>
  </si>
  <si>
    <t>['semenjak', 'update', 'penggunaan', 'internet', 'jalan', 'batas', 'puf', 'nampak', 'jdi', 'pelanggan', 'pakai', 'tolong', 'perbaiki', '']</t>
  </si>
  <si>
    <t>['layanannya', 'buruk', 'fitur', 'aplikasi', 'berjalan', 'lancar', 'loadingnya', 'olah', 'gunanya', 'indihome', 'memakai', 'aplikasi']</t>
  </si>
  <si>
    <t>['update', 'menarik', '']</t>
  </si>
  <si>
    <t>['apk', 'terbaru', 'melapor', 'keluhan']</t>
  </si>
  <si>
    <t>['kayaknya', 'hilang', 'hilang', 'penyakitnya', 'update', 'ilang', 'informasi', 'data', 'penggunanya', 'login']</t>
  </si>
  <si>
    <t>['kumpulin', 'point', 'redeem', 'tolong', 'perbaiki']</t>
  </si>
  <si>
    <t>['muanttabbb']</t>
  </si>
  <si>
    <t>['rugi', 'beli', 'wifi', 'ngeleg', 'mulu']</t>
  </si>
  <si>
    <t>['akun', 'nge', 'cek', 'brp', 'rup', 'tagihan', 'terbayar', 'tagihan', 'tsb', 'trims']</t>
  </si>
  <si>
    <t>['semoga', 'lemot', 'sinyal']</t>
  </si>
  <si>
    <t>['indihome', 'busuk']</t>
  </si>
  <si>
    <t>['aplikasi', 'terbaru', 'kebanyakan', 'iklan', 'berat', 'aplikasinya', 'jelek', 'loading', 'kaya', 'koneksinya', 'wkwkwk']</t>
  </si>
  <si>
    <t>['update', 'aplikasi', 'terbaru', 'aneh', 'buka', 'profile', 'udah', 'bayar', 'tagihan', 'aplikasi', 'tulisannya', 'jaringan', 'terisolir', 'cek', 'tagihan', 'nol', 'tlp', 'ngomongnya', 'ngebut', 'kaya', 'rem', 'sumpah', 'paham', 'aplikasinya', 'concern', 'menu', 'profile', 'dibuka', '']</t>
  </si>
  <si>
    <t>['daftar', 'login', 'serius', 'aplikasi', 'real', 'fake', '']</t>
  </si>
  <si>
    <t>['tolong', 'perbaharui', 'sistem', 'aplikasinya', 'ngelag', 'parah', 'buka', 'app', 'kadang', '']</t>
  </si>
  <si>
    <t>['mending', 'ganti', 'jaringan', 'jaringan', 'membusuk', 'teruskan', 'adj', 'jaringan', 'busuk', 'lari', 'konsumenya']</t>
  </si>
  <si>
    <t>['indihome', 'lelet', 'internet', 'call', 'center', 'pulsa', 'mengurangi', 'keluhan', 'konsumen', 'maybe', '']</t>
  </si>
  <si>
    <t>['tolong', 'gangguan', 'kabarin', 'ngerjain', 'deadline', 'kantor', 'kena', 'gangguan', 'aplikasi', 'gabisa', 'pengaduan', 'ngasih', 'pemberitahuan', 'pembayaran', 'doang']</t>
  </si>
  <si>
    <t>['berat', 'setalah', 'update', 'responsif', 'poin', 'member', 'hilang', '']</t>
  </si>
  <si>
    <t>['update', 'sndiri', 'aplikasi', 'playstore', 'skrg', 'lambat', 'buka', 'aplikasi', 'liat', 'penggunaan', 'fup', 'sengaja', 'disembunyikan', 'penggunaan', 'min', 'poin', 'hilang', 'tinggal', 'pdhl', 'sblmnya', 'hilang', 'kmn', 'poin', 'puluhan', 'ribu', 'poin', 'ilang', 'update', 'aplikasi', 'tujuannnya', 'menghilangkan', 'poin', 'trus', 'gunanya', 'dikasih', 'poin', 'dihilangin', 'kayak', 'gini', 'tolong', 'direspon']</t>
  </si>
  <si>
    <t>['lihat', 'komenan', 'karu', 'karuan', 'perbaikan', 'nonton', 'film', 'iflik', 'full', 'coba', 'masuk', 'vip', 'suruh', 'masukan', 'akun', 'masukan', 'akun', 'tetep', 'tetep', 'masukan', 'akun', 'kukira', 'mahal', 'cocok', 'kualitas', '']</t>
  </si>
  <si>
    <t>['payah', 'upgrade', 'kecepatan', 'stabil', '']</t>
  </si>
  <si>
    <t>['knpa', 'apps', 'bise', 'ngecek', 'penggunaan', 'kuota']</t>
  </si>
  <si>
    <t>['ribet']</t>
  </si>
  <si>
    <t>['bagus', 'keunggulan', 'aplikasi', 'tuker', 'poin', 'pakai', 'code', 'lihat', 'tagihan', 'detail', 'usernya', 'friendly', '']</t>
  </si>
  <si>
    <t>['lemot', 'fitur', 'layanan', 'ruwet']</t>
  </si>
  <si>
    <t>['tolongg', 'lahh', 'sinyal', 'bgusin', 'lgii', 'masaa', 'udh', 'cape', 'bayar', 'mahal', 'ehh', 'sinyal', 'kek', 'taekk', 'bikinn', 'orang', 'kesell', 'hrii', 'jringan', 'sok', 'elite', '']</t>
  </si>
  <si>
    <t>['internet', 'lambat', 'stabil', 'aplikasi', 'jelek', 'chat', 'admin']</t>
  </si>
  <si>
    <t>['payah', 'jaringan', 'indihome', 'semenjak', 'pasang', 'jaringan', 'prnah', 'stabil', 'bayar', 'lancar', 'tpi', 'hasilnya', 'memuaskan']</t>
  </si>
  <si>
    <t>['aplikasinya', 'berat', 'banget', 'parah', '']</t>
  </si>
  <si>
    <t>['lihat', 'tagihan', 'detail', 'users', 'friendly']</t>
  </si>
  <si>
    <t>['aplikasi', 'user', 'friendly', 'lihat', 'tagihan', 'detail', '']</t>
  </si>
  <si>
    <t>['kerenn', 'banget', 'tuker', 'poin', '']</t>
  </si>
  <si>
    <t>['tolong', 'chat', 'indita', 'profesional', 'chat', 'cerita', 'berulang', 'respon', 'ganti', 'orang', 'jelasin', 'berulang', 'ayolah', 'bumn']</t>
  </si>
  <si>
    <t>['aplikasi', 'membantuu', 'lihat', 'tagihan', 'detail', '']</t>
  </si>
  <si>
    <t>['good', 'apk', 'mempermudah', 'pelanggan', '']</t>
  </si>
  <si>
    <t>['update', 'skrg', 'lemot', 'liat', 'fup', 'loadnya']</t>
  </si>
  <si>
    <t>['user', 'friendly', '']</t>
  </si>
  <si>
    <t>['keren', 'bangettt', 'tuker', 'poin', '']</t>
  </si>
  <si>
    <t>['keren', 'banget', 'membantu', 'memudahkan', 'pengguna', 'tagihan', 'detail']</t>
  </si>
  <si>
    <t>['use', 'friendly']</t>
  </si>
  <si>
    <t>['tampilan', 'indihome', 'jelek', 'berat', 'lemot', 'buka', 'aplikasinya']</t>
  </si>
  <si>
    <t>['', 'aplikasi', 'laporan', 'perbaikan', 'selesai', 'koneksi', 'internet', 'hmmm']</t>
  </si>
  <si>
    <t>['wahhh', 'memudahkan', 'mantab']</t>
  </si>
  <si>
    <t>['susah', 'akses', 'kebanyakan', 'eror']</t>
  </si>
  <si>
    <t>['sorry', 'bintang', 'registrasi', 'pasang', 'sampe', 'kabar', 'teknisi', 'dateng', 'nelpon', 'nomer', 'disuruh', 'nunggu', 'hasilnya', 'udh', 'mesti', 'make', 'sales', 'gercep', '']</t>
  </si>
  <si>
    <t>['aplikasi', 'ngecek', 'penggunaan', 'data', 'info', 'promo', 'promonya', 'myindihome']</t>
  </si>
  <si>
    <t>['apk', 'slow', 'respon', 'sayang', 'ganti', 'passwore', 'wifi', 'langsung', 'apk', 'semoga', 'kedepan', 'masuk', 'web', 'web', 'ribet', '']</t>
  </si>
  <si>
    <t>['pembaruan', 'login', 'akun', 'hmmmm']</t>
  </si>
  <si>
    <t>['', 'bsa', 'masuk', 'daftar', 'dibilang', 'blum', 'dftar', 'dbilang', 'daftarl']</t>
  </si>
  <si>
    <t>['aplikasi', 'berat', 'aplikasi', '']</t>
  </si>
  <si>
    <t>['wihhh', 'keren', 'poll', 'aplikasi', 'tukar', 'poin', 'lohh', 'yukkk', 'usernya', 'friendly', '']</t>
  </si>
  <si>
    <t>['pelayanannya', 'buruk', 'lapor', 'remote', 'perbaiki', 'pusat', 'sisi', 'jaringan', 'lapornya', 'gitu', 'pagi', 'petugas', 'adminnya', 'petugas', 'bawa', 'remote', 'jam', 'petugas', 'lapangan', 'terima', 'laporan', 'tiketnya', 'jam', 'menentukan', 'petugas', 'rumah', 'costumer', 'petugas', 'lapangannya', 'terima', 'tiket', 'pelaporan', 'kerja', 'kayak', 'sop', '']</t>
  </si>
  <si>
    <t>['koneksi', 'buruk']</t>
  </si>
  <si>
    <t>['koq', 'login']</t>
  </si>
  <si>
    <t>['jaringan', 'bagus']</t>
  </si>
  <si>
    <t>['aplikasinya', 'berat', 'sampe', 'loading', 'coba', 'aplikasi', 'karna', 'pelanggan', 'indihome', 'spek', 'karna', 'game', 'online', 'berat', 'menu', 'ringan', 'pergunakan', 'update', 'beratnya', 'bertambah', 'tlg', 'new', '']</t>
  </si>
  <si>
    <t>['memudahkan', 'tracking', 'jaringan', 'cek', 'tagihan', 'pengguna']</t>
  </si>
  <si>
    <t>['menu', 'laporan', 'wifi', 'loss']</t>
  </si>
  <si>
    <t>['bagus', 'aplikasinya', 'memudahkan', 'calon', 'pelanggan', 'registrasi', 'order', 'layanan']</t>
  </si>
  <si>
    <t>['aplikasi', 'bagus', 'banget']</t>
  </si>
  <si>
    <t>['mudah', 'user', 'friendly', 'banget', 'lihat', 'tagihan', 'langsung', 'jugaa', 'pokoknya', 'membantu', 'den']</t>
  </si>
  <si>
    <t>['aplikasi', 'benernya', 'ngecek', 'tagihan', 'dll', 'error', 'mohon', 'perbaiki']</t>
  </si>
  <si>
    <t>['update', 'aplikasi', 'lag']</t>
  </si>
  <si>
    <t>['tolong', 'jawabbbb', 'kenapaa', 'sayagak', 'pahamm', 'kokgak', 'masukk', 'sihhh']</t>
  </si>
  <si>
    <t>['apk', 'indihome', 'membantu', 'mempermudah', 'pelayanan', 'ngak', 'binung', 'binung', 'lihat', 'tagihannya', 'mantap']</t>
  </si>
  <si>
    <t>['pelayanannya', 'jelek', 'banget', 'laporan', 'internet', 'via', 'aplikasi', 'perbaikan', '']</t>
  </si>
  <si>
    <t>['update', 'susah', 'masuk', 'masukkan', 'email', 'masuk', 'anjrittt', 'pakai', 'aplikasinya']</t>
  </si>
  <si>
    <t>['internet', 'nyambung', 'berhari', 'penyelesaian', 'nelpon', 'berulang', 'kali', 'tetep', 'diperbaiki', 'sampe', 'habis', 'pulsa']</t>
  </si>
  <si>
    <t>['bagus', 'menu', 'user', 'interface', '']</t>
  </si>
  <si>
    <t>['koneksi', 'stabil', 'udah', 'bebrapa', 'kali', 'komplain', 'siaran', 'berkurang']</t>
  </si>
  <si>
    <t>['fup', 'udah', 'date', 'kekurangan', 'menu', 'update', 'profil', 'pilihan', 'menu', 'tingkatkan', 'aplikasinya', 'lupa', 'pelayanannya', 'bintangnya', 'kedepannya', 'update', 'bagus', 'kasih', 'bintang', '']</t>
  </si>
  <si>
    <t>['channel', 'lengkap', 'channel', 'berkurang', '']</t>
  </si>
  <si>
    <t>['versi', 'bagus', 'tampilannya', 'diaksesnya', 'versi', '']</t>
  </si>
  <si>
    <t>['upgrade', 'speed', 'mbps', 'laplep', 'perubahan', 'signifikan', 'sinyalnya', 'ilang', 'mohon', 'diperbaiki', 'donk', 'terimakasih']</t>
  </si>
  <si>
    <t>['semenjak', 'applikasi', 'myindihome', 'membantu', 'pengecekan', 'pemakaian', 'data', 'penbayaran', 'promo', 'ditawarkan', '']</t>
  </si>
  <si>
    <t>['intinya', 'efisien', 'banget', 'updated', 'data', 'lainya']</t>
  </si>
  <si>
    <t>['mudah']</t>
  </si>
  <si>
    <t>['', 'update', 'jelek', 'apk', 'loading', 'bayar', 'ribet', '']</t>
  </si>
  <si>
    <t>['aplikasinya', 'membantu', 'terima', 'kasih', 'banyakkkk', '']</t>
  </si>
  <si>
    <t>['mengalami', 'trouble', 'langsung', 'menghubungi', 'operator', 'chat', 'aplikasi', 'membantu']</t>
  </si>
  <si>
    <t>['kali', 'manteb', 'doang', 'dapet', 'rb', 'link']</t>
  </si>
  <si>
    <t>['layanan', 'buruk', 'lambat', 'perbaikan']</t>
  </si>
  <si>
    <t>['gimana', 'ceritanya', 'nyala', 'lampu', 'merah', 'koneksi', 'internet', 'laporan', 'tangepin', 'bayar', 'hadeuh', 'urus', 'udh', 'terima', 'rugi']</t>
  </si>
  <si>
    <t>['aplikasi', 'bagus', 'bjsa', 'bayar', 'tagihan', 'instan', '']</t>
  </si>
  <si>
    <t>['akses', 'mudah']</t>
  </si>
  <si>
    <t>['konyol']</t>
  </si>
  <si>
    <t>['selamat', 'pagi', 'dirumah', 'paket', 'indihome', 'internet', 'telpon', 'ganti', 'internet', 'biaya', 'gimana', 'solosi']</t>
  </si>
  <si>
    <t>['liat', 'tagihan', 'detail', 'pokonya', 'aplikasi', 'usefull', 'banget']</t>
  </si>
  <si>
    <t>['berhenti', 'download', 'aliasnya', 'unduh']</t>
  </si>
  <si>
    <t>['penukaran', 'poin', 'merchandise', 'region', 'dkijakarta', '']</t>
  </si>
  <si>
    <t>['kecewa', 'indihome', 'tagihan', 'tagihan', 'rp', 'rp', 'oke', 'gapapa', 'tagihan', 'segitu', 'bsknya', 'rp', 'lapor', 'aplikasi', 'berubah', 'tagihannya', 'membayar', 'tagihan', 'tagihan', 'rp', '']</t>
  </si>
  <si>
    <t>['aplikasi', 'pelayanan', 'internet', 'aksesnya', 'buruk', 'aplikasi', 'profesional', '']</t>
  </si>
  <si>
    <t>['keren', 'bangett']</t>
  </si>
  <si>
    <t>['cepat', 'tanggap', 'keluhan', 'gangguan', 'sinyal']</t>
  </si>
  <si>
    <t>['internet', 'lemot']</t>
  </si>
  <si>
    <t>['', 'lambat', 'user', 'friendly', 'status', 'tagihan', 'diakses']</t>
  </si>
  <si>
    <t>['aplikasinya', 'responsifff']</t>
  </si>
  <si>
    <t>['respon', 'gangguan', 'cepat', 'terimakasih']</t>
  </si>
  <si>
    <t>['menyesal', 'pakai', 'indihome', 'seringkali', 'tagihan', 'melonjak', 'kebijaksanaan', 'telkom']</t>
  </si>
  <si>
    <t>['bermanfaat', 'membantu', 'rincian', 'pemakaian', 'tagihan', 'menyarankan', 'teman', 'mendowload', 'aplikasi', 'suka', 'pakai', 'aplikasi']</t>
  </si>
  <si>
    <t>['', 'aplikasi', 'membantu', 'batas', 'pemakain', 'bulanan', 'mudah', 'pengaduan', 'layaanan', 'respon', 'call', 'center', 'vepat', 'layanan', 'chat', 'gnguan', 'ganmpang', 'tiket', 'stts', 'ganguan', 'pembayaran', 'mudah', 'merchnt', 'diktukar', 'point', 'kejuatan', 'event', 'hadiah', 'syg', 'blm', 'dpet', 'terima', 'kasihh', 'sukses']</t>
  </si>
  <si>
    <t>['penyakit', 'app', 'indonesia', 'data', 'disimpan', 'app', 'versi', 'hilang', 'update', 'daftar', 'isi', 'ulang', 'ribet', 'coba', 'app', 'developernya', 'dibayar', 'murah', 'ngembangin', 'aplikasi', 'bagus', 'ribet', 'kzl', '']</t>
  </si>
  <si>
    <t>['mantap', 'nyendat', 'smoga', 'lancar', 'berkah']</t>
  </si>
  <si>
    <t>['udah', 'instal', 'buka', 'daftar', 'udah', 'aktip', 'duh', 'parah', 'delet', 'aplikasinya']</t>
  </si>
  <si>
    <t>['bagusss', 'buka', 'hbo', '']</t>
  </si>
  <si>
    <t>['alhamdulillah', 'berlangganan', 'kendala', '']</t>
  </si>
  <si>
    <t>['kerjaan', 'tertunda', 'bingung', 'karna', 'skrg', 'rumah', 'indihome', 'makasih', 'indihone']</t>
  </si>
  <si>
    <t>['buka']</t>
  </si>
  <si>
    <t>['mantulll']</t>
  </si>
  <si>
    <t>['indihome', 'efektif', 'tgl', 'pembayaran', 'jatoh', 'tempo', 'mudah', 'terimakasih']</t>
  </si>
  <si>
    <t>['udah', 'versi', 'udah', 'mencoba', 'dompet', 'aplikasi', 'pembayaran', 'mudah', '']</t>
  </si>
  <si>
    <t>['makasih', 'banget', 'telkom', 'udah', 'nyediain', 'aplikasi', 'asli', 'berguna', 'banget', 'milenial', 'kayak', 'gue']</t>
  </si>
  <si>
    <t>['permudah', 'masuk', 'aplikasi', '']</t>
  </si>
  <si>
    <t>['udah', 'daftar', 'masuk', '']</t>
  </si>
  <si>
    <t>['keren', 'banget', 'aplikasi', 'indihome', 'terbaru', 'aplikasinya', 'terbaru', 'mempermudah', 'penggunaanya', 'fitur', 'firut', 'terbaru', 'keren', 'abis', '']</t>
  </si>
  <si>
    <t>['terima', 'kasih', 'bermanfaat']</t>
  </si>
  <si>
    <t>['alhamdulillah', 'indihome', 'internet', 'lancar', 'gangguan', 'pelayanannya', 'langsung', 'cepat', 'dtng', 'sigap', 'pekerjaannya', 'cepat', '']</t>
  </si>
  <si>
    <t>['mantap', 'kancar']</t>
  </si>
  <si>
    <t>['uinya', 'bagus', 'detail', 'menu', 'penawaran', 'install', 'versi', 'terbaru', 'lambat', 'skrng', 'udah', 'cepat']</t>
  </si>
  <si>
    <t>['membantu', 'pengunaan', 'data', 'terpakai']</t>
  </si>
  <si>
    <t>['aplikasi', 'usefull', 'banget', 'milenial', 'banget', 'produktif', 'aplikasi', 'terima', 'kasih', 'telkom', 'menyediakan', 'aplikasi', 'sobat', 'indihome', 'cari', 'cuan', 'rebahan', '']</t>
  </si>
  <si>
    <t>['', 'indihome', 'aplikasi', 'update', 'buka', '']</t>
  </si>
  <si>
    <t>['menyedihkan', 'aksesnya', 'super', 'lemoooooottttttttt', '']</t>
  </si>
  <si>
    <t>['keren', 'banget', 'sobat', 'indihome', 'aplikasi', 'usefull', 'milenial', 'banget']</t>
  </si>
  <si>
    <t>['wahh', 'mantepp', 'banget', 'aplikasinya', 'liat', 'detail', 'tagihan', 'jugaa', '']</t>
  </si>
  <si>
    <t>['internet', 'cepat', 'murah']</t>
  </si>
  <si>
    <t>['aplikasinya', 'keren', 'banget', 'liat', 'tagihannya', 'detail', 'tuker', 'poin', '']</t>
  </si>
  <si>
    <t>['usefull', 'banget', 'aplikasinya']</t>
  </si>
  <si>
    <t>['selamat', 'siang', 'semenjak', 'indihome', 'internet', 'browsing', 'trading', 'access', 'inet', 'lancar', 'putus', 'anak', 'betah', 'rumah', 'siaran', 'sukai', 'dibtonton', 'indihome', 'kenyaman', 'henti', 'terimakasih', 'indihome', 'succes']</t>
  </si>
  <si>
    <t>['aplikasi', 'terupdate', 'indihome', 'efektif', 'terkini', 'terkesan', 'monoton', 'fitur', 'tagihan', 'pemakaian', 'kuota', 'terpampang', 'aplikasi', 'ayo', 'update', 'indihome', 'playstore', 'appstore', 'yach', '']</t>
  </si>
  <si>
    <t>['waah', 'lihat', 'tagihan', 'detail', '']</t>
  </si>
  <si>
    <t>['gampang', 'abis', 'upgrade', 'fitur', 'memudahkan']</t>
  </si>
  <si>
    <t>['memudah']</t>
  </si>
  <si>
    <t>['', 'indihome', 'versi', 'ribet', 'mending', 'pakai', 'versi', 'jelah', 'ribbet', 'makainya']</t>
  </si>
  <si>
    <t>['top', 'banget', 'myindihome', 'aplikasinya', 'lengkap', 'palayanan', 'call', 'centernya', 'ramah', 'semoga', 'sukses', 'terbaik']</t>
  </si>
  <si>
    <t>['minggu', 'lapor', 'internet', 'bermasalah', 'sejam', 'langsung', 'teknisi', 'cepat', 'banget', 'kerjanya', 'alhamdulillah', 'beres', 'thank', 'you']</t>
  </si>
  <si>
    <t>['gampang', 'banget', 'lihat', 'tagihannya']</t>
  </si>
  <si>
    <t>['keren', 'banget', 'tukar', 'poin', '']</t>
  </si>
  <si>
    <t>['aplikasinya', 'keren', 'banget', 'user', 'friendly']</t>
  </si>
  <si>
    <t>['bagus', 'blm', 'paham', 'transaksinya']</t>
  </si>
  <si>
    <t>['aplikasinya', 'usefull', 'keren', 'terima', 'kasih', 'telkom', 'udah', 'menyediakan', 'aplikasi', 'sobat', 'indihome']</t>
  </si>
  <si>
    <t>['aneh', 'mengajukan', 'pengaduan', 'internet', 'los', 'ajukan', 'apk', 'kasi', 'pilihan', 'perbaikan', 'walah', 'sevicenya', 'memuaskan', 'lambat', 'gesit', 'giliran', 'telat', 'bayar', 'langsung', 'denda', 'heheh', 'ruwet']</t>
  </si>
  <si>
    <t>['aplikasinya', 'keren', 'mudah', 'tuker', 'koin', 'pakai', 'kode']</t>
  </si>
  <si>
    <t>['', 'far', 'good', '']</t>
  </si>
  <si>
    <t>['pilihnya', 'paket', 'chanel', 'foxsports', 'chanelnya', 'hilang', 'dirugikan']</t>
  </si>
  <si>
    <t>['updte', 'terbaru', 'bagus', 'bugnya', 'ngejump', 'aplikasinya']</t>
  </si>
  <si>
    <t>['bagus', 'membantu', 'informasi']</t>
  </si>
  <si>
    <t>['pembayaran', 'krang', 'tertera', 'pke', 'kartu', 'kredit', 'komplit', 'virtual']</t>
  </si>
  <si>
    <t>['udah', 'bagus', 'udah', 'berjalan', 'lancar']</t>
  </si>
  <si>
    <t>['tampilan', 'oke', 'tukar', 'pointnya', '']</t>
  </si>
  <si>
    <t>['bayar', 'tagihan', 'pakai', 'link', 'skrg', 'udah', 'yaa', 'pakai', 'saldo', 'top', 'pulaa', 'kacau']</t>
  </si>
  <si>
    <t>['udah', 'mahal', 'lemot', 'gangguan', 'jam', 'malam', 'gangguan', 'emosi', '']</t>
  </si>
  <si>
    <t>['riwayat', 'tagihannya', 'rinci', 'konsumen', 'tanda', 'pembaharuan', 'mudah']</t>
  </si>
  <si>
    <t>['aplikasi', 'myindihome', 'kali', 'update', 'bug', 'loading', 'lambat', 'mohon', 'diperbaiki']</t>
  </si>
  <si>
    <t>['semenjak', 'aplikasi', 'indihome', 'terbantu', 'mengecek', 'penggunaan', 'data', 'promo', 'promo', 'tawarkan', 'menarik', 'aplikasi', 'produk', 'promo', 'akses', 'aplikasi', 'indihome', 'the', 'best', 'telkom', 'indihome', '']</t>
  </si>
  <si>
    <t>['kasih', 'bintang', 'problem', 'semoga', 'ttp', 'jaringan', 'internet', 'the', 'best', 'thankyou', 'indihome', '']</t>
  </si>
  <si>
    <t>['cek', 'kuota', 'pemakaiangimana', 'update', 'puyeng', 'indihome']</t>
  </si>
  <si>
    <t>['layanan', 'pengaduan', 'langsung', 'jam', 'diluar', 'menunggu', 'besok', 'diurus', 'langsung', 'tangani', 'diproses', 'cepat', 'tanggapan', '']</t>
  </si>
  <si>
    <t>['keren', 'banget', 'tuker', 'poin', 'gampang', 'banget', '']</t>
  </si>
  <si>
    <t>['aplikasinya', 'usefull', 'banget']</t>
  </si>
  <si>
    <t>['jaringan', 'luas', 'mudah', 'akses', 'jarang', 'troble']</t>
  </si>
  <si>
    <t>['tolong', 'teknisi', 'kastamer', 'servis', 'nelpon', 'pulsa', 'jawabannya', 'ber', 'tele', 'tele', 'wifi', 'bermasalah', 'bayar', 'tempo']</t>
  </si>
  <si>
    <t>['nyabang', 'wifi', 'tetangga', 'mengganti', 'password', 'mempengaruhi', 'router', 'wifi', 'utama', 'pemilik', 'wifi', '']</t>
  </si>
  <si>
    <t>['lemot', 'aplikasi', 'ayo', 'excelent', 'work', '']</t>
  </si>
  <si>
    <t>['nonton', 'siaran', 'langsung', 'lambat', 'loadingnya', 'menaikkan', 'kecepatannya']</t>
  </si>
  <si>
    <t>['aplikaksi', 'bagus']</t>
  </si>
  <si>
    <t>['perasaan', 'bayar', 'gangguan', 'wae', 'kmaha', 'iye', 'atuh']</t>
  </si>
  <si>
    <t>['menu', 'keluhan', 'nyambung', 'kemana', 'hati', 'pasang', 'channel', 'berguguran', 'berkurang', 'sesuai', 'channel', 'disepakati', 'sayangnya', 'komplek', 'pilihan', 'indihome', 'mah', 'pindah', '']</t>
  </si>
  <si>
    <t>['login', 'peningkatan', 'layanan', 'sampek', 'peningkatan', 'layanan', '']</t>
  </si>
  <si>
    <t>['pengalaman', 'pakai', 'indihome', 'alhamdulillah', 'memuaskan', 'pelayanannya', 'alhamdulillah', 'cepat', 'diluar', 'ekspektasi', 'sya', 'puas', 'menikmati', 'internet', 'stb', 'semoga', 'pelayanan', 'terbaik', 'pelanggan', 'pelanggan', 'setia', 'indihome', 'aamiin', '']</t>
  </si>
  <si>
    <t>['memasukkan', 'indihome', 'yaa']</t>
  </si>
  <si>
    <t>['update', 'pembaruan', 'aplikasi', 'lemot', 'masuk', 'tagihan', 'kali', 'lipat', 'uniknya', 'aplikasi', 'paket', 'layanan', 'terdeteksi']</t>
  </si>
  <si>
    <t>['thank', 'update', 'tampilan', 'fresh', 'membantu', 'pela', 'nggan', 'pemilihan', 'paket', 'upgrade', 'add', 'sesuai', 'cek', 'ketersedian', 'jaringan', 'kalah', 'fitur', 'tukar', 'point', 'lumayan', 'tukar', 'voucher', 'disc', 'keluhan', 'tinggal', 'chat', 'indita', 'thank', 'indihome']</t>
  </si>
  <si>
    <t>['semenjak', 'aplikasi', 'myindihome', 'tagihan', 'pembayaran', 'cepat', 'efektif', 'aplikasi', 'myindihome', 'membantu', 'disaat', 'wifi', 'kendala', 'gangguan', 'langsung', 'chat', 'contak', 'myindihomenya', 'liat', 'point', '']</t>
  </si>
  <si>
    <t>['hemat', 'bermanfaat', 'indihome', 'anggota', 'klrga', 'praktis', '']</t>
  </si>
  <si>
    <t>['mudah', 'tempo', 'pembayaran', 'memudahkan', 'proses', 'pembayaran']</t>
  </si>
  <si>
    <t>['versi', 'bagus', 'cuman', 'percepat', 'performa', 'aplikaisnya']</t>
  </si>
  <si>
    <t>['mantaaaaaapzzzzzz', 'bangeeeeeeet', 'deeeehhhh', '']</t>
  </si>
  <si>
    <t>['bagus', 'banget']</t>
  </si>
  <si>
    <t>['aplikasi', 'bermanfaat', 'pengguna', 'indihome', 'the', 'best', 'lahh', 'pokoknya']</t>
  </si>
  <si>
    <t>['easy', 'use', 'very', 'useful']</t>
  </si>
  <si>
    <t>['susah', 'download']</t>
  </si>
  <si>
    <t>['memudahkan', 'pembayaran', 'repot', 'bayar', 'bulanannya', '']</t>
  </si>
  <si>
    <t>['keren', 'gausah', 'telkom', 'bayar', 'tagihannya']</t>
  </si>
  <si>
    <t>['aplikasinya', 'bagus', 'usefull', 'banget']</t>
  </si>
  <si>
    <t>['jaringan', 'nee', 'kalimantan', 'selatan', 'gangguan', 'bos', 'mohon', 'perbaiki', '']</t>
  </si>
  <si>
    <t>['aplikasinya', 'keren', 'banget', 'lihat', 'tagihannya', 'appnya', 'langsung', '']</t>
  </si>
  <si>
    <t>['tingkat', 'pelayanan']</t>
  </si>
  <si>
    <t>['aplikasi', 'membantu', 'pelanggan', 'pelaporan', 'gangguan', 'teknis', 'indihome', 'laporan', 'cepat', 'direspon', 'teknisi', 'langsung', 'kelapangan', 'selesai', '']</t>
  </si>
  <si>
    <t>['laporan', '']</t>
  </si>
  <si>
    <t>['diupdate', 'lemot', 'banget', 'appsnya']</t>
  </si>
  <si>
    <t>['terima', 'kasih', 'mempermudah', 'berkomunikasi', 'alhamdulillah', 'pemakaian', 'terima', 'kasih', 'indihome']</t>
  </si>
  <si>
    <t>['mantap', 'bayar', 'langsung', 'rumah', 'aplikasi']</t>
  </si>
  <si>
    <t>['aplikasinya', 'keren', 'banget', 'tuker', 'poin', 'liat', 'tagihan', 'detail', 'use', 'friendly']</t>
  </si>
  <si>
    <t>['keren', 'aplikasinya', 'bagus', 'kekinian']</t>
  </si>
  <si>
    <t>['jaringan', 'stabil', 'hilang', 'terhubung', 'hadeeeeh']</t>
  </si>
  <si>
    <t>['makasih', 'telkom', 'udah', 'menyediakan', 'aplikasi', 'myindihome', 'membantu', 'banget']</t>
  </si>
  <si>
    <t>['aplikasi', 'keren', 'banget', 'lihat', 'tagihan', 'detail', 'mksh', 'telkom']</t>
  </si>
  <si>
    <t>['keren', 'tuker', 'poin', 'lihat', 'tagihan', 'detail']</t>
  </si>
  <si>
    <t>['memudahkan', 'pengguna', 'layanan']</t>
  </si>
  <si>
    <t>['aplikasinya', 'keren', 'membantu']</t>
  </si>
  <si>
    <t>['keren', 'banget', 'tuker', 'poin', 'lihat', 'tagihan', 'detail', 'user', 'friendly']</t>
  </si>
  <si>
    <t>['download', 'aplikasi', 'bayar', 'tagihan', 'gampang']</t>
  </si>
  <si>
    <t>['bagus', 'aplikasinya', 'tampilannya', 'user', 'friendly', 'thank', 'you', 'telkom', 'udah', 'nyediain', 'apk', 'usefull', 'bgttt']</t>
  </si>
  <si>
    <t>['lemot', 'apk']</t>
  </si>
  <si>
    <t>['keren', 'app']</t>
  </si>
  <si>
    <t>['menu', 'aplikasinya', 'bagus', 'lengkap', 'informasinya', 'kecepatan', 'loginnya', 'kadang', 'suka', 'penggunanya', 'tergantung', 'sinyal', 'bagus', 'aplikasinya', '']</t>
  </si>
  <si>
    <t>['aplikasi', 'mantapp']</t>
  </si>
  <si>
    <t>['hati', 'pasang', 'indihome', 'ketipu', 'pasang', 'indihome', 'berhenti', 'saldo', 'hangus', 'berhenti', 'saldo', 'balikin', 'kemaren', 'berhenti', 'indihome', 'beda', 'berhenti', 'kenakan', 'denda', 'juta', 'pemasangan', 'indihome', 'denda', 'juta']</t>
  </si>
  <si>
    <t>['aplikasi', 'mudah', 'dipahami', 'cek', 'fup', 'profil', 'mudah', '']</t>
  </si>
  <si>
    <t>['terimakasih', 'aplikasi', 'mudah', 'kegunaan', 'pembayaran', 'terimakasih', 'myindihome', 'love', 'pokok', '']</t>
  </si>
  <si>
    <t>['allhamdulillah', 'kepadang', 'internet', 'dirasakan', 'qualitas', 'membantu', 'thansk', 'indihome']</t>
  </si>
  <si>
    <t>['', 'aplikasi', 'usefull', 'banget', 'milenial', 'banget', 'produktif', 'aplikasi', 'terima', 'kasih', 'telkom', 'menyediakan', 'aplikasi', 'sobat', 'indihome', 'cari', 'cuan', 'rebahan', '']</t>
  </si>
  <si>
    <t>['nich', 'aplikasi', 'fungsinya', 'informasinya', 'bagus', '']</t>
  </si>
  <si>
    <t>['tampilan', 'bagus', 'menu', 'langkap', 'myindihome', 'makij', 'oke', 'mantappjiwaaaa', '']</t>
  </si>
  <si>
    <t>['tampilan', 'fresh', 'mudah', 'fitur', 'lumayan', 'lengkap']</t>
  </si>
  <si>
    <t>['mudah', 'byr', 'langsung', 'link', 'aza', '']</t>
  </si>
  <si>
    <t>['aplikasi', 'myindihome', 'membantu', 'bayar', 'pemakaian', 'inet', 'sukse', 'myindihome']</t>
  </si>
  <si>
    <t>['wifi', 'stress', 'wifi', 'suka', 'nyambung', 'koneksi', 'internetnya']</t>
  </si>
  <si>
    <t>['aplikasi', 'mudah', 'mengerti']</t>
  </si>
  <si>
    <t>['extender', 'wifi', 'upgrade', 'speed', 'muncul', 'notifikasi', 'peningkatan', 'layanan', 'diperbaiki', 'apps', 'optimal', 'apps', 'tergolong', 'lambat', 'refresh', 'laman', 'home', 'fitur', 'pengaduan', 'layanan', 'diadakan', 'update', 'mempermudah', 'pengguna', 'indihome', 'mengadukan', 'keluhan', 'layanan']</t>
  </si>
  <si>
    <t>['terima', 'kasih', 'informasi', 'lancar']</t>
  </si>
  <si>
    <t>['udah', 'make', 'mbps', 'tetep', 'lemot', 'kecewe', 'banget']</t>
  </si>
  <si>
    <t>['okey']</t>
  </si>
  <si>
    <t>['tolong', 'diperbaiki', 'systemnya', '']</t>
  </si>
  <si>
    <t>['lemottt', 'bagus', 'versi', 'bos']</t>
  </si>
  <si>
    <t>['fitur', 'membantu']</t>
  </si>
  <si>
    <t>['update', 'apk', 'super', 'lemot', 'email', 'verifikasi', 'ulang', 'profil', 'mentok', 'apk', 'sblm', 'udah', 'tolong', 'perbaiki', 'pelanggan', 'nyaman']</t>
  </si>
  <si>
    <t>['update', 'login', 'ulang', 'gagal', 'masuk']</t>
  </si>
  <si>
    <t>['aplikasi', 'respon', 'lola', 'kaya', 'internetnya', 'lola']</t>
  </si>
  <si>
    <t>['aplikasinya', 'mudah', 'dimengerti', 'bagus']</t>
  </si>
  <si>
    <t>['jaringan', 'lancar', 'cepat', 'pemasangan', 'ribet', 'mantap']</t>
  </si>
  <si>
    <t>['pogramr', 'lulusan', 'ipknya', 'brapa', 'pengalamannya', 'aplikasi', 'yangupdate', 'kayak', 'gini']</t>
  </si>
  <si>
    <t>['aplikasi', 'mempermudah', 'memahami', 'indihome', 'membayar', 'biaya', 'bulanan', 'mudah']</t>
  </si>
  <si>
    <t>['fitur', '']</t>
  </si>
  <si>
    <t>['aplikasinya', 'bagus', 'lengkap', 'pengecekan', 'bill', 'data', 'kadang', 'butuh', 'memunculkan', 'penggunaan', 'data', 'diminimalkan', 'data', 'akses', 'aplikasinya', 'berat']</t>
  </si>
  <si>
    <t>['update', 'terbaru', 'aplikasi', 'memudahkan', 'metode', 'pembayaran', 'linkaja', 'biaya', 'admin', 'good', 'indihome', '']</t>
  </si>
  <si>
    <t>['tampilannya', 'menarik', 'mudah', 'dipahami']</t>
  </si>
  <si>
    <t>['jilad', 'indihome', 'terbaik', 'indihome', 'idola', 'indihome', 'kebanggan', 'indihome', 'secepat', 'kilat', 'tiada', 'cepat', 'indihome', '']</t>
  </si>
  <si>
    <t>['mantap', 'komplain', 'cepat', 'ditanggapi', 'semoga', 'depannya', 'indihome', '']</t>
  </si>
  <si>
    <t>['update', 'terbaru', 'telkom', 'gampang', 'mengakses', 'layanan', '']</t>
  </si>
  <si>
    <t>['mantap', 'mudah', 'biaya', 'bulanan', 'dll', '']</t>
  </si>
  <si>
    <t>['update', 'aplikasi', 'indihome', 'fitur', 'ditampilkan', 'komplit', 'pastinya', 'user', 'friendly', 'tingkatkan', 'pelayanan', 'kedepannya', 'tks']</t>
  </si>
  <si>
    <t>['tampilan', 'mewah', 'top', '']</t>
  </si>
  <si>
    <t>['good', 'aplikasi', '']</t>
  </si>
  <si>
    <t>['bagus', 'fitur', 'butuh', 'alplikasi', 'tampilan', 'mudah', 'mengerti', '']</t>
  </si>
  <si>
    <t>['aplikasi', 'mudah', 'nyaman', 'fiturnya', 'lengkap']</t>
  </si>
  <si>
    <t>['alhamdulillah', 'indihome', 'kendala', 'stiap', 'keluhan', 'laporkan', 'langsung', 'tindak', 'lanjuti', 'anak', 'belajar', 'online', 'dirumah', 'lancar', 'trima', 'kasih', 'indihome']</t>
  </si>
  <si>
    <t>['seru', 'versi', 'terbaru', 'myindihome', 'bagus', 'kemaren', 'semoga', 'meningkat', '']</t>
  </si>
  <si>
    <t>['bagus', 'update', 'kali', 'rapi', 'simple']</t>
  </si>
  <si>
    <t>['pelayanannya', 'cepat', '']</t>
  </si>
  <si>
    <t>['aplikasi', 'bagus', 'lancar', 'cepat', 'respon']</t>
  </si>
  <si>
    <t>['apagunan', 'aplikasi', 'pengaduan', 'gangguan', 'eror', 'melulu', '']</t>
  </si>
  <si>
    <t>['udah', 'bayar', 'tetep', 'dapet', 'notif', 'tolong', 'tambahin', 'jugs', 'fitur', 'bayar']</t>
  </si>
  <si>
    <t>['izin', 'modem', 'zte', 'perusahaan', 'indihome', 'terimakasih']</t>
  </si>
  <si>
    <t>['knp', 'indohome', 'rusak', 'lemot', 'mendownload', 'data', '']</t>
  </si>
  <si>
    <t>['kesulitan', 'menonaktifkan', 'tambahan', 'fitur', 'menonaktifkan', 'game', 'online', 'menunya', '']</t>
  </si>
  <si>
    <t>['aplikasi', 'bagus', 'fup', 'terpakai', 'pokoknya', 'sukses', 'myindihome', 'download', 'ayo', 'pakai', 'aplikasi', 'mantap', 'jiwa']</t>
  </si>
  <si>
    <t>['', 'lapor', 'gangguan', 'aplikasi', 'lapor', 'tiket', 'cepat', 'selesai']</t>
  </si>
  <si>
    <t>['jaringan', 'bagus', 'lancarr', 'mantapp']</t>
  </si>
  <si>
    <t>['harga', 'aplikasi', 'harga', 'beda', 'aplikasi', 'harga', 'mbps', 'mbps', 'mohon', 'jawabanya']</t>
  </si>
  <si>
    <t>['update', 'aplikasi', 'myindihome', 'fitur', 'bagus', 'menarik']</t>
  </si>
  <si>
    <t>['pemakaian', 'bagus', 'pelayanannya', 'suka', 'tagihan', '']</t>
  </si>
  <si>
    <t>['membantu', 'mempermudah', 'lakukan', 'pembayaran', 'pelaporan', 'kendala', 'cek', 'update', 'terbaru', 'perihal', 'indihome']</t>
  </si>
  <si>
    <t>['update', 'app', 'terbaru', 'bagus', 'kadang', 'bug', '']</t>
  </si>
  <si>
    <t>['mantapp', 'pokoknya', 'sinyalnya']</t>
  </si>
  <si>
    <t>['update', 'aplikasi', 'lambat', 'setting', 'profile', 'ubah', 'sandi', 'dll']</t>
  </si>
  <si>
    <t>['tersambung', 'login', '']</t>
  </si>
  <si>
    <t>['istri', 'masang', 'indihome', 'proses', 'registrasi', 'verifikasi', 'tunggu', 'udah', 'pusat', 'nelpon', 'ngambang', 'cari', 'mohon', 'bantu']</t>
  </si>
  <si>
    <t>['gangguan', 'massal', 'kunjung', 'teratasi', 'penanganan', 'lambat', 'internet', 'kompensasi', 'keringanan', 'biaya', 'merugikan', '']</t>
  </si>
  <si>
    <t>['kali', 'instal', 'login', 'tampilannya', 'loading', 'ngabisin', 'kuota', 'ngabisin', 'batre']</t>
  </si>
  <si>
    <t>['tagihan', 'melonjak']</t>
  </si>
  <si>
    <t>['lemot', 'banget', 'pakai', 'aplikasinya', 'padhal', 'ram', 'apanya', 'salah', 'aduhhh', '']</t>
  </si>
  <si>
    <t>['layanan', 'internet', 'buruk', 'kali', 'gangguan', 'penanganannya', 'lambat', 'biayanya', 'mahal', 'dibandingkan', 'provider', 'menagih', 'pembayaran', 'brutal', 'telpon', 'chat', 'email', 'mengganggu', 'pakai', 'layanan', 'internet', 'first', 'media', 'kualitasnya', 'gangguan', 'setahun', 'harganya', 'murah', 'sales', 'friendly', 'fast', 'response', 'beda', 'teknisi', 'indihome', 'payah', '']</t>
  </si>
  <si>
    <t>['apan', 'tagihan', 'berubah', 'bayar', 'sesuai', 'tagihan', 'kemarin', 'cek', 'tagihan', 'berubah', 'rb', 'naeknya', 'copot', 'daerah', 'uda', 'masuk', 'provider', 'koneksi', 'busuk', 'biaya', 'mahal', '']</t>
  </si>
  <si>
    <t>['lost', 'koneksi', 'rto', 'tanggal', 'november', 'jam', 'tolong', 'melapor', 'via', 'lepar', 'via', 'aplikasi', 'via', 'aplikasi', 'melapor', 'komplen', 'tolong', 'kasih', 'pelayanan', 'karna', 'pengguna', 'jarinhan', 'org', 'ratusan', 'ribu', 'team', 'jaringan', 'satelit', 'perusahaan', 'team', 'noc', 'telkom', 'tolong', 'kebanyakan', 'santai', 'jam', 'kerja', 'shift', 'terima', 'kasih']</t>
  </si>
  <si>
    <t>['knp', 'pakai', 'apk', 'masukan', 'indihome', 'gagal', 'tulisan', 'terdaftar', 'pakai', 'indihome']</t>
  </si>
  <si>
    <t>['wifi', 'bermasalah', 'berhari', 'hubungi', 'teknisi', 'satupun']</t>
  </si>
  <si>
    <t>['puas', 'banget', 'indihome']</t>
  </si>
  <si>
    <t>['tagihan', 'bayar', 'tertulis', 'blom', 'lunas', 'aplikasinya', 'suka', 'lag', 'jugaaa', 'kesel']</t>
  </si>
  <si>
    <t>['pengaduan', 'layanan', 'suruh', 'restat', 'moden', 'udah', 'lakuin', 'berkali', 'kali', 'bantuan', 'udah', 'login', 'ulang', 'download', 'ulang', '']</t>
  </si>
  <si>
    <t>['aplikasi', 'bagus', 'fitur', 'fitur', 'ditampilkan', 'lengkap', 'informasi', 'penggunaan', 'perangkat', 'penggunaan', 'kuota', 'mudah', 'diakses', 'mantaappp']</t>
  </si>
  <si>
    <t>['tampilan', 'elegan', 'mudah', 'mengerti', 'menu', 'tampilkan', 'nyaman', 'lihat', 'mudah', 'akses', 'serasa', 'genggaman', 'nice', '']</t>
  </si>
  <si>
    <t>['palak', 'apk', 'nyo', 'bro']</t>
  </si>
  <si>
    <t>['gabisa', 'log', 'format', 'gagal']</t>
  </si>
  <si>
    <t>['belajar', '']</t>
  </si>
  <si>
    <t>['semenjak', 'hadirnya', 'myindihome', 'profil', 'pembayaran', 'diupdate', 'bnyak', 'fitur', 'layanan', 'updgrade', 'speed', 'addon', 'lapor', 'jaringan', 'gannggu', 'internet', 'respons', 'cepat', 'sesuai', 'jadwal', 'fitur', 'menarik', 'kecepatan', 'internet', 'add', 'tukar', 'hadiah', 'bagus', 'fiturnya', 'mantap', 'pokoknya']</t>
  </si>
  <si>
    <t>['melayani', 'apk', 'janji', 'palsu']</t>
  </si>
  <si>
    <t>['mengecewakan', 'sinyal', 'lemot', '']</t>
  </si>
  <si>
    <t>['mahal', 'ndak', 'berkualitas', 'internet', 'mati', 'semalam', 'pagi', 'pagi', 'pengaduan', 'aplikasi', 'sore', 'progress', 'apapun', 'menyesal', 'ane', 'pasang', 'indihome']</t>
  </si>
  <si>
    <t>['suka', 'tampilan', 'update', 'terbaru', 'memudahkan', 'saran', 'dperbaiki', 'bug', 'muncul', 'lemot', 'loadingnya', 'galaxy', '']</t>
  </si>
  <si>
    <t>['update', 'aplikasi', 'terbaru', 'informatif', 'tagihan', 'status', 'bayar', 'status', 'penggunaan', 'kuota', 'data', 'telepon', 'beragam', 'informasi', 'program']</t>
  </si>
  <si>
    <t>['pengaturan', 'suka', 'tampilan', 'ketimbang', 'rumit', 'tagihan', 'keterangan', 'aplikasi', 'terbayarkan', 'bayar', '']</t>
  </si>
  <si>
    <t>['pembaruan', 'aplikasinya', 'enak', 'pakai', 'user', 'mantau', 'aplikasi', 'info', 'enak', 'tampilan', 'praktis', 'responsif', 'nyaman', 'pakai', 'aplikasi', 'myindihome', 'semoga', 'kedepannya', 'nyaman']</t>
  </si>
  <si>
    <t>['aplikasi', 'indihome', 'membantu', 'bagus', 'mempermudah', 'indihome', '']</t>
  </si>
  <si>
    <t>['tampilan', 'menu', 'bagus', 'sayang', 'loading']</t>
  </si>
  <si>
    <t>['mantap', 'cantik', 'tampilan', 'fitur', 'sblmnya']</t>
  </si>
  <si>
    <t>['okelah', 'mntb']</t>
  </si>
  <si>
    <t>['', 'mbps', 'selemot', 'anjrit']</t>
  </si>
  <si>
    <t>['jaringan', 'internet', 'lalod', 'penanganan', 'perbaikan', 'biaya', 'tagihan', 'turun', 'dimengerti', 'konsumen', '']</t>
  </si>
  <si>
    <t>['zaki', 'muhammad', 'fajri']</t>
  </si>
  <si>
    <t>['tahihan', 'bangke', 'indihome']</t>
  </si>
  <si>
    <t>['saran', 'pasang', 'wifi', 'indihome', 'nyesel', 'umur', 'hidup', 'tempo', 'minggu', 'trs', 'sinyal', 'los', 'trssss', 'jisas']</t>
  </si>
  <si>
    <t>['min', 'akun', 'indohome', 'nomer']</t>
  </si>
  <si>
    <t>['', 'memasukkan', 'nomor', 'indihome', 'tersambung', 'aplikasi', 'indihome', 'nomor', 'masukkan', 'ngga', 'masuk', 'ngga', 'kenali', 'wifinya', 'nyala', 'pelanggan', 'suruh', 'download', 'aplikasinya', 'ngga', 'masukkin', 'nomor', 'idnya']</t>
  </si>
  <si>
    <t>['kebiasaan', 'buruk', 'indihome', 'habis', 'bayar', 'bulanan', 'mendadak', 'lemot', 'error', 'dll', 'brengsek', 'pokoknya', '']</t>
  </si>
  <si>
    <t>['heran', 'fup', 'tgl', 'udah', 'abis', 'gitu', '']</t>
  </si>
  <si>
    <t>['update', 'lemot', 'hadeeehhhhh', '']</t>
  </si>
  <si>
    <t>['situs', 'jelek', 'membingungkan']</t>
  </si>
  <si>
    <t>['bng', 'teknisny']</t>
  </si>
  <si>
    <t>['sinyal', 'putus', 'nda', 'kuliah', 'zoom', 'out', 'berkali', 'perbaiki', 'didaerah', 'situbondo', 'jawa', 'timur', '']</t>
  </si>
  <si>
    <t>['rincian', 'pembayaran', 'jelek', 'harga', 'aplikasi', 'banking', 'beda']</t>
  </si>
  <si>
    <t>['coba']</t>
  </si>
  <si>
    <t>['aplikasi', 'myindihome', 'bnyk', 'bug', 'kelengkapan', 'profile', 'berubah', 'point', 'hilang', 'login', 'kode', 'otp', 'dpt', 'kiriman', 'sms', 'whatsapp', 'tolong', 'benerin', 'aplikasi', 'maintenance', 'update', 'bnyk', 'kesalahan']</t>
  </si>
  <si>
    <t>['versi', 'terbaru', 'susah', 'kali', 'mutar', 'bukanya', 'fitur', 'chat', 'laporan', 'rusak', 'letak', 'menunya', 'dmn']</t>
  </si>
  <si>
    <t>['tolong', 'diupdate', 'log', 'akun', 'sandi', 'salah', 'gimana', 'tagihan', 'mohon', 'diperbaiki', 'aplikasi']</t>
  </si>
  <si>
    <t>['buruk', 'aplikasinya', 'nyaman', 'aplikasinya', 'lemot', 'iya', '']</t>
  </si>
  <si>
    <t>['pelayanan', 'indihome', 'hancur', 'lancar', 'pelayanannya', 'hancur']</t>
  </si>
  <si>
    <t>['eror', 'login', 'email', 'perbaiki', 'min']</t>
  </si>
  <si>
    <t>['bagus', 'afk', 'old', 'dri', 'pda', 'kebyakan', 'pitur', 'promo', 'iklan', 'mending', 'simpel']</t>
  </si>
  <si>
    <t>['membantu', 'banget', 'aplikasi']</t>
  </si>
  <si>
    <t>['jaringan', 'murah', 'cepat', 'indihome', '']</t>
  </si>
  <si>
    <t>['cek', 'tagihan', 'lupa', 'bayar']</t>
  </si>
  <si>
    <t>['aplikasi', 'dibuka', 'tampilan', 'lemot', '']</t>
  </si>
  <si>
    <t>['loading', 'langganan', 'paket', 'apk', 'bermasalah', 'jaringannya', 'mengecewakan']</t>
  </si>
  <si>
    <t>['langsung', 'uninstal', 'aplikasinya', 'abal', 'daftar', 'mulu']</t>
  </si>
  <si>
    <t>['semoga', 'perubahan', 'aplikasi', 'simple', '']</t>
  </si>
  <si>
    <t>['proses', 'pemasangan', 'cepat', 'pagi', 'info', 'indihome', 'marketing', 'langsung', 'survei', 'rmh', 'cek', 'ketersediaan', 'jaringan', 'bsknya', 'langsung', 'tarik', 'kabel', 'mantapp', 'tingkatkan', 'kinerja', 'pelayanan', 'mksh']</t>
  </si>
  <si>
    <t>['menu', 'pengaduan', 'kayanya', 'versi']</t>
  </si>
  <si>
    <t>['', 'berguna']</t>
  </si>
  <si>
    <t>['mohon', 'ditampilan', 'internet', 'detai', 'fup', 'pemakaian']</t>
  </si>
  <si>
    <t>['sambungkan', 'nomor', 'indihome', 'tulisan', 'nomor', 'valid', '']</t>
  </si>
  <si>
    <t>['indihome', 'hati']</t>
  </si>
  <si>
    <t>['sinyal', 'jelek', 'kirim', 'tugas', 'classrom']</t>
  </si>
  <si>
    <t>['aplikasinya', 'bug']</t>
  </si>
  <si>
    <t>['versi', 'mengecewakan', 'berulang', 'kali', 'masuk', 'dibilang', 'nomor', 'terdaftar', 'didaftar', 'ulang', 'nomor', 'dimohon', 'masuk', 'daftar', 'masuk', 'coba', 'masuk', 'email', 'masuk']</t>
  </si>
  <si>
    <t>['tolong', 'optimalkan', 'aplikasi', 'bug']</t>
  </si>
  <si>
    <t>['samapi', 'berhubungan', 'berbau', 'itutu', 'mengecewakan']</t>
  </si>
  <si>
    <t>['tolonglah', 'aplikasi', 'terbaru', 'indihome', 'berat', 'skali', 'ram', 'tolong', 'tinjau', '']</t>
  </si>
  <si>
    <t>['aplikasi', 'lemot', 'parah']</t>
  </si>
  <si>
    <t>['internetnya', 'lemot', 'udah', 'bayar', 'mahal', 'jaringan', 'tetep', 'lemot', 'telat', 'bayar', 'langsung', 'diputus', 'jaringannya', 'dipercaya', 'indihome']</t>
  </si>
  <si>
    <t>['coba', 'pasang', 'aplikasi', 'alasannya', 'daerah', 'terjangkau', 'tetangga', 'halang', 'rumah', 'udah', 'box', 'telkom', 'pinggir', 'jalan', '']</t>
  </si>
  <si>
    <t>['aplikasi', 'keren', 'daftar', 'langanan', 'indihome', 'ribet', 'kantor', 'urus', 'keren', '']</t>
  </si>
  <si>
    <t>['update', 'susah', 'akses']</t>
  </si>
  <si>
    <t>['pelayanan', 'buruk', 'busuk']</t>
  </si>
  <si>
    <t>['indihomo', 'ampas', 'payah', 'eror', 'minggu', 'itikad', 'baiknya', 'teknisi', 'anak', 'payah', 'aplikasi']</t>
  </si>
  <si>
    <t>['saran', 'pembayaran', 'saldo', 'dikonekkan', 'dengn', 'link', 'telkom', 'grup', 'aplikasi', 'sebelah', 'konek', 'link', 'linkaja']</t>
  </si>
  <si>
    <t>['', 'laporan', 'keluhan', 'indihome', 'beres', 'teknisi', 'jaringan', 'restart', 'koneksi', 'lemot', 'lemot', 'mengatasinya', 'sampah', 'gini', 'aplikasi', 'berguna', 'diinstal', 'kantor', 'didatangi', 'langsung']</t>
  </si>
  <si>
    <t>['jaringan', 'cacad']</t>
  </si>
  <si>
    <t>['tolong', 'jaringan', 'wifi', 'diperbaiki', 'bermain', 'game', 'sinyal', 'merah', 'tolong', 'diperbaiki', '']</t>
  </si>
  <si>
    <t>['aplikasi', 'update', 'ditingkat', 'remote', 'device', 'terhubung']</t>
  </si>
  <si>
    <t>['semenjak', 'update', 'login']</t>
  </si>
  <si>
    <t>['bagus', 'jaringannya', 'skrg', 'knpa', 'ampas', '']</t>
  </si>
  <si>
    <t>['lumayan', 'bagus', 'cek', 'tagihan', 'add', 'semacamnya', 'kadang', 'bayar', 'tagihan', 'poin', 'suka', 'nambah', 'lapor', '']</t>
  </si>
  <si>
    <t>['pelayanan', 'cepat', 'bagus']</t>
  </si>
  <si>
    <t>['myindihome', 'semenjak', 'versi', 'ndak', 'kebuka', 'payah', 'diperbaharui']</t>
  </si>
  <si>
    <t>['aplikasi', 'kacau', 'lancar', 'skrg', 'suruh', 'masukin', 'indihome', 'dimasukin', 'terdaftar', 'tampilan', 'suruh', 'masukin', 'indihome']</t>
  </si>
  <si>
    <t>['yaa', 'akun', 'masuk']</t>
  </si>
  <si>
    <t>['wifi', 'ngeleg', 'nihh', 'boss', '']</t>
  </si>
  <si>
    <t>['myindihome', 'buka', 'kode', 'verifikasi', 'tsb', 'rubah', 'indihome', 'bekasi', 'mohon', 'konfirmasi', 'ulang', 'email', 'terima', 'kasih', '']</t>
  </si>
  <si>
    <t>['sinyal', 'kuat', 'sampe', 'skrng', 'kendala', 'cpet', 'tanganin']</t>
  </si>
  <si>
    <t>['tautan', 'pembayaran', 'linkaja', 'gopay', 'langsung', 'app']</t>
  </si>
  <si>
    <t>['liat', 'data', 'terpakainya', 'knp', '']</t>
  </si>
  <si>
    <t>['pelayanan', 'banget', 'udah', 'internet', 'mati', 'bayar', 'lunas', 'dilayanin', 'dibenerin', 'internetnya', 'kecewa', '']</t>
  </si>
  <si>
    <t>['bermasalah', 'mulu']</t>
  </si>
  <si>
    <t>['layanan', 'buruk', 'mentang', 'bumn', 'melayani']</t>
  </si>
  <si>
    <t>['update', 'aplikasi', 'orang', 'ngerti', 'bagusan', 'kemarin', 'lapor', 'gangguan', 'cepet', 'mudah', 'susah', 'haduhh']</t>
  </si>
  <si>
    <t>['membeli', 'chanel', 'bein', 'spor', 'berhenti', 'berlangganan', 'fitur', 'chanelnya', 'kebuka', 'akal', 'akalan', 'indihome', 'berlangganan', '']</t>
  </si>
  <si>
    <t>['', 'berfungsi']</t>
  </si>
  <si>
    <t>['indihome', 'knp', 'ngelag', '']</t>
  </si>
  <si>
    <t>['update', 'internet', 'myindihome', 'mbps', 'update', 'internet', 'mbps', 'indihome', 'care', 'internet', 'berlangganan', 'mbps', 'singkron', 'gini', '']</t>
  </si>
  <si>
    <t>['aplikasi', 'bermanfaat', 'pengguna', 'indihome', 'cek', 'tagihan', 'bayar', 'tagihan', 'update', 'kecepatan', 'pokoknya', 'joss', 'deh', 'bermanfaat', 'banget', '']</t>
  </si>
  <si>
    <t>['semenjak', 'update', 'upgrade', 'speed', 'hubungi', 'upgrade', 'gimana', '']</t>
  </si>
  <si>
    <t>['kacau', 'update', 'susah', 'login']</t>
  </si>
  <si>
    <t>['keren', 'mudah', 'cek', 'pemakaian', 'cek', 'perangkat', 'terhubung', '']</t>
  </si>
  <si>
    <t>['lumayanlah', 'aplikasi', 'udh', 'update', 'lemot', 'masukin', 'profilnya', 'susah']</t>
  </si>
  <si>
    <t>['', 'apdet', 'versi', 'pakai', 'alias', 'terbuka', 'login', 'login', 'sukses', 'buka', 'aplikasinya', 'login', '']</t>
  </si>
  <si>
    <t>['kepentingan', 'layanan', 'pengguna', 'responsif', 'layanan', 'gangguan', 'dikeluhkan', 'pelanggan']</t>
  </si>
  <si>
    <t>['upgrade', 'versi', 'terbaru', 'aplikasinya', 'lambat', 'lemott', 'upgrade', 'aplikasi', 'lancar', 'jaya', '']</t>
  </si>
  <si>
    <t>['bagusan', 'versi', 'fiturnya', 'dibandikan', 'versi', 'barunya', 'cuman', 'promo', 'voucher', 'instal', 'aplikasi', 'memantau', 'pembayaran', 'penggunaan', 'indihome', 'instal', 'aplikasi']</t>
  </si>
  <si>
    <t>['versi', 'terbaru', 'lemot', '']</t>
  </si>
  <si>
    <t>['update', 'penampilan', 'kece', 'aplikasinya', 'membantu', 'banget', 'nyesel', 'aplikasi', 'semoga', 'kedepannya', 'menarik', 'bagus', 'good', 'gob', '']</t>
  </si>
  <si>
    <t>['aplikasi', 'mantap']</t>
  </si>
  <si>
    <t>['fitur', 'lengkap', 'tampilan', 'menarik', 'sukak', 'versi', 'terbarunya', 'myindihome', '']</t>
  </si>
  <si>
    <t>['gimana', 'gangguan', 'kemarin', 'benerin', 'laporan', 'gabisa']</t>
  </si>
  <si>
    <t>['lumayan', 'membantu', 'pengecekan', 'wifi', 'rumah', 'reward', 'lumayan']</t>
  </si>
  <si>
    <t>['aplikasi', 'update', 'lambat', 'tampilanya', 'menarik', 'usser', 'friendly', 'overal', 'bagus', 'tingkatkan']</t>
  </si>
  <si>
    <t>['myindihome', 'membantu', 'penggunaan', 'indihome', 'fitur', 'fitur', 'tersedia', 'diupate', 'versi', 'terbaru']</t>
  </si>
  <si>
    <t>['tampilan', 'keren', 'mohon', 'perbaikan', 'akses', 'app', 'lancar', 'dang', 'ringan']</t>
  </si>
  <si>
    <t>['uggrade', 'tuker', 'point', 'gampang']</t>
  </si>
  <si>
    <t>['habis', 'update', 'gini', 'gabisa', 'login', 'lelet', 'bet', 'jdi', 'nungguin', 'loadingnya', 'dikirain', 'device', 'gua', 'dukung', 'liat', 'komen', 'ehh', '']</t>
  </si>
  <si>
    <t>['lemot', 'aplikasi']</t>
  </si>
  <si>
    <t>['duh', 'nyesel', 'pasang', 'indihome', 'seminggu', 'internet', 'gangguan', 'complaint', 'capek', 'berhenti', 'berlangganan', 'kenan', 'denda', 'jt', 'nyesel', 'pasang', 'indihome', '']</t>
  </si>
  <si>
    <t>['bang', 'ttt', 'malam', 'putus', 'mulu', 'kadang', 'ampe', 'berjam', 'jam', 'wilayah', 'enggal', 'bandar', 'lampung', 'deket', 'ama', 'markas', 'telkom', 'tetep', 'bangke', 'prlayanan', 'market', 'digenjot', 'tanggung', 'nyaranin', 'laporlah', 'lapor', 'mlm', 'ngirim', 'perbaikan', 'setan', '']</t>
  </si>
  <si>
    <t>['log', 'out', 'masuk', 'akun', 'aplikasi', 'parah', 'pembaharuan', 'poin', 'hilang', '']</t>
  </si>
  <si>
    <t>['uxnya', 'diperbaiki', 'daftar', 'pilih', 'kota', 'surabaya', 'pin', 'poin', 'peta', 'auto', 'nge', 'filling', 'data', 'maps', 'masak', 'nunggu', 'masuk', 'designrant', 'diperbaiki', '']</t>
  </si>
  <si>
    <t>['gimana', 'loginnya', 'udah', 'masukin', 'email', 'password', 'masak', 'verifikasi', 'tlpon', 'nomornya', 'udah', 'mati', '']</t>
  </si>
  <si>
    <t>['', 'login', 'nomor', '']</t>
  </si>
  <si>
    <t>['lemot', 'banget']</t>
  </si>
  <si>
    <t>['woy', 'ngentot', 'ngelek', 'mulu', 'maein', 'game']</t>
  </si>
  <si>
    <t>['gangguan', 'giliran', 'pembayaran', 'gangguan', 'pembayaran', 'dipotong', 'dikurangi', 'gangguan', 'telp', 'komplain', 'telponnya', 'terputus', 'sengaja', 'diputuskan', 'tolong', 'diperbaiki', 'layanan', 'customer', 'pembayaran', 'hedehhhhh']</t>
  </si>
  <si>
    <t>['update', 'buruk', 'lemotnya', 'ampun', 'macem', 'aplikasi', 'bnyk', 'virus', 'lambatnya', 'tolong', 'perbaiki']</t>
  </si>
  <si>
    <t>['update', 'terbaru', 'super', 'lemot', 'nomor', 'mengelola', 'nomor', 'kantor', 'barusan', 'nambah', 'nomor', 'rumah', 'update', 'nomor', 'rumah', 'hilang', 'hadeh', '']</t>
  </si>
  <si>
    <t>['tolong', 'diperbiki', 'lemot', 'buka', 'app']</t>
  </si>
  <si>
    <t>['suka', 'indihome', 'wifi', 'cepat', 'disamping', 'jaringan', 'tersebar', 'luas', 'diseluruh', 'indonesia', 'sipp', 'pokoknya']</t>
  </si>
  <si>
    <t>['aplikasi', 'indihome', 'kaya', 'iklan', 'jelek', 'banget', 'liat', 'profil', 'keluhan', 'perbaikan', 'sblmnya', 'tolong', 'diperbaiki']</t>
  </si>
  <si>
    <t>['good', 'info', 'amplikasi', 'lengkap', 'sesuai', 'pilihan', 'penguna', 'mudah', 'diakses', '']</t>
  </si>
  <si>
    <t>['aplikasi', 'berjalan', 'lancar', 'sinyal', 'stabil', 'problem', 'customer', 'service', 'cepat', 'tanggap', 'pengaduan', 'pelayanan', 'bonusnya', 'aplikasi', 'uptudate', 'pembayaran', 'mudah', 'sinyalnya', 'mantap', 'langganan', 'indihome']</t>
  </si>
  <si>
    <t>['membantu', 'mudah']</t>
  </si>
  <si>
    <t>['tampilan', 'fresh', 'mudah', '']</t>
  </si>
  <si>
    <t>['terima', 'kasih', 'membantu']</t>
  </si>
  <si>
    <t>['tampilan', 'ringkas', 'susah', 'cari', 'menu', 'dipilih']</t>
  </si>
  <si>
    <t>['proses', 'complain', 'new', 'app', 'schedulin', 'jam', 'jam', 'udah', 'berbenah', 'terima', 'kasih']</t>
  </si>
  <si>
    <t>['aplikasi', 'indi', 'home', 'membantu', 'mengecek', 'pemakaian', 'penawaran', 'produk', 'indihome', 'aplikasi', 'produk', 'promo', 'indihome', 'diakses', 'repot', 'plaza', 'telkom', 'love', '']</t>
  </si>
  <si>
    <t>['versi', 'terbaru', 'penampilan', 'bagus', 'perpeck', 'dibuka', 'diley', 'bagus', 'tampilan']</t>
  </si>
  <si>
    <t>['bagus', 'simpel', 'elegan', 'bayak', 'pitur', 'pitur', 'menarik', 'jyga', 'lanjutkan', 'semoga']</t>
  </si>
  <si>
    <t>['aplikasi', 'bagus', 'memudahkan', 'fasilitas', 'tagihan', 'bulanan', 'semoga', 'kedepannya', 'tks']</t>
  </si>
  <si>
    <t>['udah', 'internet', 'los', 'merah', 'lapor', 'aplikasi', 'tulisan', 'maaf', 'layanan', 'indihome', 'mengalami', 'gangguan', 'karna', 'lokasi', 'gangguan', 'masaal', 'mohon', 'tunggu', 'teknisi', 'perbaikan', 'tapida', 'perubahan']</t>
  </si>
  <si>
    <t>['pastinya', 'respon', 'lambat', 'sistem', 'birokrasi', 'disuruh', 'tunggu', 'pelanggan', 'nyaman', 'tutup', 'pelayanan', 'kaya', 'gitu', 'layak', '']</t>
  </si>
  <si>
    <t>['bagus', 'memuaskan']</t>
  </si>
  <si>
    <t>['', 'bagus', 'pelayanan', 'telkom', 'install', 'indihome', 'kode', 'verifikasi', 'dikirimkan', 'terlambat', 'kadaluwarsa', 'eek', '']</t>
  </si>
  <si>
    <t>['maaf', 'pasang', 'langganan', 'indihome', 'teknisi', 'pengecekan', 'odp', 'dsb', 'estimasi', 'pemasangannya', 'terima', 'kasih']</t>
  </si>
  <si>
    <t>['bayar', 'telat', 'gangguan', 'keren']</t>
  </si>
  <si>
    <t>['aplikasi', 'bwt', 'bgung']</t>
  </si>
  <si>
    <t>['update', 'aplikasi', 'suka', 'ngefrezee', 'buka', 'apk', 'patah', 'kadang', '']</t>
  </si>
  <si>
    <t>['update', 'login', 'susah', 'nomer', 'sudh', 'aktif', 'kirain', 'cma', 'masukin', 'email', 'doang', 'pke', 'nomer', '']</t>
  </si>
  <si>
    <t>['taik', 'udh', 'reset', 'berkali', 'kali', 'tetep', 'dapet', 'ngelag', 'bangst']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</si>
</sst>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8.71"/>
  </cols>
  <sheetData>
    <row r="1">
      <c r="B1" s="1" t="s">
        <v>0</v>
      </c>
      <c r="C1" s="2" t="s">
        <v>1</v>
      </c>
      <c r="D1" s="1" t="s">
        <v>2</v>
      </c>
    </row>
    <row r="2">
      <c r="A2" s="1">
        <v>0.0</v>
      </c>
      <c r="B2" s="3" t="s">
        <v>3</v>
      </c>
      <c r="C2" s="3" t="str">
        <f>IFERROR(__xludf.DUMMYFUNCTION("GOOGLETRANSLATE(B2,""id"",""en"")"),"['The application', 'slow', 'loading', 'really', 'speed', 'wifi', 'safe']")</f>
        <v>['The application', 'slow', 'loading', 'really', 'speed', 'wifi', 'safe']</v>
      </c>
      <c r="D2" s="3">
        <v>1.0</v>
      </c>
    </row>
    <row r="3">
      <c r="A3" s="1">
        <v>1.0</v>
      </c>
      <c r="B3" s="3" t="s">
        <v>4</v>
      </c>
      <c r="C3" s="3" t="str">
        <f>IFERROR(__xludf.DUMMYFUNCTION("GOOGLETRANSLATE(B3,""id"",""en"")"),"['PLISS', 'Donk', 'Bener', 'APK', 'Watch', 'Loading', 'Doang', 'UDH', 'Uninstall', 'Tide', 'TTP', 'Payaah', ' right']")</f>
        <v>['PLISS', 'Donk', 'Bener', 'APK', 'Watch', 'Loading', 'Doang', 'UDH', 'Uninstall', 'Tide', 'TTP', 'Payaah', ' right']</v>
      </c>
      <c r="D3" s="3">
        <v>1.0</v>
      </c>
    </row>
    <row r="4">
      <c r="A4" s="1">
        <v>2.0</v>
      </c>
      <c r="B4" s="3" t="s">
        <v>5</v>
      </c>
      <c r="C4" s="3" t="str">
        <f>IFERROR(__xludf.DUMMYFUNCTION("GOOGLETRANSLATE(B4,""id"",""en"")"),"['application', 'Help', 'wifi', 'setabilia', 'use', 'indihome', 'access',' fast ',' worker ',' regular ',' staple ',' indihome ',' TOP ',' really ']")</f>
        <v>['application', 'Help', 'wifi', 'setabilia', 'use', 'indihome', 'access',' fast ',' worker ',' regular ',' staple ',' indihome ',' TOP ',' really ']</v>
      </c>
      <c r="D4" s="3">
        <v>5.0</v>
      </c>
    </row>
    <row r="5">
      <c r="A5" s="1">
        <v>3.0</v>
      </c>
      <c r="B5" s="3" t="s">
        <v>6</v>
      </c>
      <c r="C5" s="3" t="str">
        <f>IFERROR(__xludf.DUMMYFUNCTION("GOOGLETRANSLATE(B5,""id"",""en"")"),"['difficult', 'use', 'downgrade', 'version', 'user', 'friendly', 'stable', ""]")</f>
        <v>['difficult', 'use', 'downgrade', 'version', 'user', 'friendly', 'stable', "]</v>
      </c>
      <c r="D5" s="3">
        <v>1.0</v>
      </c>
    </row>
    <row r="6">
      <c r="A6" s="1">
        <v>4.0</v>
      </c>
      <c r="B6" s="3" t="s">
        <v>7</v>
      </c>
      <c r="C6" s="3" t="str">
        <f>IFERROR(__xludf.DUMMYFUNCTION("GOOGLETRANSLATE(B6,""id"",""en"")"),"['Mending', 'Biznet']")</f>
        <v>['Mending', 'Biznet']</v>
      </c>
      <c r="D6" s="3">
        <v>1.0</v>
      </c>
    </row>
    <row r="7">
      <c r="A7" s="1">
        <v>5.0</v>
      </c>
      <c r="B7" s="3" t="s">
        <v>8</v>
      </c>
      <c r="C7" s="3" t="str">
        <f>IFERROR(__xludf.DUMMYFUNCTION("GOOGLETRANSLATE(B7,""id"",""en"")"),"['Application', 'garbage']")</f>
        <v>['Application', 'garbage']</v>
      </c>
      <c r="D7" s="3">
        <v>1.0</v>
      </c>
    </row>
    <row r="8">
      <c r="A8" s="1">
        <v>6.0</v>
      </c>
      <c r="B8" s="3" t="s">
        <v>9</v>
      </c>
      <c r="C8" s="3" t="str">
        <f>IFERROR(__xludf.DUMMYFUNCTION("GOOGLETRANSLATE(B8,""id"",""en"")"),"['Sis', 'KNPA', 'APK', 'Indihome', 'Upgrade', 'Version', 'Latest', 'Loading', 'Enter', 'Mhon', 'Info', ""]")</f>
        <v>['Sis', 'KNPA', 'APK', 'Indihome', 'Upgrade', 'Version', 'Latest', 'Loading', 'Enter', 'Mhon', 'Info', "]</v>
      </c>
      <c r="D8" s="3">
        <v>2.0</v>
      </c>
    </row>
    <row r="9">
      <c r="A9" s="1">
        <v>7.0</v>
      </c>
      <c r="B9" s="3" t="s">
        <v>10</v>
      </c>
      <c r="C9" s="3" t="str">
        <f>IFERROR(__xludf.DUMMYFUNCTION("GOOGLETRANSLATE(B9,""id"",""en"")"),"['', 'application', 'ubgrate']")</f>
        <v>['', 'application', 'ubgrate']</v>
      </c>
      <c r="D9" s="3">
        <v>2.0</v>
      </c>
    </row>
    <row r="10">
      <c r="A10" s="1">
        <v>8.0</v>
      </c>
      <c r="B10" s="3" t="s">
        <v>11</v>
      </c>
      <c r="C10" s="3" t="str">
        <f>IFERROR(__xludf.DUMMYFUNCTION("GOOGLETRANSLATE(B10,""id"",""en"")"),"['Bintang', 'plus', 'feature', 'report', 'disorder', 'appears']")</f>
        <v>['Bintang', 'plus', 'feature', 'report', 'disorder', 'appears']</v>
      </c>
      <c r="D10" s="3">
        <v>2.0</v>
      </c>
    </row>
    <row r="11">
      <c r="A11" s="1">
        <v>9.0</v>
      </c>
      <c r="B11" s="3" t="s">
        <v>12</v>
      </c>
      <c r="C11" s="3" t="str">
        <f>IFERROR(__xludf.DUMMYFUNCTION("GOOGLETRANSLATE(B11,""id"",""en"")"),"['application', 'difficult', 'opened', 'network', 'good', 'muter', 'please', 'repair']")</f>
        <v>['application', 'difficult', 'opened', 'network', 'good', 'muter', 'please', 'repair']</v>
      </c>
      <c r="D11" s="3">
        <v>1.0</v>
      </c>
    </row>
    <row r="12">
      <c r="A12" s="1">
        <v>10.0</v>
      </c>
      <c r="B12" s="3" t="s">
        <v>13</v>
      </c>
      <c r="C12" s="3" t="str">
        <f>IFERROR(__xludf.DUMMYFUNCTION("GOOGLETRANSLATE(B12,""id"",""en"")"),"['', 'Persulit', 'Login', 'Account', 'Simpik', 'Indihome']")</f>
        <v>['', 'Persulit', 'Login', 'Account', 'Simpik', 'Indihome']</v>
      </c>
      <c r="D12" s="3">
        <v>1.0</v>
      </c>
    </row>
    <row r="13">
      <c r="A13" s="1">
        <v>11.0</v>
      </c>
      <c r="B13" s="3" t="s">
        <v>14</v>
      </c>
      <c r="C13" s="3" t="str">
        <f>IFERROR(__xludf.DUMMYFUNCTION("GOOGLETRANSLATE(B13,""id"",""en"")"),"Of course")</f>
        <v>Of course</v>
      </c>
      <c r="D13" s="3">
        <v>1.0</v>
      </c>
    </row>
    <row r="14">
      <c r="A14" s="1">
        <v>12.0</v>
      </c>
      <c r="B14" s="3" t="s">
        <v>15</v>
      </c>
      <c r="C14" s="3" t="str">
        <f>IFERROR(__xludf.DUMMYFUNCTION("GOOGLETRANSLATE(B14,""id"",""en"")"),"['GMN', 'verification', 'data', 'minutes', 'already', 'finished', ""]")</f>
        <v>['GMN', 'verification', 'data', 'minutes', 'already', 'finished', "]</v>
      </c>
      <c r="D14" s="3">
        <v>2.0</v>
      </c>
    </row>
    <row r="15">
      <c r="A15" s="1">
        <v>13.0</v>
      </c>
      <c r="B15" s="3" t="s">
        <v>16</v>
      </c>
      <c r="C15" s="3" t="str">
        <f>IFERROR(__xludf.DUMMYFUNCTION("GOOGLETRANSLATE(B15,""id"",""en"")"),"['', 'Application', 'Since', 'complementary', 'payment', 'according to', 'handling', 'Severe', 'Indihome']")</f>
        <v>['', 'Application', 'Since', 'complementary', 'payment', 'according to', 'handling', 'Severe', 'Indihome']</v>
      </c>
      <c r="D15" s="3">
        <v>1.0</v>
      </c>
    </row>
    <row r="16">
      <c r="A16" s="1">
        <v>14.0</v>
      </c>
      <c r="B16" s="3" t="s">
        <v>17</v>
      </c>
      <c r="C16" s="3" t="str">
        <f>IFERROR(__xludf.DUMMYFUNCTION("GOOGLETRANSLATE(B16,""id"",""en"")"),"['original', 'Season', 'really', 'application', 'indihome', 'update', 'automatic', 'account', 'login', 'reset', 'it's hard', 'really' said ',' password ',' wrong ',' until ',' already ',' change ',' password ',' login ',' said ',' password ',' wrong ',' g"&amp;"unain ',' telephone ' , 'told', 'enter', 'password', 'verification', 'code', 'bet', 'App', 'below', 'shade', 'telkom', 'BUMN', 'Please', ' Bener ',' repaired ',' quality ',' nelfonin ',' violated ',' fall ',' tempo ',' huft ']")</f>
        <v>['original', 'Season', 'really', 'application', 'indihome', 'update', 'automatic', 'account', 'login', 'reset', 'it's hard', 'really' said ',' password ',' wrong ',' until ',' already ',' change ',' password ',' login ',' said ',' password ',' wrong ',' gunain ',' telephone ' , 'told', 'enter', 'password', 'verification', 'code', 'bet', 'App', 'below', 'shade', 'telkom', 'BUMN', 'Please', ' Bener ',' repaired ',' quality ',' nelfonin ',' violated ',' fall ',' tempo ',' huft ']</v>
      </c>
      <c r="D16" s="3">
        <v>1.0</v>
      </c>
    </row>
    <row r="17">
      <c r="A17" s="1">
        <v>15.0</v>
      </c>
      <c r="B17" s="3" t="s">
        <v>18</v>
      </c>
      <c r="C17" s="3" t="str">
        <f>IFERROR(__xludf.DUMMYFUNCTION("GOOGLETRANSLATE(B17,""id"",""en"")"),"['Useful', 'Apliaty', 'Myindihome', 'subscribe', 'internet', 'internet', 'stable', 'smooth', 'pokonya', 'steady', ""]")</f>
        <v>['Useful', 'Apliaty', 'Myindihome', 'subscribe', 'internet', 'internet', 'stable', 'smooth', 'pokonya', 'steady', "]</v>
      </c>
      <c r="D17" s="3">
        <v>5.0</v>
      </c>
    </row>
    <row r="18">
      <c r="A18" s="1">
        <v>16.0</v>
      </c>
      <c r="B18" s="3" t="s">
        <v>19</v>
      </c>
      <c r="C18" s="3" t="str">
        <f>IFERROR(__xludf.DUMMYFUNCTION("GOOGLETRANSLATE(B18,""id"",""en"")"),"['oath', 'pairs',' yesterday ',' package ',' mbps', 'just', 'slow', 'forgiveness',' please ',' quality ',' develop ',' Not ',' Geratis', 'obedient', 'Certatansi', 'Indihome', 'Try', 'Level', 'Quality', '']")</f>
        <v>['oath', 'pairs',' yesterday ',' package ',' mbps', 'just', 'slow', 'forgiveness',' please ',' quality ',' develop ',' Not ',' Geratis', 'obedient', 'Certatansi', 'Indihome', 'Try', 'Level', 'Quality', '']</v>
      </c>
      <c r="D18" s="3">
        <v>1.0</v>
      </c>
    </row>
    <row r="19">
      <c r="A19" s="1">
        <v>17.0</v>
      </c>
      <c r="B19" s="3" t="s">
        <v>20</v>
      </c>
      <c r="C19" s="3" t="str">
        <f>IFERROR(__xludf.DUMMYFUNCTION("GOOGLETRANSLATE(B19,""id"",""en"")"),"['APK', 'Practical', 'Pesen', 'WiFi', 'Direct', 'APK', 'home']")</f>
        <v>['APK', 'Practical', 'Pesen', 'WiFi', 'Direct', 'APK', 'home']</v>
      </c>
      <c r="D19" s="3">
        <v>5.0</v>
      </c>
    </row>
    <row r="20">
      <c r="A20" s="1">
        <v>18.0</v>
      </c>
      <c r="B20" s="3" t="s">
        <v>21</v>
      </c>
      <c r="C20" s="3" t="str">
        <f>IFERROR(__xludf.DUMMYFUNCTION("GOOGLETRANSLATE(B20,""id"",""en"")"),"['Severe', 'slow', 'good', 'features',' Lool ',' Application ',' Gemes', 'a year', 'Notice', 'Lola', 'Lord', 'Erick', ' Tohir ',' please ',' noticed ',' repairs']")</f>
        <v>['Severe', 'slow', 'good', 'features',' Lool ',' Application ',' Gemes', 'a year', 'Notice', 'Lola', 'Lord', 'Erick', ' Tohir ',' please ',' noticed ',' repairs']</v>
      </c>
      <c r="D20" s="3">
        <v>1.0</v>
      </c>
    </row>
    <row r="21" ht="15.75" customHeight="1">
      <c r="A21" s="1">
        <v>19.0</v>
      </c>
      <c r="B21" s="3" t="s">
        <v>22</v>
      </c>
      <c r="C21" s="3" t="str">
        <f>IFERROR(__xludf.DUMMYFUNCTION("GOOGLETRANSLATE(B21,""id"",""en"")"),"['Application', 'Help', 'SERBA', 'Online', 'use', 'subscribe', 'Indihome', 'home']")</f>
        <v>['Application', 'Help', 'SERBA', 'Online', 'use', 'subscribe', 'Indihome', 'home']</v>
      </c>
      <c r="D21" s="3">
        <v>5.0</v>
      </c>
    </row>
    <row r="22" ht="15.75" customHeight="1">
      <c r="A22" s="1">
        <v>20.0</v>
      </c>
      <c r="B22" s="3" t="s">
        <v>23</v>
      </c>
      <c r="C22" s="3" t="str">
        <f>IFERROR(__xludf.DUMMYFUNCTION("GOOGLETRANSLATE(B22,""id"",""en"")"),"['application', 'here', 'complicated', 'complaint', 'service', 'gakbisa', 'access']")</f>
        <v>['application', 'here', 'complicated', 'complaint', 'service', 'gakbisa', 'access']</v>
      </c>
      <c r="D22" s="3">
        <v>1.0</v>
      </c>
    </row>
    <row r="23" ht="15.75" customHeight="1">
      <c r="A23" s="1">
        <v>21.0</v>
      </c>
      <c r="B23" s="3" t="s">
        <v>24</v>
      </c>
      <c r="C23" s="3" t="str">
        <f>IFERROR(__xludf.DUMMYFUNCTION("GOOGLETRANSLATE(B23,""id"",""en"")"),"['The application', 'add', 'work', 'disorder', 'mulu', 'when' is', 'Gini', 'mah', 'bankrupt', 'people']")</f>
        <v>['The application', 'add', 'work', 'disorder', 'mulu', 'when' is', 'Gini', 'mah', 'bankrupt', 'people']</v>
      </c>
      <c r="D23" s="3">
        <v>1.0</v>
      </c>
    </row>
    <row r="24" ht="15.75" customHeight="1">
      <c r="A24" s="1">
        <v>22.0</v>
      </c>
      <c r="B24" s="3" t="s">
        <v>25</v>
      </c>
      <c r="C24" s="3" t="str">
        <f>IFERROR(__xludf.DUMMYFUNCTION("GOOGLETRANSLATE(B24,""id"",""en"")"),"['Good', 'slow', 'really', 'send', 'complain']")</f>
        <v>['Good', 'slow', 'really', 'send', 'complain']</v>
      </c>
      <c r="D24" s="3">
        <v>5.0</v>
      </c>
    </row>
    <row r="25" ht="15.75" customHeight="1">
      <c r="A25" s="1">
        <v>23.0</v>
      </c>
      <c r="B25" s="3" t="s">
        <v>26</v>
      </c>
      <c r="C25" s="3" t="str">
        <f>IFERROR(__xludf.DUMMYFUNCTION("GOOGLETRANSLATE(B25,""id"",""en"")"),"['Myindihomex', 'Dikemanain', ""]")</f>
        <v>['Myindihomex', 'Dikemanain', "]</v>
      </c>
      <c r="D25" s="3">
        <v>1.0</v>
      </c>
    </row>
    <row r="26" ht="15.75" customHeight="1">
      <c r="A26" s="1">
        <v>24.0</v>
      </c>
      <c r="B26" s="3" t="s">
        <v>27</v>
      </c>
      <c r="C26" s="3" t="str">
        <f>IFERROR(__xludf.DUMMYFUNCTION("GOOGLETRANSLATE(B26,""id"",""en"")"),"['application', 'makes it easy', 'payment', 'choose', 'package', 'internet', 'according to', 'need', 'tks', 'indihome', '']")</f>
        <v>['application', 'makes it easy', 'payment', 'choose', 'package', 'internet', 'according to', 'need', 'tks', 'indihome', '']</v>
      </c>
      <c r="D26" s="3">
        <v>5.0</v>
      </c>
    </row>
    <row r="27" ht="15.75" customHeight="1">
      <c r="A27" s="1">
        <v>25.0</v>
      </c>
      <c r="B27" s="3" t="s">
        <v>28</v>
      </c>
      <c r="C27" s="3" t="str">
        <f>IFERROR(__xludf.DUMMYFUNCTION("GOOGLETRANSLATE(B27,""id"",""en"")"),"['family', 'Indihome', 'family', 'home', 'buffering', 'pokonya', 'smooth', 'jaya', 'program', 'program', 'bnyak', 'choice', ' according to ',' age ',' service ',' Indihome ',' friendly ',' direct ',' gercep ',' home ',' sip ',' deh ', ""]")</f>
        <v>['family', 'Indihome', 'family', 'home', 'buffering', 'pokonya', 'smooth', 'jaya', 'program', 'program', 'bnyak', 'choice', ' according to ',' age ',' service ',' Indihome ',' friendly ',' direct ',' gercep ',' home ',' sip ',' deh ', "]</v>
      </c>
      <c r="D27" s="3">
        <v>5.0</v>
      </c>
    </row>
    <row r="28" ht="15.75" customHeight="1">
      <c r="A28" s="1">
        <v>26.0</v>
      </c>
      <c r="B28" s="3" t="s">
        <v>29</v>
      </c>
      <c r="C28" s="3" t="str">
        <f>IFERROR(__xludf.DUMMYFUNCTION("GOOGLETRANSLATE(B28,""id"",""en"")"),"['', 'Indihome', 'already', 'help', 'really', 'payment', 'application', 'feature', 'displayed', 'interesting', 'really', 'complaint', 'application ',' ']")</f>
        <v>['', 'Indihome', 'already', 'help', 'really', 'payment', 'application', 'feature', 'displayed', 'interesting', 'really', 'complaint', 'application ',' ']</v>
      </c>
      <c r="D28" s="3">
        <v>5.0</v>
      </c>
    </row>
    <row r="29" ht="15.75" customHeight="1">
      <c r="A29" s="1">
        <v>27.0</v>
      </c>
      <c r="B29" s="3" t="s">
        <v>30</v>
      </c>
      <c r="C29" s="3" t="str">
        <f>IFERROR(__xludf.DUMMYFUNCTION("GOOGLETRANSLATE(B29,""id"",""en"")"),"['APK']")</f>
        <v>['APK']</v>
      </c>
      <c r="D29" s="3">
        <v>1.0</v>
      </c>
    </row>
    <row r="30" ht="15.75" customHeight="1">
      <c r="A30" s="1">
        <v>28.0</v>
      </c>
      <c r="B30" s="3" t="s">
        <v>31</v>
      </c>
      <c r="C30" s="3" t="str">
        <f>IFERROR(__xludf.DUMMYFUNCTION("GOOGLETRANSLATE(B30,""id"",""en"")"),"['Application', 'Indihome', 'Help', 'internet', 'Indonesia', ""]")</f>
        <v>['Application', 'Indihome', 'Help', 'internet', 'Indonesia', "]</v>
      </c>
      <c r="D30" s="3">
        <v>5.0</v>
      </c>
    </row>
    <row r="31" ht="15.75" customHeight="1">
      <c r="A31" s="1">
        <v>29.0</v>
      </c>
      <c r="B31" s="3" t="s">
        <v>32</v>
      </c>
      <c r="C31" s="3" t="str">
        <f>IFERROR(__xludf.DUMMYFUNCTION("GOOGLETRANSLATE(B31,""id"",""en"")"),"['Update', 'UDH', 'INDIHOME', 'Application', 'Update', 'Login', 'GMNA', 'Solution', 'Kecot']")</f>
        <v>['Update', 'UDH', 'INDIHOME', 'Application', 'Update', 'Login', 'GMNA', 'Solution', 'Kecot']</v>
      </c>
      <c r="D31" s="3">
        <v>1.0</v>
      </c>
    </row>
    <row r="32" ht="15.75" customHeight="1">
      <c r="A32" s="1">
        <v>30.0</v>
      </c>
      <c r="B32" s="3" t="s">
        <v>33</v>
      </c>
      <c r="C32" s="3" t="str">
        <f>IFERROR(__xludf.DUMMYFUNCTION("GOOGLETRANSLATE(B32,""id"",""en"")"),"['waaa', 'application', 'good', 'darling', 'signal', 'really', 'bad', 'where', 'task', 'finished', 'minute', 'hour', ' completion ',' where ',' pay ',' network ',' bad ']")</f>
        <v>['waaa', 'application', 'good', 'darling', 'signal', 'really', 'bad', 'where', 'task', 'finished', 'minute', 'hour', ' completion ',' where ',' pay ',' network ',' bad ']</v>
      </c>
      <c r="D32" s="3">
        <v>2.0</v>
      </c>
    </row>
    <row r="33" ht="15.75" customHeight="1">
      <c r="A33" s="1">
        <v>31.0</v>
      </c>
      <c r="B33" s="3" t="s">
        <v>34</v>
      </c>
      <c r="C33" s="3" t="str">
        <f>IFERROR(__xludf.DUMMYFUNCTION("GOOGLETRANSLATE(B33,""id"",""en"")"),"['APK', 'Myindihome', 'Features',' Simple ',' Buy ',' Package ',' Subscriptions', 'Internet', 'call', 'Technician', 'APK', 'Cool', ' Deh ',' Enhanced ',' ']")</f>
        <v>['APK', 'Myindihome', 'Features',' Simple ',' Buy ',' Package ',' Subscriptions', 'Internet', 'call', 'Technician', 'APK', 'Cool', ' Deh ',' Enhanced ',' ']</v>
      </c>
      <c r="D33" s="3">
        <v>5.0</v>
      </c>
    </row>
    <row r="34" ht="15.75" customHeight="1">
      <c r="A34" s="1">
        <v>32.0</v>
      </c>
      <c r="B34" s="3" t="s">
        <v>35</v>
      </c>
      <c r="C34" s="3" t="str">
        <f>IFERROR(__xludf.DUMMYFUNCTION("GOOGLETRANSLATE(B34,""id"",""en"")"),"['application', 'myindohome', 'help', 'user', 'experience', 'trouble', 'network']")</f>
        <v>['application', 'myindohome', 'help', 'user', 'experience', 'trouble', 'network']</v>
      </c>
      <c r="D34" s="3">
        <v>5.0</v>
      </c>
    </row>
    <row r="35" ht="15.75" customHeight="1">
      <c r="A35" s="1">
        <v>33.0</v>
      </c>
      <c r="B35" s="3" t="s">
        <v>36</v>
      </c>
      <c r="C35" s="3" t="str">
        <f>IFERROR(__xludf.DUMMYFUNCTION("GOOGLETRANSLATE(B35,""id"",""en"")"),"['Good', 'really', 'application', 'no', 'ribet', 'pay', 'subscription', 'indihome', 'stay', 'top', 'indihome']")</f>
        <v>['Good', 'really', 'application', 'no', 'ribet', 'pay', 'subscription', 'indihome', 'stay', 'top', 'indihome']</v>
      </c>
      <c r="D35" s="3">
        <v>5.0</v>
      </c>
    </row>
    <row r="36" ht="15.75" customHeight="1">
      <c r="A36" s="1">
        <v>34.0</v>
      </c>
      <c r="B36" s="3" t="s">
        <v>37</v>
      </c>
      <c r="C36" s="3" t="str">
        <f>IFERROR(__xludf.DUMMYFUNCTION("GOOGLETRANSLATE(B36,""id"",""en"")"),"['The application', 'help', 'really', 'maximal', 'use', 'wifi', 'indihome', 'features',' help ',' really ',' hope ',' maximized ',' Indihome ',' Success', ""]")</f>
        <v>['The application', 'help', 'really', 'maximal', 'use', 'wifi', 'indihome', 'features',' help ',' really ',' hope ',' maximized ',' Indihome ',' Success', "]</v>
      </c>
      <c r="D36" s="3">
        <v>5.0</v>
      </c>
    </row>
    <row r="37" ht="15.75" customHeight="1">
      <c r="A37" s="1">
        <v>35.0</v>
      </c>
      <c r="B37" s="3" t="s">
        <v>38</v>
      </c>
      <c r="C37" s="3" t="str">
        <f>IFERROR(__xludf.DUMMYFUNCTION("GOOGLETRANSLATE(B37,""id"",""en"")"),"['application', 'useful', 'makes it easy', 'user', 'expandable', 'comfortable']")</f>
        <v>['application', 'useful', 'makes it easy', 'user', 'expandable', 'comfortable']</v>
      </c>
      <c r="D37" s="3">
        <v>5.0</v>
      </c>
    </row>
    <row r="38" ht="15.75" customHeight="1">
      <c r="A38" s="1">
        <v>36.0</v>
      </c>
      <c r="B38" s="3" t="s">
        <v>39</v>
      </c>
      <c r="C38" s="3" t="str">
        <f>IFERROR(__xludf.DUMMYFUNCTION("GOOGLETRANSLATE(B38,""id"",""en"")"),"['Application', 'slow']")</f>
        <v>['Application', 'slow']</v>
      </c>
      <c r="D38" s="3">
        <v>1.0</v>
      </c>
    </row>
    <row r="39" ht="15.75" customHeight="1">
      <c r="A39" s="1">
        <v>37.0</v>
      </c>
      <c r="B39" s="3" t="s">
        <v>40</v>
      </c>
      <c r="C39" s="3" t="str">
        <f>IFERROR(__xludf.DUMMYFUNCTION("GOOGLETRANSLATE(B39,""id"",""en"")"),"['bug', 'login', 'difficult', 'good']")</f>
        <v>['bug', 'login', 'difficult', 'good']</v>
      </c>
      <c r="D39" s="3">
        <v>1.0</v>
      </c>
    </row>
    <row r="40" ht="15.75" customHeight="1">
      <c r="A40" s="1">
        <v>38.0</v>
      </c>
      <c r="B40" s="3" t="s">
        <v>41</v>
      </c>
      <c r="C40" s="3" t="str">
        <f>IFERROR(__xludf.DUMMYFUNCTION("GOOGLETRANSLATE(B40,""id"",""en"")"),"['officer', 'Indihome', 'Nias',' friendly ',' friendly ',' fun ',' play ',' report ',' Lao ',' KTR ',' HRI ',' promise ',' Promise ',' officer ',' technician ',' home ',' Please ',' affirmation ',' management ',' tks']")</f>
        <v>['officer', 'Indihome', 'Nias',' friendly ',' friendly ',' fun ',' play ',' report ',' Lao ',' KTR ',' HRI ',' promise ',' Promise ',' officer ',' technician ',' home ',' Please ',' affirmation ',' management ',' tks']</v>
      </c>
      <c r="D40" s="3">
        <v>1.0</v>
      </c>
    </row>
    <row r="41" ht="15.75" customHeight="1">
      <c r="A41" s="1">
        <v>39.0</v>
      </c>
      <c r="B41" s="3" t="s">
        <v>42</v>
      </c>
      <c r="C41" s="3" t="str">
        <f>IFERROR(__xludf.DUMMYFUNCTION("GOOGLETRANSLATE(B41,""id"",""en"")"),"['application', 'profitable', 'checked', 'price', 'package']")</f>
        <v>['application', 'profitable', 'checked', 'price', 'package']</v>
      </c>
      <c r="D41" s="3">
        <v>5.0</v>
      </c>
    </row>
    <row r="42" ht="15.75" customHeight="1">
      <c r="A42" s="1">
        <v>40.0</v>
      </c>
      <c r="B42" s="3" t="s">
        <v>43</v>
      </c>
      <c r="C42" s="3" t="str">
        <f>IFERROR(__xludf.DUMMYFUNCTION("GOOGLETRANSLATE(B42,""id"",""en"")"),"['wifi', 'Indihome', 'Manage', 'home', 'Safe', 'no', 'slow']")</f>
        <v>['wifi', 'Indihome', 'Manage', 'home', 'Safe', 'no', 'slow']</v>
      </c>
      <c r="D42" s="3">
        <v>5.0</v>
      </c>
    </row>
    <row r="43" ht="15.75" customHeight="1">
      <c r="A43" s="1">
        <v>41.0</v>
      </c>
      <c r="B43" s="3" t="s">
        <v>44</v>
      </c>
      <c r="C43" s="3" t="str">
        <f>IFERROR(__xludf.DUMMYFUNCTION("GOOGLETRANSLATE(B43,""id"",""en"")"),"['Indihome', 'updet', 'enter', 'application', 'difficult', 'logi', 'enter', 'application', 'confused', 'application', 'indihome', '']")</f>
        <v>['Indihome', 'updet', 'enter', 'application', 'difficult', 'logi', 'enter', 'application', 'confused', 'application', 'indihome', '']</v>
      </c>
      <c r="D43" s="3">
        <v>1.0</v>
      </c>
    </row>
    <row r="44" ht="15.75" customHeight="1">
      <c r="A44" s="1">
        <v>42.0</v>
      </c>
      <c r="B44" s="3" t="s">
        <v>45</v>
      </c>
      <c r="C44" s="3" t="str">
        <f>IFERROR(__xludf.DUMMYFUNCTION("GOOGLETRANSLATE(B44,""id"",""en"")"),"['Leaders',' INDIHOME ',' HELP ',' Application ',' Application ',' Easy ',' Feature ',' Complete ',' Facilitates', 'Disruption', 'Service', 'Check', ' bill', '']")</f>
        <v>['Leaders',' INDIHOME ',' HELP ',' Application ',' Application ',' Easy ',' Feature ',' Complete ',' Facilitates', 'Disruption', 'Service', 'Check', ' bill', '']</v>
      </c>
      <c r="D44" s="3">
        <v>5.0</v>
      </c>
    </row>
    <row r="45" ht="15.75" customHeight="1">
      <c r="A45" s="1">
        <v>43.0</v>
      </c>
      <c r="B45" s="3" t="s">
        <v>46</v>
      </c>
      <c r="C45" s="3" t="str">
        <f>IFERROR(__xludf.DUMMYFUNCTION("GOOGLETRANSLATE(B45,""id"",""en"")"),"['', 'Indihome', 'smooth', 'connection', 'anti', 'slow', 'streming', 'Drakor', 'worry', 'ngadet', 'connection', 'WUS', 'WUS ',' Wuss', '']")</f>
        <v>['', 'Indihome', 'smooth', 'connection', 'anti', 'slow', 'streming', 'Drakor', 'worry', 'ngadet', 'connection', 'WUS', 'WUS ',' Wuss', '']</v>
      </c>
      <c r="D45" s="3">
        <v>5.0</v>
      </c>
    </row>
    <row r="46" ht="15.75" customHeight="1">
      <c r="A46" s="1">
        <v>44.0</v>
      </c>
      <c r="B46" s="3" t="s">
        <v>47</v>
      </c>
      <c r="C46" s="3" t="str">
        <f>IFERROR(__xludf.DUMMYFUNCTION("GOOGLETRANSLATE(B46,""id"",""en"")"),"['The application', 'good', 'handy', 'really', 'user', 'indihome', 'features',' interesting ',' diverse ',' package ',' internet ',' select ',' in accordance', '']")</f>
        <v>['The application', 'good', 'handy', 'really', 'user', 'indihome', 'features',' interesting ',' diverse ',' package ',' internet ',' select ',' in accordance', '']</v>
      </c>
      <c r="D46" s="3">
        <v>5.0</v>
      </c>
    </row>
    <row r="47" ht="15.75" customHeight="1">
      <c r="A47" s="1">
        <v>45.0</v>
      </c>
      <c r="B47" s="3" t="s">
        <v>48</v>
      </c>
      <c r="C47" s="3" t="str">
        <f>IFERROR(__xludf.DUMMYFUNCTION("GOOGLETRANSLATE(B47,""id"",""en"")"),"['The application', 'good', 'satisfied', 'really', 'APK', 'in it', 'promo']")</f>
        <v>['The application', 'good', 'satisfied', 'really', 'APK', 'in it', 'promo']</v>
      </c>
      <c r="D47" s="3">
        <v>5.0</v>
      </c>
    </row>
    <row r="48" ht="15.75" customHeight="1">
      <c r="A48" s="1">
        <v>46.0</v>
      </c>
      <c r="B48" s="3" t="s">
        <v>49</v>
      </c>
      <c r="C48" s="3" t="str">
        <f>IFERROR(__xludf.DUMMYFUNCTION("GOOGLETRANSLATE(B48,""id"",""en"")"),"['wifi', 'indihome', 'mandatory', 'really', 'download', 'application', 'indihome', 'karna', 'application', 'makes it easier', 'users',' application ',' Useful ',' internet ',' stable ']")</f>
        <v>['wifi', 'indihome', 'mandatory', 'really', 'download', 'application', 'indihome', 'karna', 'application', 'makes it easier', 'users',' application ',' Useful ',' internet ',' stable ']</v>
      </c>
      <c r="D48" s="3">
        <v>5.0</v>
      </c>
    </row>
    <row r="49" ht="15.75" customHeight="1">
      <c r="A49" s="1">
        <v>47.0</v>
      </c>
      <c r="B49" s="3" t="s">
        <v>50</v>
      </c>
      <c r="C49" s="3" t="str">
        <f>IFERROR(__xludf.DUMMYFUNCTION("GOOGLETRANSLATE(B49,""id"",""en"")"),"['Simple', 'APK', 'Pay', 'Bill', 'WiFi', 'Stay', 'Click', 'Voucher', 'Disruption', 'LGSG', 'ALREAS', 'APK', ' Steady ',' Indihome ',' ']")</f>
        <v>['Simple', 'APK', 'Pay', 'Bill', 'WiFi', 'Stay', 'Click', 'Voucher', 'Disruption', 'LGSG', 'ALREAS', 'APK', ' Steady ',' Indihome ',' ']</v>
      </c>
      <c r="D49" s="3">
        <v>5.0</v>
      </c>
    </row>
    <row r="50" ht="15.75" customHeight="1">
      <c r="A50" s="1">
        <v>48.0</v>
      </c>
      <c r="B50" s="3" t="s">
        <v>51</v>
      </c>
      <c r="C50" s="3" t="str">
        <f>IFERROR(__xludf.DUMMYFUNCTION("GOOGLETRANSLATE(B50,""id"",""en"")"),"['Feature', 'application', 'help', 'really', 'complaints', 'indihome', 'home', 'yeay', 'surfing', 'comfortable']")</f>
        <v>['Feature', 'application', 'help', 'really', 'complaints', 'indihome', 'home', 'yeay', 'surfing', 'comfortable']</v>
      </c>
      <c r="D50" s="3">
        <v>5.0</v>
      </c>
    </row>
    <row r="51" ht="15.75" customHeight="1">
      <c r="A51" s="1">
        <v>49.0</v>
      </c>
      <c r="B51" s="3" t="s">
        <v>52</v>
      </c>
      <c r="C51" s="3" t="str">
        <f>IFERROR(__xludf.DUMMYFUNCTION("GOOGLETRANSLATE(B51,""id"",""en"")"),"['application', 'makes it easy', 'complicated', 'pairs',' wifi ',' obstacles', 'stay', 'promise', 'application', 'delicious',' promotion ',' bonus', ' ']")</f>
        <v>['application', 'makes it easy', 'complicated', 'pairs',' wifi ',' obstacles', 'stay', 'promise', 'application', 'delicious',' promotion ',' bonus', ' ']</v>
      </c>
      <c r="D51" s="3">
        <v>5.0</v>
      </c>
    </row>
    <row r="52" ht="15.75" customHeight="1">
      <c r="A52" s="1">
        <v>50.0</v>
      </c>
      <c r="B52" s="3" t="s">
        <v>53</v>
      </c>
      <c r="C52" s="3" t="str">
        <f>IFERROR(__xludf.DUMMYFUNCTION("GOOGLETRANSLATE(B52,""id"",""en"")"),"['APK', 'makes it easy', 'pay', 'bill', 'see', 'date', 'complain', 'cs', 'obstacle', 'network', 'help', 'deh']")</f>
        <v>['APK', 'makes it easy', 'pay', 'bill', 'see', 'date', 'complain', 'cs', 'obstacle', 'network', 'help', 'deh']</v>
      </c>
      <c r="D52" s="3">
        <v>5.0</v>
      </c>
    </row>
    <row r="53" ht="15.75" customHeight="1">
      <c r="A53" s="1">
        <v>51.0</v>
      </c>
      <c r="B53" s="3" t="s">
        <v>54</v>
      </c>
      <c r="C53" s="3" t="str">
        <f>IFERROR(__xludf.DUMMYFUNCTION("GOOGLETRANSLATE(B53,""id"",""en"")"),"['Good', 'kluar', 'pay', 'bill', 'enhanced', 'min']")</f>
        <v>['Good', 'kluar', 'pay', 'bill', 'enhanced', 'min']</v>
      </c>
      <c r="D53" s="3">
        <v>5.0</v>
      </c>
    </row>
    <row r="54" ht="15.75" customHeight="1">
      <c r="A54" s="1">
        <v>52.0</v>
      </c>
      <c r="B54" s="3" t="s">
        <v>55</v>
      </c>
      <c r="C54" s="3" t="str">
        <f>IFERROR(__xludf.DUMMYFUNCTION("GOOGLETRANSLATE(B54,""id"",""en"")"),"['Good', 'era', 'digital', 'needs', 'internet', 'stable', 'bravo', 'indihome', 'good', 'job', '']")</f>
        <v>['Good', 'era', 'digital', 'needs', 'internet', 'stable', 'bravo', 'indihome', 'good', 'job', '']</v>
      </c>
      <c r="D54" s="3">
        <v>5.0</v>
      </c>
    </row>
    <row r="55" ht="15.75" customHeight="1">
      <c r="A55" s="1">
        <v>53.0</v>
      </c>
      <c r="B55" s="3" t="s">
        <v>56</v>
      </c>
      <c r="C55" s="3" t="str">
        <f>IFERROR(__xludf.DUMMYFUNCTION("GOOGLETRANSLATE(B55,""id"",""en"")"),"['application', 'hihihi', 'offer', 'promo', 'interesting', 'good', 'job', 'application', 'petrified', ""]")</f>
        <v>['application', 'hihihi', 'offer', 'promo', 'interesting', 'good', 'job', 'application', 'petrified', "]</v>
      </c>
      <c r="D55" s="3">
        <v>5.0</v>
      </c>
    </row>
    <row r="56" ht="15.75" customHeight="1">
      <c r="A56" s="1">
        <v>54.0</v>
      </c>
      <c r="B56" s="3" t="s">
        <v>57</v>
      </c>
      <c r="C56" s="3" t="str">
        <f>IFERROR(__xludf.DUMMYFUNCTION("GOOGLETRANSLATE(B56,""id"",""en"")"),"['application', 'Help', 'really', 'service', 'friendly', 'fast', 'response', 'ngaduiin', 'sure', 'okay', 'really', 'deh', ' Use ',' Indihome ']")</f>
        <v>['application', 'Help', 'really', 'service', 'friendly', 'fast', 'response', 'ngaduiin', 'sure', 'okay', 'really', 'deh', ' Use ',' Indihome ']</v>
      </c>
      <c r="D56" s="3">
        <v>5.0</v>
      </c>
    </row>
    <row r="57" ht="15.75" customHeight="1">
      <c r="A57" s="1">
        <v>56.0</v>
      </c>
      <c r="B57" s="3" t="s">
        <v>58</v>
      </c>
      <c r="C57" s="3" t="str">
        <f>IFERROR(__xludf.DUMMYFUNCTION("GOOGLETRANSLATE(B57,""id"",""en"")"),"['Help', 'Application', 'Indihome']")</f>
        <v>['Help', 'Application', 'Indihome']</v>
      </c>
      <c r="D57" s="3">
        <v>5.0</v>
      </c>
    </row>
    <row r="58" ht="15.75" customHeight="1">
      <c r="A58" s="1">
        <v>57.0</v>
      </c>
      <c r="B58" s="3" t="s">
        <v>59</v>
      </c>
      <c r="C58" s="3" t="str">
        <f>IFERROR(__xludf.DUMMYFUNCTION("GOOGLETRANSLATE(B58,""id"",""en"")"),"['Application', 'Bgus', 'really', 'Melibih', 'Facilitates', 'War', 'Wifian', 'Suksek', 'Myindihome']")</f>
        <v>['Application', 'Bgus', 'really', 'Melibih', 'Facilitates', 'War', 'Wifian', 'Suksek', 'Myindihome']</v>
      </c>
      <c r="D58" s="3">
        <v>5.0</v>
      </c>
    </row>
    <row r="59" ht="15.75" customHeight="1">
      <c r="A59" s="1">
        <v>58.0</v>
      </c>
      <c r="B59" s="3" t="s">
        <v>60</v>
      </c>
      <c r="C59" s="3" t="str">
        <f>IFERROR(__xludf.DUMMYFUNCTION("GOOGLETRANSLATE(B59,""id"",""en"")"),"['APK', 'Myindihome', 'making easier', 'buy', 'package', 'subscribe', 'internet', 'use it', 'simple', 'really', 'features',' good ',' Easy ',' really ',' Dipahami ',' ']")</f>
        <v>['APK', 'Myindihome', 'making easier', 'buy', 'package', 'subscribe', 'internet', 'use it', 'simple', 'really', 'features',' good ',' Easy ',' really ',' Dipahami ',' ']</v>
      </c>
      <c r="D59" s="3">
        <v>5.0</v>
      </c>
    </row>
    <row r="60" ht="15.75" customHeight="1">
      <c r="A60" s="1">
        <v>59.0</v>
      </c>
      <c r="B60" s="3" t="s">
        <v>61</v>
      </c>
      <c r="C60" s="3" t="str">
        <f>IFERROR(__xludf.DUMMYFUNCTION("GOOGLETRANSLATE(B60,""id"",""en"")"),"['Network', 'Not bad', 'stable', 'smooth', 'Jaya', 'expected', 'price', 'quota', 'quota', 'tsel', 'expensive', 'expensive', ' Min ',' buy ',' active ',' card ',' expensive ',' expensive ',' love ',' star ',' deh ',' spirit ']")</f>
        <v>['Network', 'Not bad', 'stable', 'smooth', 'Jaya', 'expected', 'price', 'quota', 'quota', 'tsel', 'expensive', 'expensive', ' Min ',' buy ',' active ',' card ',' expensive ',' expensive ',' love ',' star ',' deh ',' spirit ']</v>
      </c>
      <c r="D60" s="3">
        <v>5.0</v>
      </c>
    </row>
    <row r="61" ht="15.75" customHeight="1">
      <c r="A61" s="1">
        <v>60.0</v>
      </c>
      <c r="B61" s="3" t="s">
        <v>62</v>
      </c>
      <c r="C61" s="3" t="str">
        <f>IFERROR(__xludf.DUMMYFUNCTION("GOOGLETRANSLATE(B61,""id"",""en"")"),"['Facilitates', 'Tracking', 'Problem']")</f>
        <v>['Facilitates', 'Tracking', 'Problem']</v>
      </c>
      <c r="D61" s="3">
        <v>5.0</v>
      </c>
    </row>
    <row r="62" ht="15.75" customHeight="1">
      <c r="A62" s="1">
        <v>61.0</v>
      </c>
      <c r="B62" s="3" t="s">
        <v>63</v>
      </c>
      <c r="C62" s="3" t="str">
        <f>IFERROR(__xludf.DUMMYFUNCTION("GOOGLETRANSLATE(B62,""id"",""en"")"),"['Help', 'Where', 'miss', 'info', 'help', 'child', 'Ngejin', 'task', ""]")</f>
        <v>['Help', 'Where', 'miss', 'info', 'help', 'child', 'Ngejin', 'task', "]</v>
      </c>
      <c r="D62" s="3">
        <v>5.0</v>
      </c>
    </row>
    <row r="63" ht="15.75" customHeight="1">
      <c r="A63" s="1">
        <v>62.0</v>
      </c>
      <c r="B63" s="3" t="s">
        <v>64</v>
      </c>
      <c r="C63" s="3" t="str">
        <f>IFERROR(__xludf.DUMMYFUNCTION("GOOGLETRANSLATE(B63,""id"",""en"")"),"['My APK', 'Good', 'Gada', 'GGanjel', 'Already', 'Make', 'Check', 'Bill', 'Oklah', 'Hurry', 'Cobain']")</f>
        <v>['My APK', 'Good', 'Gada', 'GGanjel', 'Already', 'Make', 'Check', 'Bill', 'Oklah', 'Hurry', 'Cobain']</v>
      </c>
      <c r="D63" s="3">
        <v>5.0</v>
      </c>
    </row>
    <row r="64" ht="15.75" customHeight="1">
      <c r="A64" s="1">
        <v>63.0</v>
      </c>
      <c r="B64" s="3" t="s">
        <v>65</v>
      </c>
      <c r="C64" s="3" t="str">
        <f>IFERROR(__xludf.DUMMYFUNCTION("GOOGLETRANSLATE(B64,""id"",""en"")"),"['Application', 'practical', 'pay', 'bill', 'wifi', 'bother', 'office']")</f>
        <v>['Application', 'practical', 'pay', 'bill', 'wifi', 'bother', 'office']</v>
      </c>
      <c r="D64" s="3">
        <v>5.0</v>
      </c>
    </row>
    <row r="65" ht="15.75" customHeight="1">
      <c r="A65" s="1">
        <v>64.0</v>
      </c>
      <c r="B65" s="3" t="s">
        <v>66</v>
      </c>
      <c r="C65" s="3" t="str">
        <f>IFERROR(__xludf.DUMMYFUNCTION("GOOGLETRANSLATE(B65,""id"",""en"")"),"['Application', 'Myindihome', 'Help', 'Very', 'Monitor', 'Bill', 'Purchase', 'Activity', 'Service', 'Easy', 'Application', 'Have', ' Interface ',' interesting ',' features', 'complete', 'happy', 'application', 'promo', 'point', 'exchanged', 'merchant', """&amp;"]")</f>
        <v>['Application', 'Myindihome', 'Help', 'Very', 'Monitor', 'Bill', 'Purchase', 'Activity', 'Service', 'Easy', 'Application', 'Have', ' Interface ',' interesting ',' features', 'complete', 'happy', 'application', 'promo', 'point', 'exchanged', 'merchant', "]</v>
      </c>
      <c r="D65" s="3">
        <v>5.0</v>
      </c>
    </row>
    <row r="66" ht="15.75" customHeight="1">
      <c r="A66" s="1">
        <v>65.0</v>
      </c>
      <c r="B66" s="3" t="s">
        <v>67</v>
      </c>
      <c r="C66" s="3" t="str">
        <f>IFERROR(__xludf.DUMMYFUNCTION("GOOGLETRANSLATE(B66,""id"",""en"")"),"['application', 'useful', 'check', 'bill', 'buy', 'package', 'subscribe', 'internet', 'obstacle', 'menu', 'help', 'direct', ' Recommendations', 'application', 'deh', 'easy', 'simple', 'use', '']")</f>
        <v>['application', 'useful', 'check', 'bill', 'buy', 'package', 'subscribe', 'internet', 'obstacle', 'menu', 'help', 'direct', ' Recommendations', 'application', 'deh', 'easy', 'simple', 'use', '']</v>
      </c>
      <c r="D66" s="3">
        <v>5.0</v>
      </c>
    </row>
    <row r="67" ht="15.75" customHeight="1">
      <c r="A67" s="1">
        <v>66.0</v>
      </c>
      <c r="B67" s="3" t="s">
        <v>68</v>
      </c>
      <c r="C67" s="3" t="str">
        <f>IFERROR(__xludf.DUMMYFUNCTION("GOOGLETRANSLATE(B67,""id"",""en"")"),"['Benified', 'really', 'application', 'myindihome', 'see', 'bill', 'purchase', 'search', 'entertainment', 'education', 'steady', 'soul', ' Success', 'Indihome']")</f>
        <v>['Benified', 'really', 'application', 'myindihome', 'see', 'bill', 'purchase', 'search', 'entertainment', 'education', 'steady', 'soul', ' Success', 'Indihome']</v>
      </c>
      <c r="D67" s="3">
        <v>5.0</v>
      </c>
    </row>
    <row r="68" ht="15.75" customHeight="1">
      <c r="A68" s="1">
        <v>67.0</v>
      </c>
      <c r="B68" s="3" t="s">
        <v>69</v>
      </c>
      <c r="C68" s="3" t="str">
        <f>IFERROR(__xludf.DUMMYFUNCTION("GOOGLETRANSLATE(B68,""id"",""en"")"),"['application', 'update', 'slow', 'Ngeh', 'check', 'history', 'transaction', 'additional', 'cost', 'telephone', 'join', 'package', ' Internet ',' Telefon ',' Telfon ',' Use ',' Yesterday ',' Telfon ',' Local ',' See ',' Package ',' Use ']")</f>
        <v>['application', 'update', 'slow', 'Ngeh', 'check', 'history', 'transaction', 'additional', 'cost', 'telephone', 'join', 'package', ' Internet ',' Telefon ',' Telfon ',' Use ',' Yesterday ',' Telfon ',' Local ',' See ',' Package ',' Use ']</v>
      </c>
      <c r="D68" s="3">
        <v>2.0</v>
      </c>
    </row>
    <row r="69" ht="15.75" customHeight="1">
      <c r="A69" s="1">
        <v>68.0</v>
      </c>
      <c r="B69" s="3" t="s">
        <v>70</v>
      </c>
      <c r="C69" s="3" t="str">
        <f>IFERROR(__xludf.DUMMYFUNCTION("GOOGLETRANSLATE(B69,""id"",""en"")"),"['Application', 'Myindihome', 'Easy', 'Comfortable', 'Where', 'Features',' Application ',' Easy ',' Understand ',' Voucher ',' Lohh ',' Yuk ',' Hurry up ',' Download ']")</f>
        <v>['Application', 'Myindihome', 'Easy', 'Comfortable', 'Where', 'Features',' Application ',' Easy ',' Understand ',' Voucher ',' Lohh ',' Yuk ',' Hurry up ',' Download ']</v>
      </c>
      <c r="D69" s="3">
        <v>5.0</v>
      </c>
    </row>
    <row r="70" ht="15.75" customHeight="1">
      <c r="A70" s="1">
        <v>69.0</v>
      </c>
      <c r="B70" s="3" t="s">
        <v>71</v>
      </c>
      <c r="C70" s="3" t="str">
        <f>IFERROR(__xludf.DUMMYFUNCTION("GOOGLETRANSLATE(B70,""id"",""en"")"),"['application', 'no', 'useful', 'slow', 'response', 'report', 'disruption', 'difficult', 'told', 'restart', 'modem', 'just', ' Customer ',' CARE ',' CARE ',' ']")</f>
        <v>['application', 'no', 'useful', 'slow', 'response', 'report', 'disruption', 'difficult', 'told', 'restart', 'modem', 'just', ' Customer ',' CARE ',' CARE ',' ']</v>
      </c>
      <c r="D70" s="3">
        <v>1.0</v>
      </c>
    </row>
    <row r="71" ht="15.75" customHeight="1">
      <c r="A71" s="1">
        <v>70.0</v>
      </c>
      <c r="B71" s="3" t="s">
        <v>72</v>
      </c>
      <c r="C71" s="3" t="str">
        <f>IFERROR(__xludf.DUMMYFUNCTION("GOOGLETRANSLATE(B71,""id"",""en"")"),"['update', 'application', 'rich', 'pulp', 'loading', 'oldaaa', 'BUMN', 'application', 'rich', 'features',' help ',' bad ',' Complaints', 'in the future', 'scheduled', 'technicians',' ampasss']")</f>
        <v>['update', 'application', 'rich', 'pulp', 'loading', 'oldaaa', 'BUMN', 'application', 'rich', 'features',' help ',' bad ',' Complaints', 'in the future', 'scheduled', 'technicians',' ampasss']</v>
      </c>
      <c r="D71" s="3">
        <v>1.0</v>
      </c>
    </row>
    <row r="72" ht="15.75" customHeight="1">
      <c r="A72" s="1">
        <v>71.0</v>
      </c>
      <c r="B72" s="3" t="s">
        <v>73</v>
      </c>
      <c r="C72" s="3" t="str">
        <f>IFERROR(__xludf.DUMMYFUNCTION("GOOGLETRANSLATE(B72,""id"",""en"")"),"['comment', 'deleted', 'in fact', 'subscription', 'indihome', 'complicated', ""]")</f>
        <v>['comment', 'deleted', 'in fact', 'subscription', 'indihome', 'complicated', "]</v>
      </c>
      <c r="D72" s="3">
        <v>1.0</v>
      </c>
    </row>
    <row r="73" ht="15.75" customHeight="1">
      <c r="A73" s="1">
        <v>72.0</v>
      </c>
      <c r="B73" s="3" t="s">
        <v>74</v>
      </c>
      <c r="C73" s="3" t="str">
        <f>IFERROR(__xludf.DUMMYFUNCTION("GOOGLETRANSLATE(B73,""id"",""en"")"),"['', 'Indihome', 'Help', 'at the same time', 'child', 'child', 'learn', 'online', 'thank', 'love', 'indihome', ""]")</f>
        <v>['', 'Indihome', 'Help', 'at the same time', 'child', 'child', 'learn', 'online', 'thank', 'love', 'indihome', "]</v>
      </c>
      <c r="D73" s="3">
        <v>5.0</v>
      </c>
    </row>
    <row r="74" ht="15.75" customHeight="1">
      <c r="A74" s="1">
        <v>73.0</v>
      </c>
      <c r="B74" s="3" t="s">
        <v>75</v>
      </c>
      <c r="C74" s="3" t="str">
        <f>IFERROR(__xludf.DUMMYFUNCTION("GOOGLETRANSLATE(B74,""id"",""en"")"),"['Login', 'Difficult', 'Confide', 'Indihome', 'Difficult', 'Forced', 'Curhat', 'Use', 'YouTube', 'Loding', 'Mulu', 'Current', ' Loding ',' Current ',' Loding ',' Bawarbalik ',' GTU ',' ']")</f>
        <v>['Login', 'Difficult', 'Confide', 'Indihome', 'Difficult', 'Forced', 'Curhat', 'Use', 'YouTube', 'Loding', 'Mulu', 'Current', ' Loding ',' Current ',' Loding ',' Bawarbalik ',' GTU ',' ']</v>
      </c>
      <c r="D74" s="3">
        <v>1.0</v>
      </c>
    </row>
    <row r="75" ht="15.75" customHeight="1">
      <c r="A75" s="1">
        <v>74.0</v>
      </c>
      <c r="B75" s="3" t="s">
        <v>76</v>
      </c>
      <c r="C75" s="3" t="str">
        <f>IFERROR(__xludf.DUMMYFUNCTION("GOOGLETRANSLATE(B75,""id"",""en"")"),"['Knp', 'Login', 'Posts', 'Please', 'Try', 'Dlm', 'Clock', 'Set', 'Reset', 'Password', ""]")</f>
        <v>['Knp', 'Login', 'Posts', 'Please', 'Try', 'Dlm', 'Clock', 'Set', 'Reset', 'Password', "]</v>
      </c>
      <c r="D75" s="3">
        <v>1.0</v>
      </c>
    </row>
    <row r="76" ht="15.75" customHeight="1">
      <c r="A76" s="1">
        <v>75.0</v>
      </c>
      <c r="B76" s="3" t="s">
        <v>77</v>
      </c>
      <c r="C76" s="3" t="str">
        <f>IFERROR(__xludf.DUMMYFUNCTION("GOOGLETRANSLATE(B76,""id"",""en"")"),"['Update', 'Truzz', 'Tetep', 'Login', '']")</f>
        <v>['Update', 'Truzz', 'Tetep', 'Login', '']</v>
      </c>
      <c r="D76" s="3">
        <v>1.0</v>
      </c>
    </row>
    <row r="77" ht="15.75" customHeight="1">
      <c r="A77" s="1">
        <v>76.0</v>
      </c>
      <c r="B77" s="3" t="s">
        <v>78</v>
      </c>
      <c r="C77" s="3" t="str">
        <f>IFERROR(__xludf.DUMMYFUNCTION("GOOGLETRANSLATE(B77,""id"",""en"")"),"['', 'Upgrade', 'NOT', 'Nambah', 'Good', 'Bad', 'Fix', '']")</f>
        <v>['', 'Upgrade', 'NOT', 'Nambah', 'Good', 'Bad', 'Fix', '']</v>
      </c>
      <c r="D77" s="3">
        <v>1.0</v>
      </c>
    </row>
    <row r="78" ht="15.75" customHeight="1">
      <c r="A78" s="1">
        <v>77.0</v>
      </c>
      <c r="B78" s="3" t="s">
        <v>79</v>
      </c>
      <c r="C78" s="3" t="str">
        <f>IFERROR(__xludf.DUMMYFUNCTION("GOOGLETRANSLATE(B78,""id"",""en"")"),"['Login', 'Error', 'Internet', 'Lemot', 'Want', 'Apasih', ""]")</f>
        <v>['Login', 'Error', 'Internet', 'Lemot', 'Want', 'Apasih', "]</v>
      </c>
      <c r="D78" s="3">
        <v>1.0</v>
      </c>
    </row>
    <row r="79" ht="15.75" customHeight="1">
      <c r="A79" s="1">
        <v>78.0</v>
      </c>
      <c r="B79" s="3" t="s">
        <v>80</v>
      </c>
      <c r="C79" s="3" t="str">
        <f>IFERROR(__xludf.DUMMYFUNCTION("GOOGLETRANSLATE(B79,""id"",""en"")"),"['Grade', 'Point', 'Lost', 'Woiii', 'Indihome', 'Application', 'Really', 'spanning', 'Developer', 'Abal', 'Abal', 'expanded', ' bother ',' difficult ',' opened ',' list ',' reset ',' password ',' times', 'find', 'application', 'useless',' jengkelin ',' op"&amp;"posite ',' point me ' , 'wooIIII', '']")</f>
        <v>['Grade', 'Point', 'Lost', 'Woiii', 'Indihome', 'Application', 'Really', 'spanning', 'Developer', 'Abal', 'Abal', 'expanded', ' bother ',' difficult ',' opened ',' list ',' reset ',' password ',' times', 'find', 'application', 'useless',' jengkelin ',' opposite ',' point me ' , 'wooIIII', '']</v>
      </c>
      <c r="D79" s="3">
        <v>1.0</v>
      </c>
    </row>
    <row r="80" ht="15.75" customHeight="1">
      <c r="A80" s="1">
        <v>79.0</v>
      </c>
      <c r="B80" s="3" t="s">
        <v>81</v>
      </c>
      <c r="C80" s="3" t="str">
        <f>IFERROR(__xludf.DUMMYFUNCTION("GOOGLETRANSLATE(B80,""id"",""en"")"),"['APK', 'used', '']")</f>
        <v>['APK', 'used', '']</v>
      </c>
      <c r="D80" s="3">
        <v>1.0</v>
      </c>
    </row>
    <row r="81" ht="15.75" customHeight="1">
      <c r="A81" s="1">
        <v>80.0</v>
      </c>
      <c r="B81" s="3" t="s">
        <v>39</v>
      </c>
      <c r="C81" s="3" t="str">
        <f>IFERROR(__xludf.DUMMYFUNCTION("GOOGLETRANSLATE(B81,""id"",""en"")"),"['Application', 'slow']")</f>
        <v>['Application', 'slow']</v>
      </c>
      <c r="D81" s="3">
        <v>1.0</v>
      </c>
    </row>
    <row r="82" ht="15.75" customHeight="1">
      <c r="A82" s="1">
        <v>81.0</v>
      </c>
      <c r="B82" s="3" t="s">
        <v>82</v>
      </c>
      <c r="C82" s="3" t="str">
        <f>IFERROR(__xludf.DUMMYFUNCTION("GOOGLETRANSLATE(B82,""id"",""en"")"),"['application', 'broken', 'packetiba', 'kluar', 'sndri', 'pdhal', 'reinstall']")</f>
        <v>['application', 'broken', 'packetiba', 'kluar', 'sndri', 'pdhal', 'reinstall']</v>
      </c>
      <c r="D82" s="3">
        <v>1.0</v>
      </c>
    </row>
    <row r="83" ht="15.75" customHeight="1">
      <c r="A83" s="1">
        <v>82.0</v>
      </c>
      <c r="B83" s="3" t="s">
        <v>83</v>
      </c>
      <c r="C83" s="3" t="str">
        <f>IFERROR(__xludf.DUMMYFUNCTION("GOOGLETRANSLATE(B83,""id"",""en"")"),"['Come on', 'company', 'cook', 'application', 'slow', 'shy', 'competitor', 'UDH', 'Bgus',' version ',' Lma ',' MLH ',' Change ']")</f>
        <v>['Come on', 'company', 'cook', 'application', 'slow', 'shy', 'competitor', 'UDH', 'Bgus',' version ',' Lma ',' MLH ',' Change ']</v>
      </c>
      <c r="D83" s="3">
        <v>1.0</v>
      </c>
    </row>
    <row r="84" ht="15.75" customHeight="1">
      <c r="A84" s="1">
        <v>83.0</v>
      </c>
      <c r="B84" s="3" t="s">
        <v>84</v>
      </c>
      <c r="C84" s="3" t="str">
        <f>IFERROR(__xludf.DUMMYFUNCTION("GOOGLETRANSLATE(B84,""id"",""en"")"),"['Good', 'APK', 'Ribet', 'Open', 'The Website', 'Stay', 'Click', 'Click', 'Buy', 'Package', 'Direct', 'Simple', ' easy to understand', '']")</f>
        <v>['Good', 'APK', 'Ribet', 'Open', 'The Website', 'Stay', 'Click', 'Click', 'Buy', 'Package', 'Direct', 'Simple', ' easy to understand', '']</v>
      </c>
      <c r="D84" s="3">
        <v>5.0</v>
      </c>
    </row>
    <row r="85" ht="15.75" customHeight="1">
      <c r="A85" s="1">
        <v>84.0</v>
      </c>
      <c r="B85" s="3" t="s">
        <v>85</v>
      </c>
      <c r="C85" s="3" t="str">
        <f>IFERROR(__xludf.DUMMYFUNCTION("GOOGLETRANSLATE(B85,""id"",""en"")"),"['Please', 'Report', 'Responded', 'Disruption', 'Technician', 'Caskek', 'Salamm']")</f>
        <v>['Please', 'Report', 'Responded', 'Disruption', 'Technician', 'Caskek', 'Salamm']</v>
      </c>
      <c r="D85" s="3">
        <v>2.0</v>
      </c>
    </row>
    <row r="86" ht="15.75" customHeight="1">
      <c r="A86" s="1">
        <v>85.0</v>
      </c>
      <c r="B86" s="3" t="s">
        <v>86</v>
      </c>
      <c r="C86" s="3" t="str">
        <f>IFERROR(__xludf.DUMMYFUNCTION("GOOGLETRANSLATE(B86,""id"",""en"")"),"['Points', 'missing', 'skrg', 'exchange', 'Points', 'Karna', 'update']")</f>
        <v>['Points', 'missing', 'skrg', 'exchange', 'Points', 'Karna', 'update']</v>
      </c>
      <c r="D86" s="3">
        <v>1.0</v>
      </c>
    </row>
    <row r="87" ht="15.75" customHeight="1">
      <c r="A87" s="1">
        <v>86.0</v>
      </c>
      <c r="B87" s="3" t="s">
        <v>87</v>
      </c>
      <c r="C87" s="3" t="str">
        <f>IFERROR(__xludf.DUMMYFUNCTION("GOOGLETRANSLATE(B87,""id"",""en"")"),"['strange', 'subscribe', 'difficult', 'notif', 'repair']")</f>
        <v>['strange', 'subscribe', 'difficult', 'notif', 'repair']</v>
      </c>
      <c r="D87" s="3">
        <v>1.0</v>
      </c>
    </row>
    <row r="88" ht="15.75" customHeight="1">
      <c r="A88" s="1">
        <v>87.0</v>
      </c>
      <c r="B88" s="3" t="s">
        <v>88</v>
      </c>
      <c r="C88" s="3" t="str">
        <f>IFERROR(__xludf.DUMMYFUNCTION("GOOGLETRANSLATE(B88,""id"",""en"")"),"['Gara', 'Gara', 'update', 'gabisa', 'login', 'forget', 'account', 'login', 'reset', 'try', 'already', ' WiFi ',' slow ',' auto ',' change ',' troubling ']")</f>
        <v>['Gara', 'Gara', 'update', 'gabisa', 'login', 'forget', 'account', 'login', 'reset', 'try', 'already', ' WiFi ',' slow ',' auto ',' change ',' troubling ']</v>
      </c>
      <c r="D88" s="3">
        <v>1.0</v>
      </c>
    </row>
    <row r="89" ht="15.75" customHeight="1">
      <c r="A89" s="1">
        <v>88.0</v>
      </c>
      <c r="B89" s="3" t="s">
        <v>89</v>
      </c>
      <c r="C89" s="3" t="str">
        <f>IFERROR(__xludf.DUMMYFUNCTION("GOOGLETRANSLATE(B89,""id"",""en"")"),"['chaotic', 'right', 'already', 'good', 'application', 'disorder', 'smooth', 'expandable', 'version', 'slow', 'submit', 'complaint', ' Slow ',' gini ']")</f>
        <v>['chaotic', 'right', 'already', 'good', 'application', 'disorder', 'smooth', 'expandable', 'version', 'slow', 'submit', 'complaint', ' Slow ',' gini ']</v>
      </c>
      <c r="D89" s="3">
        <v>1.0</v>
      </c>
    </row>
    <row r="90" ht="15.75" customHeight="1">
      <c r="A90" s="1">
        <v>89.0</v>
      </c>
      <c r="B90" s="3" t="s">
        <v>90</v>
      </c>
      <c r="C90" s="3" t="str">
        <f>IFERROR(__xludf.DUMMYFUNCTION("GOOGLETRANSLATE(B90,""id"",""en"")"),"['apk', 'berissans', '']")</f>
        <v>['apk', 'berissans', '']</v>
      </c>
      <c r="D90" s="3">
        <v>1.0</v>
      </c>
    </row>
    <row r="91" ht="15.75" customHeight="1">
      <c r="A91" s="1">
        <v>90.0</v>
      </c>
      <c r="B91" s="3" t="s">
        <v>91</v>
      </c>
      <c r="C91" s="3" t="str">
        <f>IFERROR(__xludf.DUMMYFUNCTION("GOOGLETRANSLATE(B91,""id"",""en"")"),"['Love', 'Application', 'Difficult', 'Report', 'Disruption', 'Meeting', 'Ruwet', 'Easy', 'Report', 'Disorders', 'Star']")</f>
        <v>['Love', 'Application', 'Difficult', 'Report', 'Disruption', 'Meeting', 'Ruwet', 'Easy', 'Report', 'Disorders', 'Star']</v>
      </c>
      <c r="D91" s="3">
        <v>1.0</v>
      </c>
    </row>
    <row r="92" ht="15.75" customHeight="1">
      <c r="A92" s="1">
        <v>91.0</v>
      </c>
      <c r="B92" s="3" t="s">
        <v>92</v>
      </c>
      <c r="C92" s="3" t="str">
        <f>IFERROR(__xludf.DUMMYFUNCTION("GOOGLETRANSLATE(B92,""id"",""en"")"),"['Useful', 'Application', 'and', 'Easy', 'Use']")</f>
        <v>['Useful', 'Application', 'and', 'Easy', 'Use']</v>
      </c>
      <c r="D92" s="3">
        <v>5.0</v>
      </c>
    </row>
    <row r="93" ht="15.75" customHeight="1">
      <c r="A93" s="1">
        <v>92.0</v>
      </c>
      <c r="B93" s="3" t="s">
        <v>93</v>
      </c>
      <c r="C93" s="3" t="str">
        <f>IFERROR(__xludf.DUMMYFUNCTION("GOOGLETRANSLATE(B93,""id"",""en"")"),"['version', 'newest', 'error']")</f>
        <v>['version', 'newest', 'error']</v>
      </c>
      <c r="D93" s="3">
        <v>1.0</v>
      </c>
    </row>
    <row r="94" ht="15.75" customHeight="1">
      <c r="A94" s="1">
        <v>93.0</v>
      </c>
      <c r="B94" s="3" t="s">
        <v>94</v>
      </c>
      <c r="C94" s="3" t="str">
        <f>IFERROR(__xludf.DUMMYFUNCTION("GOOGLETRANSLATE(B94,""id"",""en"")"),"['Satisfied', 'Indihome', 'Brand', 'Trusted', 'Good']")</f>
        <v>['Satisfied', 'Indihome', 'Brand', 'Trusted', 'Good']</v>
      </c>
      <c r="D94" s="3">
        <v>5.0</v>
      </c>
    </row>
    <row r="95" ht="15.75" customHeight="1">
      <c r="A95" s="1">
        <v>94.0</v>
      </c>
      <c r="B95" s="3" t="s">
        <v>95</v>
      </c>
      <c r="C95" s="3" t="str">
        <f>IFERROR(__xludf.DUMMYFUNCTION("GOOGLETRANSLATE(B95,""id"",""en"")"),"['Please', 'Sorry', 'Suggestion', 'Release', 'Update', 'Please', 'Tested', 'Try', 'Android', 'Compatible', 'Samsung', 'Lemot', ' The application ',' moved ',' iOS ',' smooth ',' please ',' Professional ']")</f>
        <v>['Please', 'Sorry', 'Suggestion', 'Release', 'Update', 'Please', 'Tested', 'Try', 'Android', 'Compatible', 'Samsung', 'Lemot', ' The application ',' moved ',' iOS ',' smooth ',' please ',' Professional ']</v>
      </c>
      <c r="D95" s="3">
        <v>2.0</v>
      </c>
    </row>
    <row r="96" ht="15.75" customHeight="1">
      <c r="A96" s="1">
        <v>95.0</v>
      </c>
      <c r="B96" s="3" t="s">
        <v>96</v>
      </c>
      <c r="C96" s="3" t="str">
        <f>IFERROR(__xludf.DUMMYFUNCTION("GOOGLETRANSLATE(B96,""id"",""en"")"),"['application', 'most', 'bug', 'opened', 'report', 'indihome', '']")</f>
        <v>['application', 'most', 'bug', 'opened', 'report', 'indihome', '']</v>
      </c>
      <c r="D96" s="3">
        <v>1.0</v>
      </c>
    </row>
    <row r="97" ht="15.75" customHeight="1">
      <c r="A97" s="1">
        <v>96.0</v>
      </c>
      <c r="B97" s="3" t="s">
        <v>97</v>
      </c>
      <c r="C97" s="3" t="str">
        <f>IFERROR(__xludf.DUMMYFUNCTION("GOOGLETRANSLATE(B97,""id"",""en"")"),"['Indihome', 'Service', 'Provider', 'Local', 'Have', 'Choice', 'Internet', 'Catchplay', 'Indihome', 'Study', 'Benefit', 'Voucher', ' Games']")</f>
        <v>['Indihome', 'Service', 'Provider', 'Local', 'Have', 'Choice', 'Internet', 'Catchplay', 'Indihome', 'Study', 'Benefit', 'Voucher', ' Games']</v>
      </c>
      <c r="D97" s="3">
        <v>5.0</v>
      </c>
    </row>
    <row r="98" ht="15.75" customHeight="1">
      <c r="A98" s="1">
        <v>97.0</v>
      </c>
      <c r="B98" s="3" t="s">
        <v>98</v>
      </c>
      <c r="C98" s="3" t="str">
        <f>IFERROR(__xludf.DUMMYFUNCTION("GOOGLETRANSLATE(B98,""id"",""en"")"),"['APK', 'version', 'bad', 'loding', 'really', 'update']")</f>
        <v>['APK', 'version', 'bad', 'loding', 'really', 'update']</v>
      </c>
      <c r="D98" s="3">
        <v>1.0</v>
      </c>
    </row>
    <row r="99" ht="15.75" customHeight="1">
      <c r="A99" s="1">
        <v>98.0</v>
      </c>
      <c r="B99" s="3" t="s">
        <v>99</v>
      </c>
      <c r="C99" s="3" t="str">
        <f>IFERROR(__xludf.DUMMYFUNCTION("GOOGLETRANSLATE(B99,""id"",""en"")"),"['Upgrade', 'Lemote', 'Bangt', '']")</f>
        <v>['Upgrade', 'Lemote', 'Bangt', '']</v>
      </c>
      <c r="D99" s="3">
        <v>5.0</v>
      </c>
    </row>
    <row r="100" ht="15.75" customHeight="1">
      <c r="A100" s="1">
        <v>99.0</v>
      </c>
      <c r="B100" s="3" t="s">
        <v>100</v>
      </c>
      <c r="C100" s="3" t="str">
        <f>IFERROR(__xludf.DUMMYFUNCTION("GOOGLETRANSLATE(B100,""id"",""en"")"),"['The application', 'good', 'help', 'manage', 'network', 'wifi', 'at home', 'Thanks', 'Indihome', 'loyal', 'Anyway']")</f>
        <v>['The application', 'good', 'help', 'manage', 'network', 'wifi', 'at home', 'Thanks', 'Indihome', 'loyal', 'Anyway']</v>
      </c>
      <c r="D100" s="3">
        <v>5.0</v>
      </c>
    </row>
    <row r="101" ht="15.75" customHeight="1">
      <c r="A101" s="1">
        <v>100.0</v>
      </c>
      <c r="B101" s="3" t="s">
        <v>101</v>
      </c>
      <c r="C101" s="3" t="str">
        <f>IFERROR(__xludf.DUMMYFUNCTION("GOOGLETRANSLATE(B101,""id"",""en"")"),"['Application', 'Help', 'home', 'pay', 'bill', '']")</f>
        <v>['Application', 'Help', 'home', 'pay', 'bill', '']</v>
      </c>
      <c r="D101" s="3">
        <v>5.0</v>
      </c>
    </row>
    <row r="102" ht="15.75" customHeight="1">
      <c r="A102" s="1">
        <v>102.0</v>
      </c>
      <c r="B102" s="3" t="s">
        <v>102</v>
      </c>
      <c r="C102" s="3" t="str">
        <f>IFERROR(__xludf.DUMMYFUNCTION("GOOGLETRANSLATE(B102,""id"",""en"")"),"['Upgrade', 'Login']")</f>
        <v>['Upgrade', 'Login']</v>
      </c>
      <c r="D102" s="3">
        <v>1.0</v>
      </c>
    </row>
    <row r="103" ht="15.75" customHeight="1">
      <c r="A103" s="1">
        <v>103.0</v>
      </c>
      <c r="B103" s="3" t="s">
        <v>103</v>
      </c>
      <c r="C103" s="3" t="str">
        <f>IFERROR(__xludf.DUMMYFUNCTION("GOOGLETRANSLATE(B103,""id"",""en"")"),"['upadate', 'gabisa', 'see', 'people', 'this make', 'login', 'complicated']")</f>
        <v>['upadate', 'gabisa', 'see', 'people', 'this make', 'login', 'complicated']</v>
      </c>
      <c r="D103" s="3">
        <v>1.0</v>
      </c>
    </row>
    <row r="104" ht="15.75" customHeight="1">
      <c r="A104" s="1">
        <v>104.0</v>
      </c>
      <c r="B104" s="3" t="s">
        <v>104</v>
      </c>
      <c r="C104" s="3" t="str">
        <f>IFERROR(__xludf.DUMMYFUNCTION("GOOGLETRANSLATE(B104,""id"",""en"")"),"['Okay', 'Application', 'Useful', 'Management', 'Subscriptions', 'Indihome', 'Needs', 'Entertainment', 'Indihome', 'Paltform', 'Provider', 'Internet']")</f>
        <v>['Okay', 'Application', 'Useful', 'Management', 'Subscriptions', 'Indihome', 'Needs', 'Entertainment', 'Indihome', 'Paltform', 'Provider', 'Internet']</v>
      </c>
      <c r="D104" s="3">
        <v>5.0</v>
      </c>
    </row>
    <row r="105" ht="15.75" customHeight="1">
      <c r="A105" s="1">
        <v>105.0</v>
      </c>
      <c r="B105" s="3" t="s">
        <v>105</v>
      </c>
      <c r="C105" s="3" t="str">
        <f>IFERROR(__xludf.DUMMYFUNCTION("GOOGLETRANSLATE(B105,""id"",""en"")"),"['update', 'the application', 'Lola', 'slow', 'really', 'already', 'bner', 'like', 'dlu', 'JLEK', 'Lool', 'Severe', ' very']")</f>
        <v>['update', 'the application', 'Lola', 'slow', 'really', 'already', 'bner', 'like', 'dlu', 'JLEK', 'Lool', 'Severe', ' very']</v>
      </c>
      <c r="D105" s="3">
        <v>1.0</v>
      </c>
    </row>
    <row r="106" ht="15.75" customHeight="1">
      <c r="A106" s="1">
        <v>106.0</v>
      </c>
      <c r="B106" s="3" t="s">
        <v>106</v>
      </c>
      <c r="C106" s="3" t="str">
        <f>IFERROR(__xludf.DUMMYFUNCTION("GOOGLETRANSLATE(B106,""id"",""en"")"),"['Change', 'star', 'repairs',' complain ',' check ',' bills', 'use', 'pulse', 'internet', 'can', 'point', 'styled', ' Voucher ',' Unfortunately ',' Regulations', 'MNT', 'Tel', 'Local', 'Changed', 'Asked', 'Heart', 'Indihome', 'Tel', 'Interlobal', ""]")</f>
        <v>['Change', 'star', 'repairs',' complain ',' check ',' bills', 'use', 'pulse', 'internet', 'can', 'point', 'styled', ' Voucher ',' Unfortunately ',' Regulations', 'MNT', 'Tel', 'Local', 'Changed', 'Asked', 'Heart', 'Indihome', 'Tel', 'Interlobal', "]</v>
      </c>
      <c r="D106" s="3">
        <v>4.0</v>
      </c>
    </row>
    <row r="107" ht="15.75" customHeight="1">
      <c r="A107" s="1">
        <v>107.0</v>
      </c>
      <c r="B107" s="3" t="s">
        <v>107</v>
      </c>
      <c r="C107" s="3" t="str">
        <f>IFERROR(__xludf.DUMMYFUNCTION("GOOGLETRANSLATE(B107,""id"",""en"")"),"['chaotic', '']")</f>
        <v>['chaotic', '']</v>
      </c>
      <c r="D107" s="3">
        <v>1.0</v>
      </c>
    </row>
    <row r="108" ht="15.75" customHeight="1">
      <c r="A108" s="1">
        <v>108.0</v>
      </c>
      <c r="B108" s="3" t="s">
        <v>108</v>
      </c>
      <c r="C108" s="3" t="str">
        <f>IFERROR(__xludf.DUMMYFUNCTION("GOOGLETRANSLATE(B108,""id"",""en"")"),"['application', 'open', 'notification']")</f>
        <v>['application', 'open', 'notification']</v>
      </c>
      <c r="D108" s="3">
        <v>2.0</v>
      </c>
    </row>
    <row r="109" ht="15.75" customHeight="1">
      <c r="A109" s="1">
        <v>109.0</v>
      </c>
      <c r="B109" s="3" t="s">
        <v>109</v>
      </c>
      <c r="C109" s="3" t="str">
        <f>IFERROR(__xludf.DUMMYFUNCTION("GOOGLETRANSLATE(B109,""id"",""en"")"),"['package', 'quota', 'internet', 'quota', 'additional', 'service', 'spectacle', 'catchplay']")</f>
        <v>['package', 'quota', 'internet', 'quota', 'additional', 'service', 'spectacle', 'catchplay']</v>
      </c>
      <c r="D109" s="3">
        <v>5.0</v>
      </c>
    </row>
    <row r="110" ht="15.75" customHeight="1">
      <c r="A110" s="1">
        <v>110.0</v>
      </c>
      <c r="B110" s="3" t="s">
        <v>110</v>
      </c>
      <c r="C110" s="3" t="str">
        <f>IFERROR(__xludf.DUMMYFUNCTION("GOOGLETRANSLATE(B110,""id"",""en"")"),"['application', 'bug', 'error', 'please', 'repaired', '']")</f>
        <v>['application', 'bug', 'error', 'please', 'repaired', '']</v>
      </c>
      <c r="D110" s="3">
        <v>1.0</v>
      </c>
    </row>
    <row r="111" ht="15.75" customHeight="1">
      <c r="A111" s="1">
        <v>111.0</v>
      </c>
      <c r="B111" s="3" t="s">
        <v>111</v>
      </c>
      <c r="C111" s="3" t="str">
        <f>IFERROR(__xludf.DUMMYFUNCTION("GOOGLETRANSLATE(B111,""id"",""en"")"),"['network', 'smooth', 'price', 'package', 'friendly', 'pouch']")</f>
        <v>['network', 'smooth', 'price', 'package', 'friendly', 'pouch']</v>
      </c>
      <c r="D111" s="3">
        <v>5.0</v>
      </c>
    </row>
    <row r="112" ht="15.75" customHeight="1">
      <c r="A112" s="1">
        <v>112.0</v>
      </c>
      <c r="B112" s="3" t="s">
        <v>112</v>
      </c>
      <c r="C112" s="3" t="str">
        <f>IFERROR(__xludf.DUMMYFUNCTION("GOOGLETRANSLATE(B112,""id"",""en"")"),"['application', 'good', 'useful', 'promotion', 'offer', 'interesting', 'match', 'family']")</f>
        <v>['application', 'good', 'useful', 'promotion', 'offer', 'interesting', 'match', 'family']</v>
      </c>
      <c r="D112" s="3">
        <v>5.0</v>
      </c>
    </row>
    <row r="113" ht="15.75" customHeight="1">
      <c r="A113" s="1">
        <v>113.0</v>
      </c>
      <c r="B113" s="3" t="s">
        <v>113</v>
      </c>
      <c r="C113" s="3" t="str">
        <f>IFERROR(__xludf.DUMMYFUNCTION("GOOGLETRANSLATE(B113,""id"",""en"")"),"['update', 'application', 'heavy', 'broken', 'broken', 'stagnant', 'goat', 'cellphone', 'Samsung', 'galaxy', 'please', 'repaired', ' repaired ',' love ',' star ']")</f>
        <v>['update', 'application', 'heavy', 'broken', 'broken', 'stagnant', 'goat', 'cellphone', 'Samsung', 'galaxy', 'please', 'repaired', ' repaired ',' love ',' star ']</v>
      </c>
      <c r="D113" s="3">
        <v>3.0</v>
      </c>
    </row>
    <row r="114" ht="15.75" customHeight="1">
      <c r="A114" s="1">
        <v>114.0</v>
      </c>
      <c r="B114" s="3" t="s">
        <v>114</v>
      </c>
      <c r="C114" s="3" t="str">
        <f>IFERROR(__xludf.DUMMYFUNCTION("GOOGLETRANSLATE(B114,""id"",""en"")"),"['Network', 'Lemottt', 'Bill', 'Cheap', 'Custumer', 'Service', 'Sedia', 'Anyway', 'Recommended', 'mah']")</f>
        <v>['Network', 'Lemottt', 'Bill', 'Cheap', 'Custumer', 'Service', 'Sedia', 'Anyway', 'Recommended', 'mah']</v>
      </c>
      <c r="D114" s="3">
        <v>5.0</v>
      </c>
    </row>
    <row r="115" ht="15.75" customHeight="1">
      <c r="A115" s="1">
        <v>115.0</v>
      </c>
      <c r="B115" s="3" t="s">
        <v>115</v>
      </c>
      <c r="C115" s="3" t="str">
        <f>IFERROR(__xludf.DUMMYFUNCTION("GOOGLETRANSLATE(B115,""id"",""en"")"),"['application', 'steady', 'check', 'use', 'wifi', 'internet', 'smooth', 'download']")</f>
        <v>['application', 'steady', 'check', 'use', 'wifi', 'internet', 'smooth', 'download']</v>
      </c>
      <c r="D115" s="3">
        <v>5.0</v>
      </c>
    </row>
    <row r="116" ht="15.75" customHeight="1">
      <c r="A116" s="1">
        <v>116.0</v>
      </c>
      <c r="B116" s="3" t="s">
        <v>116</v>
      </c>
      <c r="C116" s="3" t="str">
        <f>IFERROR(__xludf.DUMMYFUNCTION("GOOGLETRANSLATE(B116,""id"",""en"")"),"['network', 'extensive', 'indihome', 'access', 'internet', 'disturbing', 'recommended']")</f>
        <v>['network', 'extensive', 'indihome', 'access', 'internet', 'disturbing', 'recommended']</v>
      </c>
      <c r="D116" s="3">
        <v>5.0</v>
      </c>
    </row>
    <row r="117" ht="15.75" customHeight="1">
      <c r="A117" s="1">
        <v>117.0</v>
      </c>
      <c r="B117" s="3" t="s">
        <v>117</v>
      </c>
      <c r="C117" s="3" t="str">
        <f>IFERROR(__xludf.DUMMYFUNCTION("GOOGLETRANSLATE(B117,""id"",""en"")"),"['Goddddd']")</f>
        <v>['Goddddd']</v>
      </c>
      <c r="D117" s="3">
        <v>5.0</v>
      </c>
    </row>
    <row r="118" ht="15.75" customHeight="1">
      <c r="A118" s="1">
        <v>118.0</v>
      </c>
      <c r="B118" s="3" t="s">
        <v>118</v>
      </c>
      <c r="C118" s="3" t="str">
        <f>IFERROR(__xludf.DUMMYFUNCTION("GOOGLETRANSLATE(B118,""id"",""en"")"),"['application', 'useful', 'really', 'practical', 'check', 'bill']")</f>
        <v>['application', 'useful', 'really', 'practical', 'check', 'bill']</v>
      </c>
      <c r="D118" s="3">
        <v>5.0</v>
      </c>
    </row>
    <row r="119" ht="15.75" customHeight="1">
      <c r="A119" s="1">
        <v>119.0</v>
      </c>
      <c r="B119" s="3" t="s">
        <v>119</v>
      </c>
      <c r="C119" s="3" t="str">
        <f>IFERROR(__xludf.DUMMYFUNCTION("GOOGLETRANSLATE(B119,""id"",""en"")"),"['Help', 'user', 'Indihome', 'anything', 'fast', 'resolved']")</f>
        <v>['Help', 'user', 'Indihome', 'anything', 'fast', 'resolved']</v>
      </c>
      <c r="D119" s="3">
        <v>5.0</v>
      </c>
    </row>
    <row r="120" ht="15.75" customHeight="1">
      <c r="A120" s="1">
        <v>120.0</v>
      </c>
      <c r="B120" s="3" t="s">
        <v>120</v>
      </c>
      <c r="C120" s="3" t="str">
        <f>IFERROR(__xludf.DUMMYFUNCTION("GOOGLETRANSLATE(B120,""id"",""en"")"),"['Alhamdulillah', 'internet', 'at home', 'smooth', 'rare', 'experiencing', 'obstacles', 'appearance', 'the latest']")</f>
        <v>['Alhamdulillah', 'internet', 'at home', 'smooth', 'rare', 'experiencing', 'obstacles', 'appearance', 'the latest']</v>
      </c>
      <c r="D120" s="3">
        <v>5.0</v>
      </c>
    </row>
    <row r="121" ht="15.75" customHeight="1">
      <c r="A121" s="1">
        <v>121.0</v>
      </c>
      <c r="B121" s="3" t="s">
        <v>121</v>
      </c>
      <c r="C121" s="3" t="str">
        <f>IFERROR(__xludf.DUMMYFUNCTION("GOOGLETRANSLATE(B121,""id"",""en"")"),"['The network', 'mantep', 'easily', 'use', 'useful', 'really', 'App', 'Thanks', 'service']")</f>
        <v>['The network', 'mantep', 'easily', 'use', 'useful', 'really', 'App', 'Thanks', 'service']</v>
      </c>
      <c r="D121" s="3">
        <v>5.0</v>
      </c>
    </row>
    <row r="122" ht="15.75" customHeight="1">
      <c r="A122" s="1">
        <v>122.0</v>
      </c>
      <c r="B122" s="3" t="s">
        <v>122</v>
      </c>
      <c r="C122" s="3" t="str">
        <f>IFERROR(__xludf.DUMMYFUNCTION("GOOGLETRANSLATE(B122,""id"",""en"")"),"['Sukank', 'Application', 'APK', 'Mantau', 'Bill', 'Purchase', 'Activity', 'Service', 'Do', 'Tetep', 'Maintained', ""]")</f>
        <v>['Sukank', 'Application', 'APK', 'Mantau', 'Bill', 'Purchase', 'Activity', 'Service', 'Do', 'Tetep', 'Maintained', "]</v>
      </c>
      <c r="D122" s="3">
        <v>5.0</v>
      </c>
    </row>
    <row r="123" ht="15.75" customHeight="1">
      <c r="A123" s="1">
        <v>123.0</v>
      </c>
      <c r="B123" s="3" t="s">
        <v>123</v>
      </c>
      <c r="C123" s="3" t="str">
        <f>IFERROR(__xludf.DUMMYFUNCTION("GOOGLETRANSLATE(B123,""id"",""en"")"),"['Application', 'Myindihome', 'Making', 'Service', 'Accessible', 'Easy', 'Comfortable', 'Check', 'Costs', 'Bill', 'Easy', 'Feature']")</f>
        <v>['Application', 'Myindihome', 'Making', 'Service', 'Accessible', 'Easy', 'Comfortable', 'Check', 'Costs', 'Bill', 'Easy', 'Feature']</v>
      </c>
      <c r="D123" s="3">
        <v>5.0</v>
      </c>
    </row>
    <row r="124" ht="15.75" customHeight="1">
      <c r="A124" s="1">
        <v>124.0</v>
      </c>
      <c r="B124" s="3" t="s">
        <v>124</v>
      </c>
      <c r="C124" s="3" t="str">
        <f>IFERROR(__xludf.DUMMYFUNCTION("GOOGLETRANSLATE(B124,""id"",""en"")"),"['APK', 'stupid']")</f>
        <v>['APK', 'stupid']</v>
      </c>
      <c r="D124" s="3">
        <v>1.0</v>
      </c>
    </row>
    <row r="125" ht="15.75" customHeight="1">
      <c r="A125" s="1">
        <v>125.0</v>
      </c>
      <c r="B125" s="3" t="s">
        <v>125</v>
      </c>
      <c r="C125" s="3" t="str">
        <f>IFERROR(__xludf.DUMMYFUNCTION("GOOGLETRANSLATE(B125,""id"",""en"")"),"['function', 'update', 'application', 'actually', 'already', 'open', 'application', 'report', 'duration']")</f>
        <v>['function', 'update', 'application', 'actually', 'already', 'open', 'application', 'report', 'duration']</v>
      </c>
      <c r="D125" s="3">
        <v>1.0</v>
      </c>
    </row>
    <row r="126" ht="15.75" customHeight="1">
      <c r="A126" s="1">
        <v>126.0</v>
      </c>
      <c r="B126" s="3" t="s">
        <v>126</v>
      </c>
      <c r="C126" s="3" t="str">
        <f>IFERROR(__xludf.DUMMYFUNCTION("GOOGLETRANSLATE(B126,""id"",""en"")"),"['application', 'Covid', 'Covid', 'Application', 'Easy', 'OPRationalizing']")</f>
        <v>['application', 'Covid', 'Covid', 'Application', 'Easy', 'OPRationalizing']</v>
      </c>
      <c r="D126" s="3">
        <v>5.0</v>
      </c>
    </row>
    <row r="127" ht="15.75" customHeight="1">
      <c r="A127" s="1">
        <v>128.0</v>
      </c>
      <c r="B127" s="3" t="s">
        <v>127</v>
      </c>
      <c r="C127" s="3" t="str">
        <f>IFERROR(__xludf.DUMMYFUNCTION("GOOGLETRANSLATE(B127,""id"",""en"")"),"['What', 'version', 'Lola', 'Severe', 'Nihhh', 'Fixx', 'Parahhhhhhhh', 'Ngeeluncurin', 'Version', 'force', 'Woy']")</f>
        <v>['What', 'version', 'Lola', 'Severe', 'Nihhh', 'Fixx', 'Parahhhhhhhh', 'Ngeeluncurin', 'Version', 'force', 'Woy']</v>
      </c>
      <c r="D127" s="3">
        <v>1.0</v>
      </c>
    </row>
    <row r="128" ht="15.75" customHeight="1">
      <c r="A128" s="1">
        <v>129.0</v>
      </c>
      <c r="B128" s="3" t="s">
        <v>128</v>
      </c>
      <c r="C128" s="3" t="str">
        <f>IFERROR(__xludf.DUMMYFUNCTION("GOOGLETRANSLATE(B128,""id"",""en"")"),"['complicated', 'chat', 'indita', 'complaints',' slow ',' fantasy ',' button ',' help ',' right ',' help ',' choice ',' phone ',' Chat ',' told ',' restart ',' modem ',' poor ',' updated ',' version ',' UDH ',' Good ',' Version ',' Change ', ""]")</f>
        <v>['complicated', 'chat', 'indita', 'complaints',' slow ',' fantasy ',' button ',' help ',' right ',' help ',' choice ',' phone ',' Chat ',' told ',' restart ',' modem ',' poor ',' updated ',' version ',' UDH ',' Good ',' Version ',' Change ', "]</v>
      </c>
      <c r="D128" s="3">
        <v>2.0</v>
      </c>
    </row>
    <row r="129" ht="15.75" customHeight="1">
      <c r="A129" s="1">
        <v>130.0</v>
      </c>
      <c r="B129" s="3" t="s">
        <v>129</v>
      </c>
      <c r="C129" s="3" t="str">
        <f>IFERROR(__xludf.DUMMYFUNCTION("GOOGLETRANSLATE(B129,""id"",""en"")"),"['The network', 'okay', 'keep', 'The', 'good', 'work', 'yaa', 'until', 'down', '']")</f>
        <v>['The network', 'okay', 'keep', 'The', 'good', 'work', 'yaa', 'until', 'down', '']</v>
      </c>
      <c r="D129" s="3">
        <v>5.0</v>
      </c>
    </row>
    <row r="130" ht="15.75" customHeight="1">
      <c r="A130" s="1">
        <v>131.0</v>
      </c>
      <c r="B130" s="3" t="s">
        <v>130</v>
      </c>
      <c r="C130" s="3" t="str">
        <f>IFERROR(__xludf.DUMMYFUNCTION("GOOGLETRANSLATE(B130,""id"",""en"")"),"['application', 'good', 'really', 'makes it easier', 'check', 'usage', 'wifi', 'at home', 'signal', 'stable', 'internet', 'smooth', ' business', 'smooth', 'download']")</f>
        <v>['application', 'good', 'really', 'makes it easier', 'check', 'usage', 'wifi', 'at home', 'signal', 'stable', 'internet', 'smooth', ' business', 'smooth', 'download']</v>
      </c>
      <c r="D130" s="3">
        <v>5.0</v>
      </c>
    </row>
    <row r="131" ht="15.75" customHeight="1">
      <c r="A131" s="1">
        <v>132.0</v>
      </c>
      <c r="B131" s="3" t="s">
        <v>131</v>
      </c>
      <c r="C131" s="3" t="str">
        <f>IFERROR(__xludf.DUMMYFUNCTION("GOOGLETRANSLATE(B131,""id"",""en"")"),"['Alhamdulillah', 'fast', 'disorder', '']")</f>
        <v>['Alhamdulillah', 'fast', 'disorder', '']</v>
      </c>
      <c r="D131" s="3">
        <v>5.0</v>
      </c>
    </row>
    <row r="132" ht="15.75" customHeight="1">
      <c r="A132" s="1">
        <v>133.0</v>
      </c>
      <c r="B132" s="3" t="s">
        <v>132</v>
      </c>
      <c r="C132" s="3" t="str">
        <f>IFERROR(__xludf.DUMMYFUNCTION("GOOGLETRANSLATE(B132,""id"",""en"")"),"['Alhamdulillah', 'at home', 'home', 'already', 'Indihome', 'college', 'online', 'webinar', 'smooth', 'Jaya', 'thinking', 'afraid', ' run out ',' quota ',' amidst ',' lecture ',' watch ',' Drakor ',' YouTube ',' smooth ',' bangettt ',' obstacle ',' ']")</f>
        <v>['Alhamdulillah', 'at home', 'home', 'already', 'Indihome', 'college', 'online', 'webinar', 'smooth', 'Jaya', 'thinking', 'afraid', ' run out ',' quota ',' amidst ',' lecture ',' watch ',' Drakor ',' YouTube ',' smooth ',' bangettt ',' obstacle ',' ']</v>
      </c>
      <c r="D132" s="3">
        <v>5.0</v>
      </c>
    </row>
    <row r="133" ht="15.75" customHeight="1">
      <c r="A133" s="1">
        <v>134.0</v>
      </c>
      <c r="B133" s="3" t="s">
        <v>133</v>
      </c>
      <c r="C133" s="3" t="str">
        <f>IFERROR(__xludf.DUMMYFUNCTION("GOOGLETRANSLATE(B133,""id"",""en"")"),"['Application', 'Help', 'SERBA', 'Online', 'really', 'IndiHome', 'already', 'upgrade', 'comfortable', 'Using']")</f>
        <v>['Application', 'Help', 'SERBA', 'Online', 'really', 'IndiHome', 'already', 'upgrade', 'comfortable', 'Using']</v>
      </c>
      <c r="D133" s="3">
        <v>5.0</v>
      </c>
    </row>
    <row r="134" ht="15.75" customHeight="1">
      <c r="A134" s="1">
        <v>135.0</v>
      </c>
      <c r="B134" s="3" t="s">
        <v>134</v>
      </c>
      <c r="C134" s="3" t="str">
        <f>IFERROR(__xludf.DUMMYFUNCTION("GOOGLETRANSLATE(B134,""id"",""en"")"),"['Constraints',' Network ',' gaperlu ',' bother ',' bother ',' confused ',' search ',' contact ',' indihome ',' because ',' it's easy ',' application']")</f>
        <v>['Constraints',' Network ',' gaperlu ',' bother ',' bother ',' confused ',' search ',' contact ',' indihome ',' because ',' it's easy ',' application']</v>
      </c>
      <c r="D134" s="3">
        <v>5.0</v>
      </c>
    </row>
    <row r="135" ht="15.75" customHeight="1">
      <c r="A135" s="1">
        <v>136.0</v>
      </c>
      <c r="B135" s="3" t="s">
        <v>135</v>
      </c>
      <c r="C135" s="3" t="str">
        <f>IFERROR(__xludf.DUMMYFUNCTION("GOOGLETRANSLATE(B135,""id"",""en"")"),"['application', 'easy', 'monitoring', 'speed', 'internet', 'speed', 'stable', 'smooth', 'indihome', 'smooth', 'was',' wus', ' Was', 'WUS', '']")</f>
        <v>['application', 'easy', 'monitoring', 'speed', 'internet', 'speed', 'stable', 'smooth', 'indihome', 'smooth', 'was',' wus', ' Was', 'WUS', '']</v>
      </c>
      <c r="D135" s="3">
        <v>5.0</v>
      </c>
    </row>
    <row r="136" ht="15.75" customHeight="1">
      <c r="A136" s="1">
        <v>137.0</v>
      </c>
      <c r="B136" s="3" t="s">
        <v>136</v>
      </c>
      <c r="C136" s="3" t="str">
        <f>IFERROR(__xludf.DUMMYFUNCTION("GOOGLETRANSLATE(B136,""id"",""en"")"),"['Kada', 'Login', '']")</f>
        <v>['Kada', 'Login', '']</v>
      </c>
      <c r="D136" s="3">
        <v>1.0</v>
      </c>
    </row>
    <row r="137" ht="15.75" customHeight="1">
      <c r="A137" s="1">
        <v>138.0</v>
      </c>
      <c r="B137" s="3" t="s">
        <v>137</v>
      </c>
      <c r="C137" s="3" t="str">
        <f>IFERROR(__xludf.DUMMYFUNCTION("GOOGLETRANSLATE(B137,""id"",""en"")"),"['update', 'skrng', 'speed', 'steady', 'feels comfortable', 'home', 'watch', 'smooth', 'Jaya', 'Kya', 'road', 'toll', ' Success', 'SLLU', 'INDIHOME']")</f>
        <v>['update', 'skrng', 'speed', 'steady', 'feels comfortable', 'home', 'watch', 'smooth', 'Jaya', 'Kya', 'road', 'toll', ' Success', 'SLLU', 'INDIHOME']</v>
      </c>
      <c r="D137" s="3">
        <v>5.0</v>
      </c>
    </row>
    <row r="138" ht="15.75" customHeight="1">
      <c r="A138" s="1">
        <v>139.0</v>
      </c>
      <c r="B138" s="3" t="s">
        <v>138</v>
      </c>
      <c r="C138" s="3" t="str">
        <f>IFERROR(__xludf.DUMMYFUNCTION("GOOGLETRANSLATE(B138,""id"",""en"")"),"['Ngellag', 'Stream', 'Ngentt']")</f>
        <v>['Ngellag', 'Stream', 'Ngentt']</v>
      </c>
      <c r="D138" s="3">
        <v>1.0</v>
      </c>
    </row>
    <row r="139" ht="15.75" customHeight="1">
      <c r="A139" s="1">
        <v>140.0</v>
      </c>
      <c r="B139" s="3" t="s">
        <v>139</v>
      </c>
      <c r="C139" s="3" t="str">
        <f>IFERROR(__xludf.DUMMYFUNCTION("GOOGLETRANSLATE(B139,""id"",""en"")"),"['Gag', 'Select', 'Choose', 'Indihome', 'MUCH', 'Choice', 'Package', 'Internet', 'Super', 'fast', 'Gag', 'slow', ' it costs', 'according to', 'service', 'good', 'feels good', 'at home', 'gag', 'where', 'gather', 'kluarga', 'feel', '']")</f>
        <v>['Gag', 'Select', 'Choose', 'Indihome', 'MUCH', 'Choice', 'Package', 'Internet', 'Super', 'fast', 'Gag', 'slow', ' it costs', 'according to', 'service', 'good', 'feels good', 'at home', 'gag', 'where', 'gather', 'kluarga', 'feel', '']</v>
      </c>
      <c r="D139" s="3">
        <v>5.0</v>
      </c>
    </row>
    <row r="140" ht="15.75" customHeight="1">
      <c r="A140" s="1">
        <v>141.0</v>
      </c>
      <c r="B140" s="3" t="s">
        <v>140</v>
      </c>
      <c r="C140" s="3" t="str">
        <f>IFERROR(__xludf.DUMMYFUNCTION("GOOGLETRANSLATE(B140,""id"",""en"")"),"['Steady', 'App', 'MBay', 'Bill', 'Indihome', 'Gampang', 'APP']")</f>
        <v>['Steady', 'App', 'MBay', 'Bill', 'Indihome', 'Gampang', 'APP']</v>
      </c>
      <c r="D140" s="3">
        <v>5.0</v>
      </c>
    </row>
    <row r="141" ht="15.75" customHeight="1">
      <c r="A141" s="1">
        <v>142.0</v>
      </c>
      <c r="B141" s="3" t="s">
        <v>141</v>
      </c>
      <c r="C141" s="3" t="str">
        <f>IFERROR(__xludf.DUMMYFUNCTION("GOOGLETRANSLATE(B141,""id"",""en"")"),"['Feature', 'complete', 'really', 'channel', 'channel', 'educational', 'entertainment', 'pokonya', 'complete', 'deh', 'thank you', 'indihome']")</f>
        <v>['Feature', 'complete', 'really', 'channel', 'channel', 'educational', 'entertainment', 'pokonya', 'complete', 'deh', 'thank you', 'indihome']</v>
      </c>
      <c r="D141" s="3">
        <v>5.0</v>
      </c>
    </row>
    <row r="142" ht="15.75" customHeight="1">
      <c r="A142" s="1">
        <v>143.0</v>
      </c>
      <c r="B142" s="3" t="s">
        <v>142</v>
      </c>
      <c r="C142" s="3" t="str">
        <f>IFERROR(__xludf.DUMMYFUNCTION("GOOGLETRANSLATE(B142,""id"",""en"")"),"['Package', 'Indihomen', 'affordable', 'promo']")</f>
        <v>['Package', 'Indihomen', 'affordable', 'promo']</v>
      </c>
      <c r="D142" s="3">
        <v>5.0</v>
      </c>
    </row>
    <row r="143" ht="15.75" customHeight="1">
      <c r="A143" s="1">
        <v>144.0</v>
      </c>
      <c r="B143" s="3" t="s">
        <v>143</v>
      </c>
      <c r="C143" s="3" t="str">
        <f>IFERROR(__xludf.DUMMYFUNCTION("GOOGLETRANSLATE(B143,""id"",""en"")"),"['Please', 'Fast', 'Fix', 'The Application', 'Loading', '']")</f>
        <v>['Please', 'Fast', 'Fix', 'The Application', 'Loading', '']</v>
      </c>
      <c r="D143" s="3">
        <v>1.0</v>
      </c>
    </row>
    <row r="144" ht="15.75" customHeight="1">
      <c r="A144" s="1">
        <v>145.0</v>
      </c>
      <c r="B144" s="3" t="s">
        <v>144</v>
      </c>
      <c r="C144" s="3" t="str">
        <f>IFERROR(__xludf.DUMMYFUNCTION("GOOGLETRANSLATE(B144,""id"",""en"")"),"['wih', 'manteb', 'indihome', 'kenceng', 'speed', 'feel at home', 'home', 'watch', 'film', 'family', 'srmatan', 'then', ' Indihome ']")</f>
        <v>['wih', 'manteb', 'indihome', 'kenceng', 'speed', 'feel at home', 'home', 'watch', 'film', 'family', 'srmatan', 'then', ' Indihome ']</v>
      </c>
      <c r="D144" s="3">
        <v>5.0</v>
      </c>
    </row>
    <row r="145" ht="15.75" customHeight="1">
      <c r="A145" s="1">
        <v>146.0</v>
      </c>
      <c r="B145" s="3" t="s">
        <v>145</v>
      </c>
      <c r="C145" s="3" t="str">
        <f>IFERROR(__xludf.DUMMYFUNCTION("GOOGLETRANSLATE(B145,""id"",""en"")"),"['kereen', 'internet', 'kenceng', 'like', 'wind', 'jammed', 'recomend', 'pokonya', '']")</f>
        <v>['kereen', 'internet', 'kenceng', 'like', 'wind', 'jammed', 'recomend', 'pokonya', '']</v>
      </c>
      <c r="D145" s="3">
        <v>5.0</v>
      </c>
    </row>
    <row r="146" ht="15.75" customHeight="1">
      <c r="A146" s="1">
        <v>147.0</v>
      </c>
      <c r="B146" s="3" t="s">
        <v>146</v>
      </c>
      <c r="C146" s="3" t="str">
        <f>IFERROR(__xludf.DUMMYFUNCTION("GOOGLETRANSLATE(B146,""id"",""en"")"),"['Login', 'Email', 'Verification', 'Use', 'SMS', '']")</f>
        <v>['Login', 'Email', 'Verification', 'Use', 'SMS', '']</v>
      </c>
      <c r="D146" s="3">
        <v>1.0</v>
      </c>
    </row>
    <row r="147" ht="15.75" customHeight="1">
      <c r="A147" s="1">
        <v>148.0</v>
      </c>
      <c r="B147" s="3" t="s">
        <v>147</v>
      </c>
      <c r="C147" s="3" t="str">
        <f>IFERROR(__xludf.DUMMYFUNCTION("GOOGLETRANSLATE(B147,""id"",""en"")"),"['report', 'disorder', 'status', 'finished', 'finished', 'apawn', 'technician', 'fix', 'status', 'finished', 'report', 'disorder']")</f>
        <v>['report', 'disorder', 'status', 'finished', 'finished', 'apawn', 'technician', 'fix', 'status', 'finished', 'report', 'disorder']</v>
      </c>
      <c r="D147" s="3">
        <v>2.0</v>
      </c>
    </row>
    <row r="148" ht="15.75" customHeight="1">
      <c r="A148" s="1">
        <v>149.0</v>
      </c>
      <c r="B148" s="3" t="s">
        <v>148</v>
      </c>
      <c r="C148" s="3" t="str">
        <f>IFERROR(__xludf.DUMMYFUNCTION("GOOGLETRANSLATE(B148,""id"",""en"")"),"['Mantep', 'update', 'times', 'no', 'disappointing', 'yesterday', 'complaint', 'fast', 'bales', 'email']")</f>
        <v>['Mantep', 'update', 'times', 'no', 'disappointing', 'yesterday', 'complaint', 'fast', 'bales', 'email']</v>
      </c>
      <c r="D148" s="3">
        <v>5.0</v>
      </c>
    </row>
    <row r="149" ht="15.75" customHeight="1">
      <c r="A149" s="1">
        <v>150.0</v>
      </c>
      <c r="B149" s="3" t="s">
        <v>149</v>
      </c>
      <c r="C149" s="3" t="str">
        <f>IFERROR(__xludf.DUMMYFUNCTION("GOOGLETRANSLATE(B149,""id"",""en"")"),"['Service', 'disappointing']")</f>
        <v>['Service', 'disappointing']</v>
      </c>
      <c r="D149" s="3">
        <v>1.0</v>
      </c>
    </row>
    <row r="150" ht="15.75" customHeight="1">
      <c r="A150" s="1">
        <v>151.0</v>
      </c>
      <c r="B150" s="3" t="s">
        <v>150</v>
      </c>
      <c r="C150" s="3" t="str">
        <f>IFERROR(__xludf.DUMMYFUNCTION("GOOGLETRANSLATE(B150,""id"",""en"")"),"['Options', 'Indihome', 'Mesh', 'Switch', 'Karna', 'ugly', 'Network', 'App', 'Nyaaa']")</f>
        <v>['Options', 'Indihome', 'Mesh', 'Switch', 'Karna', 'ugly', 'Network', 'App', 'Nyaaa']</v>
      </c>
      <c r="D150" s="3">
        <v>1.0</v>
      </c>
    </row>
    <row r="151" ht="15.75" customHeight="1">
      <c r="A151" s="1">
        <v>152.0</v>
      </c>
      <c r="B151" s="3" t="s">
        <v>151</v>
      </c>
      <c r="C151" s="3" t="str">
        <f>IFERROR(__xludf.DUMMYFUNCTION("GOOGLETRANSLATE(B151,""id"",""en"")"),"['APL', 'Used', 'spend', 'Package', 'Puncture', '']")</f>
        <v>['APL', 'Used', 'spend', 'Package', 'Puncture', '']</v>
      </c>
      <c r="D151" s="3">
        <v>1.0</v>
      </c>
    </row>
    <row r="152" ht="15.75" customHeight="1">
      <c r="A152" s="1">
        <v>153.0</v>
      </c>
      <c r="B152" s="3" t="s">
        <v>152</v>
      </c>
      <c r="C152" s="3" t="str">
        <f>IFERROR(__xludf.DUMMYFUNCTION("GOOGLETRANSLATE(B152,""id"",""en"")"),"['Abis',' upgrade ',' kek ',' downgrade ',' really ',' application ',' win ',' appeared ',' amenities', 'downhill', 'data', 'user', ' Online ',' looked ',' data ',' minipack ',' channel ',' subscribe ',' minipack ',' apps', 'subscribe', 'confused', 'minip"&amp;"ack', 'abis',' apply ' , 'monthly', 'date', 'brp', 'kayak', 'subs', 'udh', 'date', 'missiona', ""]")</f>
        <v>['Abis',' upgrade ',' kek ',' downgrade ',' really ',' application ',' win ',' appeared ',' amenities', 'downhill', 'data', 'user', ' Online ',' looked ',' data ',' minipack ',' channel ',' subscribe ',' minipack ',' apps', 'subscribe', 'confused', 'minipack', 'abis',' apply ' , 'monthly', 'date', 'brp', 'kayak', 'subs', 'udh', 'date', 'missiona', "]</v>
      </c>
      <c r="D152" s="3">
        <v>1.0</v>
      </c>
    </row>
    <row r="153" ht="15.75" customHeight="1">
      <c r="A153" s="1">
        <v>154.0</v>
      </c>
      <c r="B153" s="3" t="s">
        <v>153</v>
      </c>
      <c r="C153" s="3" t="str">
        <f>IFERROR(__xludf.DUMMYFUNCTION("GOOGLETRANSLATE(B153,""id"",""en"")"),"['Display', 'application', 'Install']")</f>
        <v>['Display', 'application', 'Install']</v>
      </c>
      <c r="D153" s="3">
        <v>1.0</v>
      </c>
    </row>
    <row r="154" ht="15.75" customHeight="1">
      <c r="A154" s="1">
        <v>155.0</v>
      </c>
      <c r="B154" s="3" t="s">
        <v>154</v>
      </c>
      <c r="C154" s="3" t="str">
        <f>IFERROR(__xludf.DUMMYFUNCTION("GOOGLETRANSLATE(B154,""id"",""en"")"),"['Since', 'Change', 'Display', 'Severe', '']")</f>
        <v>['Since', 'Change', 'Display', 'Severe', '']</v>
      </c>
      <c r="D154" s="3">
        <v>1.0</v>
      </c>
    </row>
    <row r="155" ht="15.75" customHeight="1">
      <c r="A155" s="1">
        <v>156.0</v>
      </c>
      <c r="B155" s="3" t="s">
        <v>155</v>
      </c>
      <c r="C155" s="3" t="str">
        <f>IFERROR(__xludf.DUMMYFUNCTION("GOOGLETRANSLATE(B155,""id"",""en"")"),"['Hour', 'MLM', 'Error', 'Mulu', 'Watch', 'Yotube', 'Canaaaaaaa']")</f>
        <v>['Hour', 'MLM', 'Error', 'Mulu', 'Watch', 'Yotube', 'Canaaaaaaa']</v>
      </c>
      <c r="D155" s="3">
        <v>2.0</v>
      </c>
    </row>
    <row r="156" ht="15.75" customHeight="1">
      <c r="A156" s="1">
        <v>157.0</v>
      </c>
      <c r="B156" s="3" t="s">
        <v>156</v>
      </c>
      <c r="C156" s="3" t="str">
        <f>IFERROR(__xludf.DUMMYFUNCTION("GOOGLETRANSLATE(B156,""id"",""en"")"),"['Update', 'Bener', 'Damaged', 'Severe', 'Log', 'Out', 'Log', 'reset', 'already', 'a week', 'reply', 'improvement', ' Company ',' Segede ',' Recruit ',' Experts', 'Ngatasin', 'Kek', 'Gini', 'Expensive', 'Doank', 'Service', 'Severe', ""]")</f>
        <v>['Update', 'Bener', 'Damaged', 'Severe', 'Log', 'Out', 'Log', 'reset', 'already', 'a week', 'reply', 'improvement', ' Company ',' Segede ',' Recruit ',' Experts', 'Ngatasin', 'Kek', 'Gini', 'Expensive', 'Doank', 'Service', 'Severe', "]</v>
      </c>
      <c r="D156" s="3">
        <v>1.0</v>
      </c>
    </row>
    <row r="157" ht="15.75" customHeight="1">
      <c r="A157" s="1">
        <v>158.0</v>
      </c>
      <c r="B157" s="3" t="s">
        <v>157</v>
      </c>
      <c r="C157" s="3" t="str">
        <f>IFERROR(__xludf.DUMMYFUNCTION("GOOGLETRANSLATE(B157,""id"",""en"")"),"['Accuracy', 'Location', 'Speed', 'Internet', 'Good', 'Price', 'Installation', 'Appropriate', 'Quality']")</f>
        <v>['Accuracy', 'Location', 'Speed', 'Internet', 'Good', 'Price', 'Installation', 'Appropriate', 'Quality']</v>
      </c>
      <c r="D157" s="3">
        <v>5.0</v>
      </c>
    </row>
    <row r="158" ht="15.75" customHeight="1">
      <c r="A158" s="1">
        <v>159.0</v>
      </c>
      <c r="B158" s="3" t="s">
        <v>158</v>
      </c>
      <c r="C158" s="3" t="str">
        <f>IFERROR(__xludf.DUMMYFUNCTION("GOOGLETRANSLATE(B158,""id"",""en"")"),"['at home', 'Indihome', 'Safe', 'Nge', 'lag']")</f>
        <v>['at home', 'Indihome', 'Safe', 'Nge', 'lag']</v>
      </c>
      <c r="D158" s="3">
        <v>5.0</v>
      </c>
    </row>
    <row r="159" ht="15.75" customHeight="1">
      <c r="A159" s="1">
        <v>160.0</v>
      </c>
      <c r="B159" s="3" t="s">
        <v>159</v>
      </c>
      <c r="C159" s="3" t="str">
        <f>IFERROR(__xludf.DUMMYFUNCTION("GOOGLETRANSLATE(B159,""id"",""en"")"),"['apk', 'already', 'good', 'hbis', 'updet', 'nga', 'good', 'loding', 'skli']")</f>
        <v>['apk', 'already', 'good', 'hbis', 'updet', 'nga', 'good', 'loding', 'skli']</v>
      </c>
      <c r="D159" s="3">
        <v>1.0</v>
      </c>
    </row>
    <row r="160" ht="15.75" customHeight="1">
      <c r="A160" s="1">
        <v>161.0</v>
      </c>
      <c r="B160" s="3" t="s">
        <v>160</v>
      </c>
      <c r="C160" s="3" t="str">
        <f>IFERROR(__xludf.DUMMYFUNCTION("GOOGLETRANSLATE(B160,""id"",""en"")"),"['', 'update', 'application']")</f>
        <v>['', 'update', 'application']</v>
      </c>
      <c r="D160" s="3">
        <v>1.0</v>
      </c>
    </row>
    <row r="161" ht="15.75" customHeight="1">
      <c r="A161" s="1">
        <v>162.0</v>
      </c>
      <c r="B161" s="3" t="s">
        <v>161</v>
      </c>
      <c r="C161" s="3" t="str">
        <f>IFERROR(__xludf.DUMMYFUNCTION("GOOGLETRANSLATE(B161,""id"",""en"")"),"['Upgrade', 'slow', 'application', 'chaotic', 'good', 'application', 'refinement', 'garbage', 'mending', 'survive', 'application']")</f>
        <v>['Upgrade', 'slow', 'application', 'chaotic', 'good', 'application', 'refinement', 'garbage', 'mending', 'survive', 'application']</v>
      </c>
      <c r="D161" s="3">
        <v>1.0</v>
      </c>
    </row>
    <row r="162" ht="15.75" customHeight="1">
      <c r="A162" s="1">
        <v>163.0</v>
      </c>
      <c r="B162" s="3" t="s">
        <v>162</v>
      </c>
      <c r="C162" s="3" t="str">
        <f>IFERROR(__xludf.DUMMYFUNCTION("GOOGLETRANSLATE(B162,""id"",""en"")"),"['week', 'already', 'update', 'indi', 'Mexx', 'skarng', 'indi', '']")</f>
        <v>['week', 'already', 'update', 'indi', 'Mexx', 'skarng', 'indi', '']</v>
      </c>
      <c r="D162" s="3">
        <v>2.0</v>
      </c>
    </row>
    <row r="163" ht="15.75" customHeight="1">
      <c r="A163" s="1">
        <v>164.0</v>
      </c>
      <c r="B163" s="3" t="s">
        <v>163</v>
      </c>
      <c r="C163" s="3" t="str">
        <f>IFERROR(__xludf.DUMMYFUNCTION("GOOGLETRANSLATE(B163,""id"",""en"")"),"['Bill', 'Pay', 'Routine', 'Nunggak', 'told', 'Pay', 'Service', 'Complaint', 'Provider', 'Technicaline', 'Seng', 'Professional']")</f>
        <v>['Bill', 'Pay', 'Routine', 'Nunggak', 'told', 'Pay', 'Service', 'Complaint', 'Provider', 'Technicaline', 'Seng', 'Professional']</v>
      </c>
      <c r="D163" s="3">
        <v>1.0</v>
      </c>
    </row>
    <row r="164" ht="15.75" customHeight="1">
      <c r="A164" s="1">
        <v>165.0</v>
      </c>
      <c r="B164" s="3" t="s">
        <v>164</v>
      </c>
      <c r="C164" s="3" t="str">
        <f>IFERROR(__xludf.DUMMYFUNCTION("GOOGLETRANSLATE(B164,""id"",""en"")"),"['Upgrade', 'Error', 'Rich', 'Progremer', 'Learning', 'Ciai']")</f>
        <v>['Upgrade', 'Error', 'Rich', 'Progremer', 'Learning', 'Ciai']</v>
      </c>
      <c r="D164" s="3">
        <v>1.0</v>
      </c>
    </row>
    <row r="165" ht="15.75" customHeight="1">
      <c r="A165" s="1">
        <v>166.0</v>
      </c>
      <c r="B165" s="3" t="s">
        <v>165</v>
      </c>
      <c r="C165" s="3" t="str">
        <f>IFERROR(__xludf.DUMMYFUNCTION("GOOGLETRANSLATE(B165,""id"",""en"")"),"['GMMA', 'version', 'newest', 'entry', 'Hello', 'Indihome', 'Update', 'Application', 'Indihome', 'Learning', 'Update', 'Application', ' Honestly ',' Worthy ',' Install ',' Severe ',' Disappointing ',' Application ',' Super ',' Bad ',' ']")</f>
        <v>['GMMA', 'version', 'newest', 'entry', 'Hello', 'Indihome', 'Update', 'Application', 'Indihome', 'Learning', 'Update', 'Application', ' Honestly ',' Worthy ',' Install ',' Severe ',' Disappointing ',' Application ',' Super ',' Bad ',' ']</v>
      </c>
      <c r="D165" s="3">
        <v>1.0</v>
      </c>
    </row>
    <row r="166" ht="15.75" customHeight="1">
      <c r="A166" s="1">
        <v>167.0</v>
      </c>
      <c r="B166" s="3" t="s">
        <v>166</v>
      </c>
      <c r="C166" s="3" t="str">
        <f>IFERROR(__xludf.DUMMYFUNCTION("GOOGLETRANSLATE(B166,""id"",""en"")"),"['Enter', 'use', 'emal', 'list', 'use', 'email']")</f>
        <v>['Enter', 'use', 'emal', 'list', 'use', 'email']</v>
      </c>
      <c r="D166" s="3">
        <v>3.0</v>
      </c>
    </row>
    <row r="167" ht="15.75" customHeight="1">
      <c r="A167" s="1">
        <v>168.0</v>
      </c>
      <c r="B167" s="3" t="s">
        <v>167</v>
      </c>
      <c r="C167" s="3" t="str">
        <f>IFERROR(__xludf.DUMMYFUNCTION("GOOGLETRANSLATE(B167,""id"",""en"")"),"['bodies',' application ',' for days', 'try', 'login', 'told', 'wait', 'clock', 'so', 'blm', 'fix', 'min', ' Update ']")</f>
        <v>['bodies',' application ',' for days', 'try', 'login', 'told', 'wait', 'clock', 'so', 'blm', 'fix', 'min', ' Update ']</v>
      </c>
      <c r="D167" s="3">
        <v>1.0</v>
      </c>
    </row>
    <row r="168" ht="15.75" customHeight="1">
      <c r="A168" s="1">
        <v>169.0</v>
      </c>
      <c r="B168" s="3" t="s">
        <v>168</v>
      </c>
      <c r="C168" s="3" t="str">
        <f>IFERROR(__xludf.DUMMYFUNCTION("GOOGLETRANSLATE(B168,""id"",""en"")"),"['upgrade', 'please', 'features', 'ugly', 'lebij', 'bad', 'mending', 'love', 'star', 'following']")</f>
        <v>['upgrade', 'please', 'features', 'ugly', 'lebij', 'bad', 'mending', 'love', 'star', 'following']</v>
      </c>
      <c r="D168" s="3">
        <v>1.0</v>
      </c>
    </row>
    <row r="169" ht="15.75" customHeight="1">
      <c r="A169" s="1">
        <v>170.0</v>
      </c>
      <c r="B169" s="3" t="s">
        <v>169</v>
      </c>
      <c r="C169" s="3" t="str">
        <f>IFERROR(__xludf.DUMMYFUNCTION("GOOGLETRANSLATE(B169,""id"",""en"")"),"['Upgrade', 'Application', 'Menu', 'Renew', 'FUP', 'Really', 'Disappointed', 'Sorry', 'Upgrade', 'Application', 'Ribet', 'Feature', ' Function ',' ']")</f>
        <v>['Upgrade', 'Application', 'Menu', 'Renew', 'FUP', 'Really', 'Disappointed', 'Sorry', 'Upgrade', 'Application', 'Ribet', 'Feature', ' Function ',' ']</v>
      </c>
      <c r="D169" s="3">
        <v>4.0</v>
      </c>
    </row>
    <row r="170" ht="15.75" customHeight="1">
      <c r="A170" s="1">
        <v>171.0</v>
      </c>
      <c r="B170" s="3" t="s">
        <v>170</v>
      </c>
      <c r="C170" s="3" t="str">
        <f>IFERROR(__xludf.DUMMYFUNCTION("GOOGLETRANSLATE(B170,""id"",""en"")"),"['MaasayaAllah', 'guaranteed', 'application', 'cool', 'nda', 'ngeecept', 'sis',' hunt ',' download ',' the application ',' makasihhh ',' help ',' ']")</f>
        <v>['MaasayaAllah', 'guaranteed', 'application', 'cool', 'nda', 'ngeecept', 'sis',' hunt ',' download ',' the application ',' makasihhh ',' help ',' ']</v>
      </c>
      <c r="D170" s="3">
        <v>5.0</v>
      </c>
    </row>
    <row r="171" ht="15.75" customHeight="1">
      <c r="A171" s="1">
        <v>172.0</v>
      </c>
      <c r="B171" s="3" t="s">
        <v>171</v>
      </c>
      <c r="C171" s="3" t="str">
        <f>IFERROR(__xludf.DUMMYFUNCTION("GOOGLETRANSLATE(B171,""id"",""en"")"),"['Good', 'buy', 'package', 'wifi', 'get', 'point', 'exchanged', 'dehh', '']")</f>
        <v>['Good', 'buy', 'package', 'wifi', 'get', 'point', 'exchanged', 'dehh', '']</v>
      </c>
      <c r="D171" s="3">
        <v>5.0</v>
      </c>
    </row>
    <row r="172" ht="15.75" customHeight="1">
      <c r="A172" s="1">
        <v>173.0</v>
      </c>
      <c r="B172" s="3" t="s">
        <v>172</v>
      </c>
      <c r="C172" s="3" t="str">
        <f>IFERROR(__xludf.DUMMYFUNCTION("GOOGLETRANSLATE(B172,""id"",""en"")"),"['Mantul', 'APK', 'Network', 'slow', 'floor', 'signal', 'cuocokk', 'poll', 'pokonya']")</f>
        <v>['Mantul', 'APK', 'Network', 'slow', 'floor', 'signal', 'cuocokk', 'poll', 'pokonya']</v>
      </c>
      <c r="D172" s="3">
        <v>5.0</v>
      </c>
    </row>
    <row r="173" ht="15.75" customHeight="1">
      <c r="A173" s="1">
        <v>174.0</v>
      </c>
      <c r="B173" s="3" t="s">
        <v>173</v>
      </c>
      <c r="C173" s="3" t="str">
        <f>IFERROR(__xludf.DUMMYFUNCTION("GOOGLETRANSLATE(B173,""id"",""en"")"),"['Application', 'Helpful', 'Modern', 'Modern', 'Thank you', 'Indihome', 'launch', 'access', 'Internet', 'Doing business']")</f>
        <v>['Application', 'Helpful', 'Modern', 'Modern', 'Thank you', 'Indihome', 'launch', 'access', 'Internet', 'Doing business']</v>
      </c>
      <c r="D173" s="3">
        <v>5.0</v>
      </c>
    </row>
    <row r="174" ht="15.75" customHeight="1">
      <c r="A174" s="1">
        <v>175.0</v>
      </c>
      <c r="B174" s="3" t="s">
        <v>174</v>
      </c>
      <c r="C174" s="3" t="str">
        <f>IFERROR(__xludf.DUMMYFUNCTION("GOOGLETRANSLATE(B174,""id"",""en"")"),"['Display', 'user', 'friendly', 'really', 'circles',' child ',' child ',' until ',' use ',' the application ',' increase ',' quality ',' Yaa ']")</f>
        <v>['Display', 'user', 'friendly', 'really', 'circles',' child ',' child ',' until ',' use ',' the application ',' increase ',' quality ',' Yaa ']</v>
      </c>
      <c r="D174" s="3">
        <v>5.0</v>
      </c>
    </row>
    <row r="175" ht="15.75" customHeight="1">
      <c r="A175" s="1">
        <v>176.0</v>
      </c>
      <c r="B175" s="3" t="s">
        <v>175</v>
      </c>
      <c r="C175" s="3" t="str">
        <f>IFERROR(__xludf.DUMMYFUNCTION("GOOGLETRANSLATE(B175,""id"",""en"")"),"['Login', 'week', 'yesterday', 'poor', 'yesterday', 'tasty', 'ajja', 'his application', 'coffee', 'ngoding', 'sorted', 'release', ' ']")</f>
        <v>['Login', 'week', 'yesterday', 'poor', 'yesterday', 'tasty', 'ajja', 'his application', 'coffee', 'ngoding', 'sorted', 'release', ' ']</v>
      </c>
      <c r="D175" s="3">
        <v>1.0</v>
      </c>
    </row>
    <row r="176" ht="15.75" customHeight="1">
      <c r="A176" s="1">
        <v>177.0</v>
      </c>
      <c r="B176" s="3" t="s">
        <v>176</v>
      </c>
      <c r="C176" s="3" t="str">
        <f>IFERROR(__xludf.DUMMYFUNCTION("GOOGLETRANSLATE(B176,""id"",""en"")"),"['boss', 'what', 'menu', 'speed', 'demand', 'sod', 'renewspeed', 'update', 'please', 'response']")</f>
        <v>['boss', 'what', 'menu', 'speed', 'demand', 'sod', 'renewspeed', 'update', 'please', 'response']</v>
      </c>
      <c r="D176" s="3">
        <v>1.0</v>
      </c>
    </row>
    <row r="177" ht="15.75" customHeight="1">
      <c r="A177" s="1">
        <v>178.0</v>
      </c>
      <c r="B177" s="3" t="s">
        <v>177</v>
      </c>
      <c r="C177" s="3" t="str">
        <f>IFERROR(__xludf.DUMMYFUNCTION("GOOGLETRANSLATE(B177,""id"",""en"")"),"['APK', 'Severe', 'sedukgights']")</f>
        <v>['APK', 'Severe', 'sedukgights']</v>
      </c>
      <c r="D177" s="3">
        <v>1.0</v>
      </c>
    </row>
    <row r="178" ht="15.75" customHeight="1">
      <c r="A178" s="1">
        <v>179.0</v>
      </c>
      <c r="B178" s="3" t="s">
        <v>178</v>
      </c>
      <c r="C178" s="3" t="str">
        <f>IFERROR(__xludf.DUMMYFUNCTION("GOOGLETRANSLATE(B178,""id"",""en"")"),"['', 'Login', 'dizziness', '']")</f>
        <v>['', 'Login', 'dizziness', '']</v>
      </c>
      <c r="D178" s="3">
        <v>1.0</v>
      </c>
    </row>
    <row r="179" ht="15.75" customHeight="1">
      <c r="A179" s="1">
        <v>180.0</v>
      </c>
      <c r="B179" s="3" t="s">
        <v>179</v>
      </c>
      <c r="C179" s="3" t="str">
        <f>IFERROR(__xludf.DUMMYFUNCTION("GOOGLETRANSLATE(B179,""id"",""en"")"),"['Update', 'App', 'Nov', 'Severe', 'Difficult', 'Loading', 'Application', 'Disruption', 'Request', 'Ticket', 'Repair', 'Directed', ' Reset ',' Research ',' Reset ',' Solution ',' Stay ',' Wait ',' Provider ',' Enter ',' Goodbye ',' IndiHome ']")</f>
        <v>['Update', 'App', 'Nov', 'Severe', 'Difficult', 'Loading', 'Application', 'Disruption', 'Request', 'Ticket', 'Repair', 'Directed', ' Reset ',' Research ',' Reset ',' Solution ',' Stay ',' Wait ',' Provider ',' Enter ',' Goodbye ',' IndiHome ']</v>
      </c>
      <c r="D179" s="3">
        <v>1.0</v>
      </c>
    </row>
    <row r="180" ht="15.75" customHeight="1">
      <c r="A180" s="1">
        <v>181.0</v>
      </c>
      <c r="B180" s="3" t="s">
        <v>180</v>
      </c>
      <c r="C180" s="3" t="str">
        <f>IFERROR(__xludf.DUMMYFUNCTION("GOOGLETRANSLATE(B180,""id"",""en"")"),"['Delicious',' really ',' Indihome ',' internet ',' smooth ',' it costs', 'affordable', 'stick', 'watch', 'film', 'YouTube', 'hope', ' In the future ',' Good ', ""]")</f>
        <v>['Delicious',' really ',' Indihome ',' internet ',' smooth ',' it costs', 'affordable', 'stick', 'watch', 'film', 'YouTube', 'hope', ' In the future ',' Good ', "]</v>
      </c>
      <c r="D180" s="3">
        <v>5.0</v>
      </c>
    </row>
    <row r="181" ht="15.75" customHeight="1">
      <c r="A181" s="1">
        <v>182.0</v>
      </c>
      <c r="B181" s="3" t="s">
        <v>181</v>
      </c>
      <c r="C181" s="3" t="str">
        <f>IFERROR(__xludf.DUMMYFUNCTION("GOOGLETRANSLATE(B181,""id"",""en"")"),"['Indihome', 'The', 'Best', 'Price', 'Package', 'Indihome', 'Affordable', 'Available', 'Service', 'Call', 'Center', 'Clock', ' Supports', 'Process',' Registration ',' Customer ',' Via ',' Online ',' ']")</f>
        <v>['Indihome', 'The', 'Best', 'Price', 'Package', 'Indihome', 'Affordable', 'Available', 'Service', 'Call', 'Center', 'Clock', ' Supports', 'Process',' Registration ',' Customer ',' Via ',' Online ',' ']</v>
      </c>
      <c r="D181" s="3">
        <v>5.0</v>
      </c>
    </row>
    <row r="182" ht="15.75" customHeight="1">
      <c r="A182" s="1">
        <v>183.0</v>
      </c>
      <c r="B182" s="3" t="s">
        <v>182</v>
      </c>
      <c r="C182" s="3" t="str">
        <f>IFERROR(__xludf.DUMMYFUNCTION("GOOGLETRANSLATE(B182,""id"",""en"")"),"['Upgrade', 'Application', 'Login', 'Uda', 'report']")</f>
        <v>['Upgrade', 'Application', 'Login', 'Uda', 'report']</v>
      </c>
      <c r="D182" s="3">
        <v>2.0</v>
      </c>
    </row>
    <row r="183" ht="15.75" customHeight="1">
      <c r="A183" s="1">
        <v>184.0</v>
      </c>
      <c r="B183" s="3" t="s">
        <v>183</v>
      </c>
      <c r="C183" s="3" t="str">
        <f>IFERROR(__xludf.DUMMYFUNCTION("GOOGLETRANSLATE(B183,""id"",""en"")"),"['application', 'good', 'features', 'okay', 'friendly', 'really']")</f>
        <v>['application', 'good', 'features', 'okay', 'friendly', 'really']</v>
      </c>
      <c r="D183" s="3">
        <v>5.0</v>
      </c>
    </row>
    <row r="184" ht="15.75" customHeight="1">
      <c r="A184" s="1">
        <v>185.0</v>
      </c>
      <c r="B184" s="3" t="s">
        <v>184</v>
      </c>
      <c r="C184" s="3" t="str">
        <f>IFERROR(__xludf.DUMMYFUNCTION("GOOGLETRANSLATE(B184,""id"",""en"")"),"['Display', 'face', 'neat', 'like', 'no', 'confused', 'network', 'indihome', 'smooth', 'guard', 'quality', 'indihome', ' Thx]")</f>
        <v>['Display', 'face', 'neat', 'like', 'no', 'confused', 'network', 'indihome', 'smooth', 'guard', 'quality', 'indihome', ' Thx]</v>
      </c>
      <c r="D184" s="3">
        <v>5.0</v>
      </c>
    </row>
    <row r="185" ht="15.75" customHeight="1">
      <c r="A185" s="1">
        <v>186.0</v>
      </c>
      <c r="B185" s="3" t="s">
        <v>185</v>
      </c>
      <c r="C185" s="3" t="str">
        <f>IFERROR(__xludf.DUMMYFUNCTION("GOOGLETRANSLATE(B185,""id"",""en"")"),"['application', 'help', 'check', 'use', 'wifi', 'at home', 'network', 'internet', 'smooth', 'download']")</f>
        <v>['application', 'help', 'check', 'use', 'wifi', 'at home', 'network', 'internet', 'smooth', 'download']</v>
      </c>
      <c r="D185" s="3">
        <v>5.0</v>
      </c>
    </row>
    <row r="186" ht="15.75" customHeight="1">
      <c r="A186" s="1">
        <v>187.0</v>
      </c>
      <c r="B186" s="3" t="s">
        <v>186</v>
      </c>
      <c r="C186" s="3" t="str">
        <f>IFERROR(__xludf.DUMMYFUNCTION("GOOGLETRANSLATE(B186,""id"",""en"")"),"['Cool', 'the application', 'makes it easy', 'check', 'status',' network ',' select ',' package ',' wifi ',' etc. ',' application ',' makes it easy ',' work ',' selling ',' online ',' Certain ',' related ',' closely ',' internet ',' blessing ',' applicati"&amp;"on ',' go home ',' go ',' telkom ', ""]")</f>
        <v>['Cool', 'the application', 'makes it easy', 'check', 'status',' network ',' select ',' package ',' wifi ',' etc. ',' application ',' makes it easy ',' work ',' selling ',' online ',' Certain ',' related ',' closely ',' internet ',' blessing ',' application ',' go home ',' go ',' telkom ', "]</v>
      </c>
      <c r="D186" s="3">
        <v>5.0</v>
      </c>
    </row>
    <row r="187" ht="15.75" customHeight="1">
      <c r="A187" s="1">
        <v>188.0</v>
      </c>
      <c r="B187" s="3" t="s">
        <v>187</v>
      </c>
      <c r="C187" s="3" t="str">
        <f>IFERROR(__xludf.DUMMYFUNCTION("GOOGLETRANSLATE(B187,""id"",""en"")"),"['company', 'Worst', 'Abis',' Pay ',' Disruption ',' fix ',' go bankrupt ',' how ',' Pay ',' expensive ',' Employee ',' Males', ' Malesan ',' already ',' eat ',' money ',' Haram ',' ']")</f>
        <v>['company', 'Worst', 'Abis',' Pay ',' Disruption ',' fix ',' go bankrupt ',' how ',' Pay ',' expensive ',' Employee ',' Males', ' Malesan ',' already ',' eat ',' money ',' Haram ',' ']</v>
      </c>
      <c r="D187" s="3">
        <v>1.0</v>
      </c>
    </row>
    <row r="188" ht="15.75" customHeight="1">
      <c r="A188" s="1">
        <v>189.0</v>
      </c>
      <c r="B188" s="3" t="s">
        <v>188</v>
      </c>
      <c r="C188" s="3" t="str">
        <f>IFERROR(__xludf.DUMMYFUNCTION("GOOGLETRANSLATE(B188,""id"",""en"")"),"['It's easy', 'really', 'pay', 'bills', 'indihome', 'complaints', 'stay', 'application', 'basically', 'good', 'deh', 'system']")</f>
        <v>['It's easy', 'really', 'pay', 'bills', 'indihome', 'complaints', 'stay', 'application', 'basically', 'good', 'deh', 'system']</v>
      </c>
      <c r="D188" s="3">
        <v>5.0</v>
      </c>
    </row>
    <row r="189" ht="15.75" customHeight="1">
      <c r="A189" s="1">
        <v>190.0</v>
      </c>
      <c r="B189" s="3" t="s">
        <v>189</v>
      </c>
      <c r="C189" s="3" t="str">
        <f>IFERROR(__xludf.DUMMYFUNCTION("GOOGLETRANSLATE(B189,""id"",""en"")"),"['Internet', 'Leet', 'APK', 'Leet', '']")</f>
        <v>['Internet', 'Leet', 'APK', 'Leet', '']</v>
      </c>
      <c r="D189" s="3">
        <v>1.0</v>
      </c>
    </row>
    <row r="190" ht="15.75" customHeight="1">
      <c r="A190" s="1">
        <v>191.0</v>
      </c>
      <c r="B190" s="3" t="s">
        <v>190</v>
      </c>
      <c r="C190" s="3" t="str">
        <f>IFERROR(__xludf.DUMMYFUNCTION("GOOGLETRANSLATE(B190,""id"",""en"")"),"['Indihome', 'version', 'report', 'disorder', 'Please', 'fix', 'difficult', 'getting', 'handling', 'report', 'disorder']")</f>
        <v>['Indihome', 'version', 'report', 'disorder', 'Please', 'fix', 'difficult', 'getting', 'handling', 'report', 'disorder']</v>
      </c>
      <c r="D190" s="3">
        <v>3.0</v>
      </c>
    </row>
    <row r="191" ht="15.75" customHeight="1">
      <c r="A191" s="1">
        <v>192.0</v>
      </c>
      <c r="B191" s="3" t="s">
        <v>191</v>
      </c>
      <c r="C191" s="3" t="str">
        <f>IFERROR(__xludf.DUMMYFUNCTION("GOOGLETRANSLATE(B191,""id"",""en"")"),"['Councork', 'Please', 'fix']")</f>
        <v>['Councork', 'Please', 'fix']</v>
      </c>
      <c r="D191" s="3">
        <v>5.0</v>
      </c>
    </row>
    <row r="192" ht="15.75" customHeight="1">
      <c r="A192" s="1">
        <v>193.0</v>
      </c>
      <c r="B192" s="3" t="s">
        <v>192</v>
      </c>
      <c r="C192" s="3" t="str">
        <f>IFERROR(__xludf.DUMMYFUNCTION("GOOGLETRANSLATE(B192,""id"",""en"")"),"['Severe', 'slow', 'update', 'slow', 'muter', 'buffring', 'then', 'please', 'fix', 'loss', 'customer', '']")</f>
        <v>['Severe', 'slow', 'update', 'slow', 'muter', 'buffring', 'then', 'please', 'fix', 'loss', 'customer', '']</v>
      </c>
      <c r="D192" s="3">
        <v>1.0</v>
      </c>
    </row>
    <row r="193" ht="15.75" customHeight="1">
      <c r="A193" s="1">
        <v>194.0</v>
      </c>
      <c r="B193" s="3" t="s">
        <v>193</v>
      </c>
      <c r="C193" s="3" t="str">
        <f>IFERROR(__xludf.DUMMYFUNCTION("GOOGLETRANSLATE(B193,""id"",""en"")"),"['Display', 'good', 'darling', 'home', 'turned out', 'functioning', 'agent', 'idihome', 'whisis']")</f>
        <v>['Display', 'good', 'darling', 'home', 'turned out', 'functioning', 'agent', 'idihome', 'whisis']</v>
      </c>
      <c r="D193" s="3">
        <v>5.0</v>
      </c>
    </row>
    <row r="194" ht="15.75" customHeight="1">
      <c r="A194" s="1">
        <v>195.0</v>
      </c>
      <c r="B194" s="3" t="s">
        <v>194</v>
      </c>
      <c r="C194" s="3" t="str">
        <f>IFERROR(__xludf.DUMMYFUNCTION("GOOGLETRANSLATE(B194,""id"",""en"")"),"['Application', 'Recommendations', 'Bangett', 'Features', 'Good', 'Kece', 'Certain', 'Easy', 'Can', 'Understand', 'Kids', 'Lay']")</f>
        <v>['Application', 'Recommendations', 'Bangett', 'Features', 'Good', 'Kece', 'Certain', 'Easy', 'Can', 'Understand', 'Kids', 'Lay']</v>
      </c>
      <c r="D194" s="3">
        <v>5.0</v>
      </c>
    </row>
    <row r="195" ht="15.75" customHeight="1">
      <c r="A195" s="1">
        <v>196.0</v>
      </c>
      <c r="B195" s="3" t="s">
        <v>195</v>
      </c>
      <c r="C195" s="3" t="str">
        <f>IFERROR(__xludf.DUMMYFUNCTION("GOOGLETRANSLATE(B195,""id"",""en"")"),"['application', 'help', 'user', 'indihome']")</f>
        <v>['application', 'help', 'user', 'indihome']</v>
      </c>
      <c r="D195" s="3">
        <v>5.0</v>
      </c>
    </row>
    <row r="196" ht="15.75" customHeight="1">
      <c r="A196" s="1">
        <v>197.0</v>
      </c>
      <c r="B196" s="3" t="s">
        <v>196</v>
      </c>
      <c r="C196" s="3" t="str">
        <f>IFERROR(__xludf.DUMMYFUNCTION("GOOGLETRANSLATE(B196,""id"",""en"")"),"['Download', 'application', 'handy', 'user', 'indihome', 'simple', 'bsa', 'info', 'indihome', 'item', 'program', 'indihom', ' Schedule ',' Payment ',' Penawarang ',' Latest ',' Mreka ',' Offer ',' User ',' Indihom ',' Certain ',' Make it easy ',' Recommen"&amp;"ded ',' Download ',' User ' , 'Indihom', 'activation', 'Indihome']")</f>
        <v>['Download', 'application', 'handy', 'user', 'indihome', 'simple', 'bsa', 'info', 'indihome', 'item', 'program', 'indihom', ' Schedule ',' Payment ',' Penawarang ',' Latest ',' Mreka ',' Offer ',' User ',' Indihom ',' Certain ',' Make it easy ',' Recommended ',' Download ',' User ' , 'Indihom', 'activation', 'Indihome']</v>
      </c>
      <c r="D196" s="3">
        <v>5.0</v>
      </c>
    </row>
    <row r="197" ht="15.75" customHeight="1">
      <c r="A197" s="1">
        <v>198.0</v>
      </c>
      <c r="B197" s="3" t="s">
        <v>197</v>
      </c>
      <c r="C197" s="3" t="str">
        <f>IFERROR(__xludf.DUMMYFUNCTION("GOOGLETRANSLATE(B197,""id"",""en"")"),"['The application', 'Cool', 'features',' check ',' bill ',' check ',' point ',' myindihome ',' info ',' usage ',' service ',' steady ',' deh ',' pokonya ']")</f>
        <v>['The application', 'Cool', 'features',' check ',' bill ',' check ',' point ',' myindihome ',' info ',' usage ',' service ',' steady ',' deh ',' pokonya ']</v>
      </c>
      <c r="D197" s="3">
        <v>5.0</v>
      </c>
    </row>
    <row r="198" ht="15.75" customHeight="1">
      <c r="A198" s="1">
        <v>199.0</v>
      </c>
      <c r="B198" s="3" t="s">
        <v>198</v>
      </c>
      <c r="C198" s="3" t="str">
        <f>IFERROR(__xludf.DUMMYFUNCTION("GOOGLETRANSLATE(B198,""id"",""en"")"),"['The application', 'okay', 'really', 'features', 'complete', 'check', 'check', 'network', 'territory', 'deh', 'friendly', 'fast' Response ',' really ',' ']")</f>
        <v>['The application', 'okay', 'really', 'features', 'complete', 'check', 'check', 'network', 'territory', 'deh', 'friendly', 'fast' Response ',' really ',' ']</v>
      </c>
      <c r="D198" s="3">
        <v>5.0</v>
      </c>
    </row>
    <row r="199" ht="15.75" customHeight="1">
      <c r="A199" s="1">
        <v>200.0</v>
      </c>
      <c r="B199" s="3" t="s">
        <v>199</v>
      </c>
      <c r="C199" s="3" t="str">
        <f>IFERROR(__xludf.DUMMYFUNCTION("GOOGLETRANSLATE(B199,""id"",""en"")"),"['satisfied']")</f>
        <v>['satisfied']</v>
      </c>
      <c r="D199" s="3">
        <v>5.0</v>
      </c>
    </row>
    <row r="200" ht="15.75" customHeight="1">
      <c r="A200" s="1">
        <v>201.0</v>
      </c>
      <c r="B200" s="3" t="s">
        <v>200</v>
      </c>
      <c r="C200" s="3" t="str">
        <f>IFERROR(__xludf.DUMMYFUNCTION("GOOGLETRANSLATE(B200,""id"",""en"")"),"['ugly', 'Loading']")</f>
        <v>['ugly', 'Loading']</v>
      </c>
      <c r="D200" s="3">
        <v>1.0</v>
      </c>
    </row>
    <row r="201" ht="15.75" customHeight="1">
      <c r="A201" s="1">
        <v>202.0</v>
      </c>
      <c r="B201" s="3" t="s">
        <v>201</v>
      </c>
      <c r="C201" s="3" t="str">
        <f>IFERROR(__xludf.DUMMYFUNCTION("GOOGLETRANSLATE(B201,""id"",""en"")"),"['Application', 'Myi', 'Easy to', 'Customer', 'Monitoring', 'Report', 'Addition', 'Service', 'Hopefully', 'Hopefully', 'In the future', 'Bug', ' Update ',' application ',' Myi ',' minimally ',' bug ',' success', 'Telkom', 'Indonesia', ""]")</f>
        <v>['Application', 'Myi', 'Easy to', 'Customer', 'Monitoring', 'Report', 'Addition', 'Service', 'Hopefully', 'Hopefully', 'In the future', 'Bug', ' Update ',' application ',' Myi ',' minimally ',' bug ',' success', 'Telkom', 'Indonesia', "]</v>
      </c>
      <c r="D201" s="3">
        <v>5.0</v>
      </c>
    </row>
    <row r="202" ht="15.75" customHeight="1">
      <c r="A202" s="1">
        <v>203.0</v>
      </c>
      <c r="B202" s="3" t="s">
        <v>202</v>
      </c>
      <c r="C202" s="3" t="str">
        <f>IFERROR(__xludf.DUMMYFUNCTION("GOOGLETRANSLATE(B202,""id"",""en"")"),"['application', 'good', 'practical', 'makes it easy', 'buy', 'package', 'according to', 'need', 'easy', 'network']")</f>
        <v>['application', 'good', 'practical', 'makes it easy', 'buy', 'package', 'according to', 'need', 'easy', 'network']</v>
      </c>
      <c r="D202" s="3">
        <v>5.0</v>
      </c>
    </row>
    <row r="203" ht="15.75" customHeight="1">
      <c r="A203" s="1">
        <v>204.0</v>
      </c>
      <c r="B203" s="3" t="s">
        <v>203</v>
      </c>
      <c r="C203" s="3" t="str">
        <f>IFERROR(__xludf.DUMMYFUNCTION("GOOGLETRANSLATE(B203,""id"",""en"")"),"['Happy', 'really', 'monitor', 'wifi', 'at home', 'features',' complete ',' bills', 'speed', 'internet', 'disturbance', 'ALREADY', ' fast ',' resolved ',' deh ',' steady ',' indihome ']")</f>
        <v>['Happy', 'really', 'monitor', 'wifi', 'at home', 'features',' complete ',' bills', 'speed', 'internet', 'disturbance', 'ALREADY', ' fast ',' resolved ',' deh ',' steady ',' indihome ']</v>
      </c>
      <c r="D203" s="3">
        <v>5.0</v>
      </c>
    </row>
    <row r="204" ht="15.75" customHeight="1">
      <c r="A204" s="1">
        <v>205.0</v>
      </c>
      <c r="B204" s="3" t="s">
        <v>204</v>
      </c>
      <c r="C204" s="3" t="str">
        <f>IFERROR(__xludf.DUMMYFUNCTION("GOOGLETRANSLATE(B204,""id"",""en"")"),"['Indihome' experience, 'obstacle', 'anything', 'SLLU', 'Information', 'Indihome', 'obstacle', 'Indihome', 'SLLu', 'fast', 'handle it', ' SLLU ',' Solution ',' ']")</f>
        <v>['Indihome' experience, 'obstacle', 'anything', 'SLLU', 'Information', 'Indihome', 'obstacle', 'Indihome', 'SLLu', 'fast', 'handle it', ' SLLU ',' Solution ',' ']</v>
      </c>
      <c r="D204" s="3">
        <v>5.0</v>
      </c>
    </row>
    <row r="205" ht="15.75" customHeight="1">
      <c r="A205" s="1">
        <v>206.0</v>
      </c>
      <c r="B205" s="3" t="s">
        <v>205</v>
      </c>
      <c r="C205" s="3" t="str">
        <f>IFERROR(__xludf.DUMMYFUNCTION("GOOGLETRANSLATE(B205,""id"",""en"")"),"['application', 'virtue', 'help', 'manage', 'at home', 'outlet', 'telkom', 'thank you', 'indihome', '']")</f>
        <v>['application', 'virtue', 'help', 'manage', 'at home', 'outlet', 'telkom', 'thank you', 'indihome', '']</v>
      </c>
      <c r="D205" s="3">
        <v>5.0</v>
      </c>
    </row>
    <row r="206" ht="15.75" customHeight="1">
      <c r="A206" s="1">
        <v>207.0</v>
      </c>
      <c r="B206" s="3" t="s">
        <v>206</v>
      </c>
      <c r="C206" s="3" t="str">
        <f>IFERROR(__xludf.DUMMYFUNCTION("GOOGLETRANSLATE(B206,""id"",""en"")"),"['The choice', 'No.', 'Ngebosenin', 'The Network', 'Good', 'Suitable', 'Rare', 'Watch', ""]")</f>
        <v>['The choice', 'No.', 'Ngebosenin', 'The Network', 'Good', 'Suitable', 'Rare', 'Watch', "]</v>
      </c>
      <c r="D206" s="3">
        <v>5.0</v>
      </c>
    </row>
    <row r="207" ht="15.75" customHeight="1">
      <c r="A207" s="1">
        <v>208.0</v>
      </c>
      <c r="B207" s="3" t="s">
        <v>207</v>
      </c>
      <c r="C207" s="3" t="str">
        <f>IFERROR(__xludf.DUMMYFUNCTION("GOOGLETRANSLATE(B207,""id"",""en"")"),"['Indihome', 'Internet', 'smooth', 'obstacles', 'business', 'sosmed', 'smooth', 'really', 'download', 'makes it easier', 'access', 'indihome']")</f>
        <v>['Indihome', 'Internet', 'smooth', 'obstacles', 'business', 'sosmed', 'smooth', 'really', 'download', 'makes it easier', 'access', 'indihome']</v>
      </c>
      <c r="D207" s="3">
        <v>5.0</v>
      </c>
    </row>
    <row r="208" ht="15.75" customHeight="1">
      <c r="A208" s="1">
        <v>209.0</v>
      </c>
      <c r="B208" s="3" t="s">
        <v>208</v>
      </c>
      <c r="C208" s="3" t="str">
        <f>IFERROR(__xludf.DUMMYFUNCTION("GOOGLETRANSLATE(B208,""id"",""en"")"),"['Wow', 'good', 'application', 'help', 'internet', 'package', 'cheap', 'thank', 'love', 'indihome', ""]")</f>
        <v>['Wow', 'good', 'application', 'help', 'internet', 'package', 'cheap', 'thank', 'love', 'indihome', "]</v>
      </c>
      <c r="D208" s="3">
        <v>5.0</v>
      </c>
    </row>
    <row r="209" ht="15.75" customHeight="1">
      <c r="A209" s="1">
        <v>210.0</v>
      </c>
      <c r="B209" s="3" t="s">
        <v>209</v>
      </c>
      <c r="C209" s="3" t="str">
        <f>IFERROR(__xludf.DUMMYFUNCTION("GOOGLETRANSLATE(B209,""id"",""en"")"),"['Update', 'Login', 'Login', 'Use', 'Posts', 'Development', 'Repair', 'Etc.', 'Disappointed', 'Gini', 'Application', 'Indihome']")</f>
        <v>['Update', 'Login', 'Login', 'Use', 'Posts', 'Development', 'Repair', 'Etc.', 'Disappointed', 'Gini', 'Application', 'Indihome']</v>
      </c>
      <c r="D209" s="3">
        <v>1.0</v>
      </c>
    </row>
    <row r="210" ht="15.75" customHeight="1">
      <c r="A210" s="1">
        <v>211.0</v>
      </c>
      <c r="B210" s="3" t="s">
        <v>210</v>
      </c>
      <c r="C210" s="3" t="str">
        <f>IFERROR(__xludf.DUMMYFUNCTION("GOOGLETRANSLATE(B210,""id"",""en"")"),"['Application', 'Help', 'User', 'Indihomee', 'Application', 'Lemot', 'Feature', 'Complete', 'Bangeeet', 'Sip', 'Indihome']")</f>
        <v>['Application', 'Help', 'User', 'Indihomee', 'Application', 'Lemot', 'Feature', 'Complete', 'Bangeeet', 'Sip', 'Indihome']</v>
      </c>
      <c r="D210" s="3">
        <v>5.0</v>
      </c>
    </row>
    <row r="211" ht="15.75" customHeight="1">
      <c r="A211" s="1">
        <v>212.0</v>
      </c>
      <c r="B211" s="3" t="s">
        <v>211</v>
      </c>
      <c r="C211" s="3" t="str">
        <f>IFERROR(__xludf.DUMMYFUNCTION("GOOGLETRANSLATE(B211,""id"",""en"")"),"['no', 'already', 'nggk', 'connected', 'see', 'brpa', 'connected', 'wifi', '']")</f>
        <v>['no', 'already', 'nggk', 'connected', 'see', 'brpa', 'connected', 'wifi', '']</v>
      </c>
      <c r="D211" s="3">
        <v>1.0</v>
      </c>
    </row>
    <row r="212" ht="15.75" customHeight="1">
      <c r="A212" s="1">
        <v>213.0</v>
      </c>
      <c r="B212" s="3" t="s">
        <v>212</v>
      </c>
      <c r="C212" s="3" t="str">
        <f>IFERROR(__xludf.DUMMYFUNCTION("GOOGLETRANSLATE(B212,""id"",""en"")"),"['already', 'really', 'Indihome', 'signal', 'fast', 'price', 'cheap', 'save', 'usage', 'houses',' people ',' hahah ',' Rarely ',' obstacles', 'Success',' Indihome ', ""]")</f>
        <v>['already', 'really', 'Indihome', 'signal', 'fast', 'price', 'cheap', 'save', 'usage', 'houses',' people ',' hahah ',' Rarely ',' obstacles', 'Success',' Indihome ', "]</v>
      </c>
      <c r="D212" s="3">
        <v>5.0</v>
      </c>
    </row>
    <row r="213" ht="15.75" customHeight="1">
      <c r="A213" s="1">
        <v>214.0</v>
      </c>
      <c r="B213" s="3" t="s">
        <v>213</v>
      </c>
      <c r="C213" s="3" t="str">
        <f>IFERROR(__xludf.DUMMYFUNCTION("GOOGLETRANSLATE(B213,""id"",""en"")"),"['Quality', 'Internet', 'Indihome', 'Good', 'Anti', 'Ngelag', 'Like', 'Play', 'Game', 'Recomend', 'Very', 'Fiks',' Anyway ',' really ',' Indihome ',' internet ',' slow ']")</f>
        <v>['Quality', 'Internet', 'Indihome', 'Good', 'Anti', 'Ngelag', 'Like', 'Play', 'Game', 'Recomend', 'Very', 'Fiks',' Anyway ',' really ',' Indihome ',' internet ',' slow ']</v>
      </c>
      <c r="D213" s="3">
        <v>5.0</v>
      </c>
    </row>
    <row r="214" ht="15.75" customHeight="1">
      <c r="A214" s="1">
        <v>215.0</v>
      </c>
      <c r="B214" s="3" t="s">
        <v>214</v>
      </c>
      <c r="C214" s="3" t="str">
        <f>IFERROR(__xludf.DUMMYFUNCTION("GOOGLETRANSLATE(B214,""id"",""en"")"),"['application', 'digital', 'modern', 'equipped', 'features', 'cool', 'in it', 'price', 'promo', 'steady', 'deh']")</f>
        <v>['application', 'digital', 'modern', 'equipped', 'features', 'cool', 'in it', 'price', 'promo', 'steady', 'deh']</v>
      </c>
      <c r="D214" s="3">
        <v>5.0</v>
      </c>
    </row>
    <row r="215" ht="15.75" customHeight="1">
      <c r="A215" s="1">
        <v>216.0</v>
      </c>
      <c r="B215" s="3" t="s">
        <v>215</v>
      </c>
      <c r="C215" s="3" t="str">
        <f>IFERROR(__xludf.DUMMYFUNCTION("GOOGLETRANSLATE(B215,""id"",""en"")"),"['application', 'okay', 'really', 'features',' features', 'provided', 'complete', 'complicated', 'buy', 'quota', 'internet', 'complaint', ' response ',' admin ',' fast ',' responsive ',' help ',' deh ',' just ',' hope ',' in the future ', ""]")</f>
        <v>['application', 'okay', 'really', 'features',' features', 'provided', 'complete', 'complicated', 'buy', 'quota', 'internet', 'complaint', ' response ',' admin ',' fast ',' responsive ',' help ',' deh ',' just ',' hope ',' in the future ', "]</v>
      </c>
      <c r="D215" s="3">
        <v>5.0</v>
      </c>
    </row>
    <row r="216" ht="15.75" customHeight="1">
      <c r="A216" s="1">
        <v>217.0</v>
      </c>
      <c r="B216" s="3" t="s">
        <v>216</v>
      </c>
      <c r="C216" s="3" t="str">
        <f>IFERROR(__xludf.DUMMYFUNCTION("GOOGLETRANSLATE(B216,""id"",""en"")"),"['Since', 'use', 'Indihome', 'internet', 'resolved', 'save', 'expenditure', 'quality', 'network', 'good', 'fiber', 'optical', ' kli ',' yak ',' complaints', 'please', 'plus',' meet ',' need ',' consumer ',' fast ', ""]")</f>
        <v>['Since', 'use', 'Indihome', 'internet', 'resolved', 'save', 'expenditure', 'quality', 'network', 'good', 'fiber', 'optical', ' kli ',' yak ',' complaints', 'please', 'plus',' meet ',' need ',' consumer ',' fast ', "]</v>
      </c>
      <c r="D216" s="3">
        <v>5.0</v>
      </c>
    </row>
    <row r="217" ht="15.75" customHeight="1">
      <c r="A217" s="1">
        <v>218.0</v>
      </c>
      <c r="B217" s="3" t="s">
        <v>217</v>
      </c>
      <c r="C217" s="3" t="str">
        <f>IFERROR(__xludf.DUMMYFUNCTION("GOOGLETRANSLATE(B217,""id"",""en"")"),"['network', 'internet', 'smooth', 'error', 'facility', 'myindihome', 'satisfying']")</f>
        <v>['network', 'internet', 'smooth', 'error', 'facility', 'myindihome', 'satisfying']</v>
      </c>
      <c r="D217" s="3">
        <v>5.0</v>
      </c>
    </row>
    <row r="218" ht="15.75" customHeight="1">
      <c r="A218" s="1">
        <v>219.0</v>
      </c>
      <c r="B218" s="3" t="s">
        <v>218</v>
      </c>
      <c r="C218" s="3" t="str">
        <f>IFERROR(__xludf.DUMMYFUNCTION("GOOGLETRANSLATE(B218,""id"",""en"")"),"['Disruption', 'Report', 'Persusually', 'What' do ',' Try ',' demaruous', 'mudh', 'difficult', 'please', 'disruption', 'please', 'made easy']")</f>
        <v>['Disruption', 'Report', 'Persusually', 'What' do ',' Try ',' demaruous', 'mudh', 'difficult', 'please', 'disruption', 'please', 'made easy']</v>
      </c>
      <c r="D218" s="3">
        <v>1.0</v>
      </c>
    </row>
    <row r="219" ht="15.75" customHeight="1">
      <c r="A219" s="1">
        <v>220.0</v>
      </c>
      <c r="B219" s="3" t="s">
        <v>219</v>
      </c>
      <c r="C219" s="3" t="str">
        <f>IFERROR(__xludf.DUMMYFUNCTION("GOOGLETRANSLATE(B219,""id"",""en"")"),"['Alhamdulillah', 'Current', 'Ngadat', 'DiPk', 'Price', 'Package', 'Affordable', 'Display', 'Hopefully', 'Experience', 'Best', 'Customer', ' Improvements', 'Good', '']")</f>
        <v>['Alhamdulillah', 'Current', 'Ngadat', 'DiPk', 'Price', 'Package', 'Affordable', 'Display', 'Hopefully', 'Experience', 'Best', 'Customer', ' Improvements', 'Good', '']</v>
      </c>
      <c r="D219" s="3">
        <v>5.0</v>
      </c>
    </row>
    <row r="220" ht="15.75" customHeight="1">
      <c r="A220" s="1">
        <v>221.0</v>
      </c>
      <c r="B220" s="3" t="s">
        <v>220</v>
      </c>
      <c r="C220" s="3" t="str">
        <f>IFERROR(__xludf.DUMMYFUNCTION("GOOGLETRANSLATE(B220,""id"",""en"")"),"['application', 'good', 'application', 'search', 'package', 'internet', 'suits',' budget ',' point ',' exchange ',' mercendise ',' interesting ',' ']")</f>
        <v>['application', 'good', 'application', 'search', 'package', 'internet', 'suits',' budget ',' point ',' exchange ',' mercendise ',' interesting ',' ']</v>
      </c>
      <c r="D220" s="3">
        <v>5.0</v>
      </c>
    </row>
    <row r="221" ht="15.75" customHeight="1">
      <c r="A221" s="1">
        <v>222.0</v>
      </c>
      <c r="B221" s="3" t="s">
        <v>221</v>
      </c>
      <c r="C221" s="3" t="str">
        <f>IFERROR(__xludf.DUMMYFUNCTION("GOOGLETRANSLATE(B221,""id"",""en"")"),"['Complete', 'really', 'Anyway', 'Okay', 'Suitable', 'Males', 'Watch', 'Rich', 'Betah', 'at home']")</f>
        <v>['Complete', 'really', 'Anyway', 'Okay', 'Suitable', 'Males', 'Watch', 'Rich', 'Betah', 'at home']</v>
      </c>
      <c r="D221" s="3">
        <v>5.0</v>
      </c>
    </row>
    <row r="222" ht="15.75" customHeight="1">
      <c r="A222" s="1">
        <v>223.0</v>
      </c>
      <c r="B222" s="3" t="s">
        <v>222</v>
      </c>
      <c r="C222" s="3" t="str">
        <f>IFERROR(__xludf.DUMMYFUNCTION("GOOGLETRANSLATE(B222,""id"",""en"")"),"['transaction', 'service', 'indihome', 'easy', 'application', 'myindihome', 'monitor', 'activation', 'package', 'report', 'disorder', 'really', ' Come ',' Install ',' forget ', ""]")</f>
        <v>['transaction', 'service', 'indihome', 'easy', 'application', 'myindihome', 'monitor', 'activation', 'package', 'report', 'disorder', 'really', ' Come ',' Install ',' forget ', "]</v>
      </c>
      <c r="D222" s="3">
        <v>5.0</v>
      </c>
    </row>
    <row r="223" ht="15.75" customHeight="1">
      <c r="A223" s="1">
        <v>224.0</v>
      </c>
      <c r="B223" s="3" t="s">
        <v>223</v>
      </c>
      <c r="C223" s="3" t="str">
        <f>IFERROR(__xludf.DUMMYFUNCTION("GOOGLETRANSLATE(B223,""id"",""en"")"),"['regret', 'Install', 'Application', 'Kirain', 'Liat', 'Device', 'Connected', 'WiFi', 'Appear', 'Device', 'Connected', 'Network', ' Kirain ',' response ',' ']")</f>
        <v>['regret', 'Install', 'Application', 'Kirain', 'Liat', 'Device', 'Connected', 'WiFi', 'Appear', 'Device', 'Connected', 'Network', ' Kirain ',' response ',' ']</v>
      </c>
      <c r="D223" s="3">
        <v>1.0</v>
      </c>
    </row>
    <row r="224" ht="15.75" customHeight="1">
      <c r="A224" s="1">
        <v>225.0</v>
      </c>
      <c r="B224" s="3" t="s">
        <v>224</v>
      </c>
      <c r="C224" s="3" t="str">
        <f>IFERROR(__xludf.DUMMYFUNCTION("GOOGLETRANSLATE(B224,""id"",""en"")"),"['wihhh', 'good', 'nihhh', 'the application', 'because' is 'useful', 'confused', 'use', 'internet', 'home', 'money', 'need' pay ',' good ',' job ']")</f>
        <v>['wihhh', 'good', 'nihhh', 'the application', 'because' is 'useful', 'confused', 'use', 'internet', 'home', 'money', 'need' pay ',' good ',' job ']</v>
      </c>
      <c r="D224" s="3">
        <v>5.0</v>
      </c>
    </row>
    <row r="225" ht="15.75" customHeight="1">
      <c r="A225" s="1">
        <v>226.0</v>
      </c>
      <c r="B225" s="3" t="s">
        <v>225</v>
      </c>
      <c r="C225" s="3" t="str">
        <f>IFERROR(__xludf.DUMMYFUNCTION("GOOGLETRANSLATE(B225,""id"",""en"")"),"['Bangsattt', 'Upgrade', 'Login', 'Keparaatttt']")</f>
        <v>['Bangsattt', 'Upgrade', 'Login', 'Keparaatttt']</v>
      </c>
      <c r="D225" s="3">
        <v>1.0</v>
      </c>
    </row>
    <row r="226" ht="15.75" customHeight="1">
      <c r="A226" s="1">
        <v>227.0</v>
      </c>
      <c r="B226" s="3" t="s">
        <v>226</v>
      </c>
      <c r="C226" s="3" t="str">
        <f>IFERROR(__xludf.DUMMYFUNCTION("GOOGLETRANSLATE(B226,""id"",""en"")"),"['Upgrade', 'difficult', 'report', 'complaint', 'disorder']")</f>
        <v>['Upgrade', 'difficult', 'report', 'complaint', 'disorder']</v>
      </c>
      <c r="D226" s="3">
        <v>1.0</v>
      </c>
    </row>
    <row r="227" ht="15.75" customHeight="1">
      <c r="A227" s="1">
        <v>228.0</v>
      </c>
      <c r="B227" s="3" t="s">
        <v>227</v>
      </c>
      <c r="C227" s="3" t="str">
        <f>IFERROR(__xludf.DUMMYFUNCTION("GOOGLETRANSLATE(B227,""id"",""en"")"),"['Internet', 'dead', 'night', 'beg', 'sent', 'technician', 'office', 'telkom', 'night']")</f>
        <v>['Internet', 'dead', 'night', 'beg', 'sent', 'technician', 'office', 'telkom', 'night']</v>
      </c>
      <c r="D227" s="3">
        <v>1.0</v>
      </c>
    </row>
    <row r="228" ht="15.75" customHeight="1">
      <c r="A228" s="1">
        <v>229.0</v>
      </c>
      <c r="B228" s="3" t="s">
        <v>228</v>
      </c>
      <c r="C228" s="3" t="str">
        <f>IFERROR(__xludf.DUMMYFUNCTION("GOOGLETRANSLATE(B228,""id"",""en"")"),"['Thanks', 'Indihome', 'option', 'offering', 'Package', 'Indihome', 'Study', 'Cheap', 'Rb', 'a month']")</f>
        <v>['Thanks', 'Indihome', 'option', 'offering', 'Package', 'Indihome', 'Study', 'Cheap', 'Rb', 'a month']</v>
      </c>
      <c r="D228" s="3">
        <v>5.0</v>
      </c>
    </row>
    <row r="229" ht="15.75" customHeight="1">
      <c r="A229" s="1">
        <v>230.0</v>
      </c>
      <c r="B229" s="3" t="s">
        <v>229</v>
      </c>
      <c r="C229" s="3" t="str">
        <f>IFERROR(__xludf.DUMMYFUNCTION("GOOGLETRANSLATE(B229,""id"",""en"")"),"['what', 'after', 'update', 'performance', 'APK', 'good', 'wrong', 'input', 'password', 'password', 'strange', 'troubles',' ']")</f>
        <v>['what', 'after', 'update', 'performance', 'APK', 'good', 'wrong', 'input', 'password', 'password', 'strange', 'troubles',' ']</v>
      </c>
      <c r="D229" s="3">
        <v>1.0</v>
      </c>
    </row>
    <row r="230" ht="15.75" customHeight="1">
      <c r="A230" s="1">
        <v>231.0</v>
      </c>
      <c r="B230" s="3" t="s">
        <v>230</v>
      </c>
      <c r="C230" s="3" t="str">
        <f>IFERROR(__xludf.DUMMYFUNCTION("GOOGLETRANSLATE(B230,""id"",""en"")"),"['Abis', 'update', 'report', 'disruption', 'told', 'activation', 'package', 'internet', 'already', 'subscription', ""]")</f>
        <v>['Abis', 'update', 'report', 'disruption', 'told', 'activation', 'package', 'internet', 'already', 'subscription', "]</v>
      </c>
      <c r="D230" s="3">
        <v>2.0</v>
      </c>
    </row>
    <row r="231" ht="15.75" customHeight="1">
      <c r="A231" s="1">
        <v>232.0</v>
      </c>
      <c r="B231" s="3" t="s">
        <v>231</v>
      </c>
      <c r="C231" s="3" t="str">
        <f>IFERROR(__xludf.DUMMYFUNCTION("GOOGLETRANSLATE(B231,""id"",""en"")"),"['Alhamdulillah', 'Connect', 'Success', 'Expect', 'Hopefully', 'Enhanced', 'Enhanced', 'Comfort', 'Surfing', 'Ria', 'Thank you']")</f>
        <v>['Alhamdulillah', 'Connect', 'Success', 'Expect', 'Hopefully', 'Enhanced', 'Enhanced', 'Comfort', 'Surfing', 'Ria', 'Thank you']</v>
      </c>
      <c r="D231" s="3">
        <v>5.0</v>
      </c>
    </row>
    <row r="232" ht="15.75" customHeight="1">
      <c r="A232" s="1">
        <v>233.0</v>
      </c>
      <c r="B232" s="3" t="s">
        <v>232</v>
      </c>
      <c r="C232" s="3" t="str">
        <f>IFERROR(__xludf.DUMMYFUNCTION("GOOGLETRANSLATE(B232,""id"",""en"")"),"['complaint', 'service', 'function', 'restart', 'reset', 'many', 'times', 'menu', 'complaint', 'report', 'chat', 'indita']")</f>
        <v>['complaint', 'service', 'function', 'restart', 'reset', 'many', 'times', 'menu', 'complaint', 'report', 'chat', 'indita']</v>
      </c>
      <c r="D232" s="3">
        <v>1.0</v>
      </c>
    </row>
    <row r="233" ht="15.75" customHeight="1">
      <c r="A233" s="1">
        <v>234.0</v>
      </c>
      <c r="B233" s="3" t="s">
        <v>233</v>
      </c>
      <c r="C233" s="3" t="str">
        <f>IFERROR(__xludf.DUMMYFUNCTION("GOOGLETRANSLATE(B233,""id"",""en"")"),"['knp', 'apk', 'shaped', 'because', 'box', 'doang', 'kya', 'apk', 'broken', 'android', '']")</f>
        <v>['knp', 'apk', 'shaped', 'because', 'box', 'doang', 'kya', 'apk', 'broken', 'android', '']</v>
      </c>
      <c r="D233" s="3">
        <v>5.0</v>
      </c>
    </row>
    <row r="234" ht="15.75" customHeight="1">
      <c r="A234" s="1">
        <v>235.0</v>
      </c>
      <c r="B234" s="3" t="s">
        <v>234</v>
      </c>
      <c r="C234" s="3" t="str">
        <f>IFERROR(__xludf.DUMMYFUNCTION("GOOGLETRANSLATE(B234,""id"",""en"")"),"['Yesterday', 'his voice', 'Indihomen', 'broken', 'artisan', 'Indihome', 'fix', 'voice', 'look', 'good', 'features',' upgrade ',' Roads', 'that's',' make it easy ',' users', 'remote', 'strange', 'features',' assistant ',' google ',' talk ',' appears', 'in"&amp;"dihome', 'its network' , 'Leet']")</f>
        <v>['Yesterday', 'his voice', 'Indihomen', 'broken', 'artisan', 'Indihome', 'fix', 'voice', 'look', 'good', 'features',' upgrade ',' Roads', 'that's',' make it easy ',' users', 'remote', 'strange', 'features',' assistant ',' google ',' talk ',' appears', 'indihome', 'its network' , 'Leet']</v>
      </c>
      <c r="D234" s="3">
        <v>1.0</v>
      </c>
    </row>
    <row r="235" ht="15.75" customHeight="1">
      <c r="A235" s="1">
        <v>236.0</v>
      </c>
      <c r="B235" s="3" t="s">
        <v>235</v>
      </c>
      <c r="C235" s="3" t="str">
        <f>IFERROR(__xludf.DUMMYFUNCTION("GOOGLETRANSLATE(B235,""id"",""en"")"),"['update', 'log', 'out', 'forget']")</f>
        <v>['update', 'log', 'out', 'forget']</v>
      </c>
      <c r="D235" s="3">
        <v>1.0</v>
      </c>
    </row>
    <row r="236" ht="15.75" customHeight="1">
      <c r="A236" s="1">
        <v>237.0</v>
      </c>
      <c r="B236" s="3" t="s">
        <v>236</v>
      </c>
      <c r="C236" s="3" t="str">
        <f>IFERROR(__xludf.DUMMYFUNCTION("GOOGLETRANSLATE(B236,""id"",""en"")"),"['app', 'broken', 'update', 'gabisa', 'connect', 'number', 'indihome']")</f>
        <v>['app', 'broken', 'update', 'gabisa', 'connect', 'number', 'indihome']</v>
      </c>
      <c r="D236" s="3">
        <v>1.0</v>
      </c>
    </row>
    <row r="237" ht="15.75" customHeight="1">
      <c r="A237" s="1">
        <v>238.0</v>
      </c>
      <c r="B237" s="3" t="s">
        <v>39</v>
      </c>
      <c r="C237" s="3" t="str">
        <f>IFERROR(__xludf.DUMMYFUNCTION("GOOGLETRANSLATE(B237,""id"",""en"")"),"['Application', 'slow']")</f>
        <v>['Application', 'slow']</v>
      </c>
      <c r="D237" s="3">
        <v>1.0</v>
      </c>
    </row>
    <row r="238" ht="15.75" customHeight="1">
      <c r="A238" s="1">
        <v>239.0</v>
      </c>
      <c r="B238" s="3" t="s">
        <v>237</v>
      </c>
      <c r="C238" s="3" t="str">
        <f>IFERROR(__xludf.DUMMYFUNCTION("GOOGLETRANSLATE(B238,""id"",""en"")"),"['signal', 'slow', 'pyar', 'expensive', 'no', 'according to']")</f>
        <v>['signal', 'slow', 'pyar', 'expensive', 'no', 'according to']</v>
      </c>
      <c r="D238" s="3">
        <v>1.0</v>
      </c>
    </row>
    <row r="239" ht="15.75" customHeight="1">
      <c r="A239" s="1">
        <v>240.0</v>
      </c>
      <c r="B239" s="3" t="s">
        <v>238</v>
      </c>
      <c r="C239" s="3" t="str">
        <f>IFERROR(__xludf.DUMMYFUNCTION("GOOGLETRANSLATE(B239,""id"",""en"")"),"['application', 'problem', 'slow', 'maintenance', 'customer', 'waiting', 'for' just ',' improvement ',' installation ',' fast ',' strange ',' TELKOM ',' Dikotaku ',' Choice ',' Move ',' ']")</f>
        <v>['application', 'problem', 'slow', 'maintenance', 'customer', 'waiting', 'for' just ',' improvement ',' installation ',' fast ',' strange ',' TELKOM ',' Dikotaku ',' Choice ',' Move ',' ']</v>
      </c>
      <c r="D239" s="3">
        <v>1.0</v>
      </c>
    </row>
    <row r="240" ht="15.75" customHeight="1">
      <c r="A240" s="1">
        <v>241.0</v>
      </c>
      <c r="B240" s="3" t="s">
        <v>239</v>
      </c>
      <c r="C240" s="3" t="str">
        <f>IFERROR(__xludf.DUMMYFUNCTION("GOOGLETRANSLATE(B240,""id"",""en"")"),"['The application', 'upgrade', 'ugly', 'difficult', 'slow', ""]")</f>
        <v>['The application', 'upgrade', 'ugly', 'difficult', 'slow', "]</v>
      </c>
      <c r="D240" s="3">
        <v>1.0</v>
      </c>
    </row>
    <row r="241" ht="15.75" customHeight="1">
      <c r="A241" s="1">
        <v>242.0</v>
      </c>
      <c r="B241" s="3" t="s">
        <v>240</v>
      </c>
      <c r="C241" s="3" t="str">
        <f>IFERROR(__xludf.DUMMYFUNCTION("GOOGLETRANSLATE(B241,""id"",""en"")"),"['application', 'garbage', 'segoblok', 'person', 'BUMN', 'Sampe', 'application', 'like', 'gini', 'sorted', 'application', 'update', ' Update ',' Profile ',' missing ',' input ',' number ',' email ',' along with ',' password ',' pairs', 'bodied', 'difficul"&amp;"t', 'number', 'customer' , 'number', 'number', 'email', 'data', 'at the office', 'ente', 'remember', 'cooookkkkkkkk', 'nomer', 'email', 'password', '' years ',' Install ',' Indiehome ',' kopeeetttt ']")</f>
        <v>['application', 'garbage', 'segoblok', 'person', 'BUMN', 'Sampe', 'application', 'like', 'gini', 'sorted', 'application', 'update', ' Update ',' Profile ',' missing ',' input ',' number ',' email ',' along with ',' password ',' pairs', 'bodied', 'difficult', 'number', 'customer' , 'number', 'number', 'email', 'data', 'at the office', 'ente', 'remember', 'cooookkkkkkkk', 'nomer', 'email', 'password', '' years ',' Install ',' Indiehome ',' kopeeetttt ']</v>
      </c>
      <c r="D241" s="3">
        <v>1.0</v>
      </c>
    </row>
    <row r="242" ht="15.75" customHeight="1">
      <c r="A242" s="1">
        <v>243.0</v>
      </c>
      <c r="B242" s="3" t="s">
        <v>241</v>
      </c>
      <c r="C242" s="3" t="str">
        <f>IFERROR(__xludf.DUMMYFUNCTION("GOOGLETRANSLATE(B242,""id"",""en"")"),"['Nyesel', 'Install', 'Indihome', 'Bru', 'Yesterday', 'On', 'HRI', 'BSA', 'Used', ""]")</f>
        <v>['Nyesel', 'Install', 'Indihome', 'Bru', 'Yesterday', 'On', 'HRI', 'BSA', 'Used', "]</v>
      </c>
      <c r="D242" s="3">
        <v>1.0</v>
      </c>
    </row>
    <row r="243" ht="15.75" customHeight="1">
      <c r="A243" s="1">
        <v>244.0</v>
      </c>
      <c r="B243" s="3" t="s">
        <v>242</v>
      </c>
      <c r="C243" s="3" t="str">
        <f>IFERROR(__xludf.DUMMYFUNCTION("GOOGLETRANSLATE(B243,""id"",""en"")"),"['officer', 'fix', 'status', 'repair', 'finished', 'how', 'story', ""]")</f>
        <v>['officer', 'fix', 'status', 'repair', 'finished', 'how', 'story', "]</v>
      </c>
      <c r="D243" s="3">
        <v>1.0</v>
      </c>
    </row>
    <row r="244" ht="15.75" customHeight="1">
      <c r="A244" s="1">
        <v>245.0</v>
      </c>
      <c r="B244" s="3" t="s">
        <v>243</v>
      </c>
      <c r="C244" s="3" t="str">
        <f>IFERROR(__xludf.DUMMYFUNCTION("GOOGLETRANSLATE(B244,""id"",""en"")"),"['Renew', 'Speed', 'Easy']")</f>
        <v>['Renew', 'Speed', 'Easy']</v>
      </c>
      <c r="D244" s="3">
        <v>1.0</v>
      </c>
    </row>
    <row r="245" ht="15.75" customHeight="1">
      <c r="A245" s="1">
        <v>246.0</v>
      </c>
      <c r="B245" s="3" t="s">
        <v>244</v>
      </c>
      <c r="C245" s="3" t="str">
        <f>IFERROR(__xludf.DUMMYFUNCTION("GOOGLETRANSLATE(B245,""id"",""en"")"),"['Service', 'Service', 'Good', 'Officer', 'Maintenance', 'Grogol', 'Jakarta', 'West', 'Dekat']")</f>
        <v>['Service', 'Service', 'Good', 'Officer', 'Maintenance', 'Grogol', 'Jakarta', 'West', 'Dekat']</v>
      </c>
      <c r="D245" s="3">
        <v>5.0</v>
      </c>
    </row>
    <row r="246" ht="15.75" customHeight="1">
      <c r="A246" s="1">
        <v>247.0</v>
      </c>
      <c r="B246" s="3" t="s">
        <v>245</v>
      </c>
      <c r="C246" s="3" t="str">
        <f>IFERROR(__xludf.DUMMYFUNCTION("GOOGLETRANSLATE(B246,""id"",""en"")"),"['slow']")</f>
        <v>['slow']</v>
      </c>
      <c r="D246" s="3">
        <v>5.0</v>
      </c>
    </row>
    <row r="247" ht="15.75" customHeight="1">
      <c r="A247" s="1">
        <v>248.0</v>
      </c>
      <c r="B247" s="3" t="s">
        <v>246</v>
      </c>
      <c r="C247" s="3" t="str">
        <f>IFERROR(__xludf.DUMMYFUNCTION("GOOGLETRANSLATE(B247,""id"",""en"")"),"['Out', 'update', 'application', 'heavy', 'opened', 'user', 'friendly', 'kyak', 'market', 'contents', 'selling']")</f>
        <v>['Out', 'update', 'application', 'heavy', 'opened', 'user', 'friendly', 'kyak', 'market', 'contents', 'selling']</v>
      </c>
      <c r="D247" s="3">
        <v>2.0</v>
      </c>
    </row>
    <row r="248" ht="15.75" customHeight="1">
      <c r="A248" s="1">
        <v>249.0</v>
      </c>
      <c r="B248" s="3" t="s">
        <v>247</v>
      </c>
      <c r="C248" s="3" t="str">
        <f>IFERROR(__xludf.DUMMYFUNCTION("GOOGLETRANSLATE(B248,""id"",""en"")"),"['Application', 'Dibroch']")</f>
        <v>['Application', 'Dibroch']</v>
      </c>
      <c r="D248" s="3">
        <v>1.0</v>
      </c>
    </row>
    <row r="249" ht="15.75" customHeight="1">
      <c r="A249" s="1">
        <v>250.0</v>
      </c>
      <c r="B249" s="3" t="s">
        <v>248</v>
      </c>
      <c r="C249" s="3" t="str">
        <f>IFERROR(__xludf.DUMMYFUNCTION("GOOGLETRANSLATE(B249,""id"",""en"")"),"['Error', 'The application', 'Muter', '']")</f>
        <v>['Error', 'The application', 'Muter', '']</v>
      </c>
      <c r="D249" s="3">
        <v>5.0</v>
      </c>
    </row>
    <row r="250" ht="15.75" customHeight="1">
      <c r="A250" s="1">
        <v>252.0</v>
      </c>
      <c r="B250" s="3" t="s">
        <v>249</v>
      </c>
      <c r="C250" s="3" t="str">
        <f>IFERROR(__xludf.DUMMYFUNCTION("GOOGLETRANSLATE(B250,""id"",""en"")"),"['application', 'slow', 'report', 'complaint', 'handled', 'information', 'finished', 'told', 'rating', 'technician', 'dateng', 'turn', ' Reports', 'slow', 'forgiveness',' network ',' celluler ',' tested ',' download ',' smooth ',' ']")</f>
        <v>['application', 'slow', 'report', 'complaint', 'handled', 'information', 'finished', 'told', 'rating', 'technician', 'dateng', 'turn', ' Reports', 'slow', 'forgiveness',' network ',' celluler ',' tested ',' download ',' smooth ',' ']</v>
      </c>
      <c r="D250" s="3">
        <v>1.0</v>
      </c>
    </row>
    <row r="251" ht="15.75" customHeight="1">
      <c r="A251" s="1">
        <v>253.0</v>
      </c>
      <c r="B251" s="3" t="s">
        <v>250</v>
      </c>
      <c r="C251" s="3" t="str">
        <f>IFERROR(__xludf.DUMMYFUNCTION("GOOGLETRANSLATE(B251,""id"",""en"")"),"['Application', 'Loading', 'Network', 'Dead']")</f>
        <v>['Application', 'Loading', 'Network', 'Dead']</v>
      </c>
      <c r="D251" s="3">
        <v>1.0</v>
      </c>
    </row>
    <row r="252" ht="15.75" customHeight="1">
      <c r="A252" s="1">
        <v>254.0</v>
      </c>
      <c r="B252" s="3" t="s">
        <v>251</v>
      </c>
      <c r="C252" s="3" t="str">
        <f>IFERROR(__xludf.DUMMYFUNCTION("GOOGLETRANSLATE(B252,""id"",""en"")"),"['Update', 'Kemaan', 'BUMN', 'MSAK', 'WIFI', 'DRMH', 'Sya', 'Dead', ""]")</f>
        <v>['Update', 'Kemaan', 'BUMN', 'MSAK', 'WIFI', 'DRMH', 'Sya', 'Dead', "]</v>
      </c>
      <c r="D252" s="3">
        <v>1.0</v>
      </c>
    </row>
    <row r="253" ht="15.75" customHeight="1">
      <c r="A253" s="1">
        <v>255.0</v>
      </c>
      <c r="B253" s="3" t="s">
        <v>252</v>
      </c>
      <c r="C253" s="3" t="str">
        <f>IFERROR(__xludf.DUMMYFUNCTION("GOOGLETRANSLATE(B253,""id"",""en"")"),"['Application', 'version', 'Latest', 'Good']")</f>
        <v>['Application', 'version', 'Latest', 'Good']</v>
      </c>
      <c r="D253" s="3">
        <v>1.0</v>
      </c>
    </row>
    <row r="254" ht="15.75" customHeight="1">
      <c r="A254" s="1">
        <v>256.0</v>
      </c>
      <c r="B254" s="3" t="s">
        <v>253</v>
      </c>
      <c r="C254" s="3" t="str">
        <f>IFERROR(__xludf.DUMMYFUNCTION("GOOGLETRANSLATE(B254,""id"",""en"")"),"['Application', 'Most', 'Loading', 'Lemot']")</f>
        <v>['Application', 'Most', 'Loading', 'Lemot']</v>
      </c>
      <c r="D254" s="3">
        <v>2.0</v>
      </c>
    </row>
    <row r="255" ht="15.75" customHeight="1">
      <c r="A255" s="1">
        <v>257.0</v>
      </c>
      <c r="B255" s="3" t="s">
        <v>254</v>
      </c>
      <c r="C255" s="3" t="str">
        <f>IFERROR(__xludf.DUMMYFUNCTION("GOOGLETRANSLATE(B255,""id"",""en"")"),"['update', 'the application', 'slow', 'no', 'report', 'gangbang', 'woi', 'application', 'blm', 'mature', 'out', '']")</f>
        <v>['update', 'the application', 'slow', 'no', 'report', 'gangbang', 'woi', 'application', 'blm', 'mature', 'out', '']</v>
      </c>
      <c r="D255" s="3">
        <v>1.0</v>
      </c>
    </row>
    <row r="256" ht="15.75" customHeight="1">
      <c r="A256" s="1">
        <v>258.0</v>
      </c>
      <c r="B256" s="3" t="s">
        <v>255</v>
      </c>
      <c r="C256" s="3" t="str">
        <f>IFERROR(__xludf.DUMMYFUNCTION("GOOGLETRANSLATE(B256,""id"",""en"")"),"['Help', 'difficult', 'update', 'network', 'wifi', 'indihome']")</f>
        <v>['Help', 'difficult', 'update', 'network', 'wifi', 'indihome']</v>
      </c>
      <c r="D256" s="3">
        <v>4.0</v>
      </c>
    </row>
    <row r="257" ht="15.75" customHeight="1">
      <c r="A257" s="1">
        <v>259.0</v>
      </c>
      <c r="B257" s="3" t="s">
        <v>256</v>
      </c>
      <c r="C257" s="3" t="str">
        <f>IFERROR(__xludf.DUMMYFUNCTION("GOOGLETRANSLATE(B257,""id"",""en"")"),"['update', 'use', 'wonder']")</f>
        <v>['update', 'use', 'wonder']</v>
      </c>
      <c r="D257" s="3">
        <v>1.0</v>
      </c>
    </row>
    <row r="258" ht="15.75" customHeight="1">
      <c r="A258" s="1">
        <v>260.0</v>
      </c>
      <c r="B258" s="3" t="s">
        <v>257</v>
      </c>
      <c r="C258" s="3" t="str">
        <f>IFERROR(__xludf.DUMMYFUNCTION("GOOGLETRANSLATE(B258,""id"",""en"")"),"['BANGJE', 'PONIT', 'Tuker', 'Voucher', 'Installment', 'Gold', 'Point', 'Voucher', 'Buy', 'Make', 'Bangke', 'Damn', ' Point ',' aning ',' missing ']")</f>
        <v>['BANGJE', 'PONIT', 'Tuker', 'Voucher', 'Installment', 'Gold', 'Point', 'Voucher', 'Buy', 'Make', 'Bangke', 'Damn', ' Point ',' aning ',' missing ']</v>
      </c>
      <c r="D258" s="3">
        <v>1.0</v>
      </c>
    </row>
    <row r="259" ht="15.75" customHeight="1">
      <c r="A259" s="1">
        <v>261.0</v>
      </c>
      <c r="B259" s="3" t="s">
        <v>258</v>
      </c>
      <c r="C259" s="3" t="str">
        <f>IFERROR(__xludf.DUMMYFUNCTION("GOOGLETRANSLATE(B259,""id"",""en"")"),"['Application', 'stupid']")</f>
        <v>['Application', 'stupid']</v>
      </c>
      <c r="D259" s="3">
        <v>1.0</v>
      </c>
    </row>
    <row r="260" ht="15.75" customHeight="1">
      <c r="A260" s="1">
        <v>262.0</v>
      </c>
      <c r="B260" s="3" t="s">
        <v>259</v>
      </c>
      <c r="C260" s="3" t="str">
        <f>IFERROR(__xludf.DUMMYFUNCTION("GOOGLETRANSLATE(B260,""id"",""en"")"),"['', 'report', 'slow', 'really', 'severe', 'apps']")</f>
        <v>['', 'report', 'slow', 'really', 'severe', 'apps']</v>
      </c>
      <c r="D260" s="3">
        <v>1.0</v>
      </c>
    </row>
    <row r="261" ht="15.75" customHeight="1">
      <c r="A261" s="1">
        <v>263.0</v>
      </c>
      <c r="B261" s="3" t="s">
        <v>260</v>
      </c>
      <c r="C261" s="3" t="str">
        <f>IFERROR(__xludf.DUMMYFUNCTION("GOOGLETRANSLATE(B261,""id"",""en"")"),"['', 'logout', 'then', 'enter']")</f>
        <v>['', 'logout', 'then', 'enter']</v>
      </c>
      <c r="D261" s="3">
        <v>1.0</v>
      </c>
    </row>
    <row r="262" ht="15.75" customHeight="1">
      <c r="A262" s="1">
        <v>264.0</v>
      </c>
      <c r="B262" s="3" t="s">
        <v>261</v>
      </c>
      <c r="C262" s="3" t="str">
        <f>IFERROR(__xludf.DUMMYFUNCTION("GOOGLETRANSLATE(B262,""id"",""en"")"),"['Ngeleg', 'Times', 'Nii', 'APK', 'Gaguna', ""]")</f>
        <v>['Ngeleg', 'Times', 'Nii', 'APK', 'Gaguna', "]</v>
      </c>
      <c r="D262" s="3">
        <v>1.0</v>
      </c>
    </row>
    <row r="263" ht="15.75" customHeight="1">
      <c r="A263" s="1">
        <v>266.0</v>
      </c>
      <c r="B263" s="3" t="s">
        <v>262</v>
      </c>
      <c r="C263" s="3" t="str">
        <f>IFERROR(__xludf.DUMMYFUNCTION("GOOGLETRANSLATE(B263,""id"",""en"")"),"['service', 'bad', 'report', 'difficult', '']")</f>
        <v>['service', 'bad', 'report', 'difficult', '']</v>
      </c>
      <c r="D263" s="3">
        <v>3.0</v>
      </c>
    </row>
    <row r="264" ht="15.75" customHeight="1">
      <c r="A264" s="1">
        <v>267.0</v>
      </c>
      <c r="B264" s="3" t="s">
        <v>263</v>
      </c>
      <c r="C264" s="3" t="str">
        <f>IFERROR(__xludf.DUMMYFUNCTION("GOOGLETRANSLATE(B264,""id"",""en"")"),"['The application', 'good', 'nonresponspsive', 'application', 'beg', 'developer', 'fix', 'search', 'weakness', 'user', 'happy', '&lt;br&gt;' thank you', '']")</f>
        <v>['The application', 'good', 'nonresponspsive', 'application', 'beg', 'developer', 'fix', 'search', 'weakness', 'user', 'happy', '&lt;br&gt;' thank you', '']</v>
      </c>
      <c r="D264" s="3">
        <v>3.0</v>
      </c>
    </row>
    <row r="265" ht="15.75" customHeight="1">
      <c r="A265" s="1">
        <v>268.0</v>
      </c>
      <c r="B265" s="3" t="s">
        <v>264</v>
      </c>
      <c r="C265" s="3" t="str">
        <f>IFERROR(__xludf.DUMMYFUNCTION("GOOGLETRANSLATE(B265,""id"",""en"")"),"['Update', 'Mulu', 'Application', 'Application', 'Worst', 'Class',' BUMN ',' The Application ',' Gauze ',' Trash ',' Shy ',' Minister ',' Erick ',' Tohir ',' update ',' login ',' reset ',' easy ',' difficult ',' logging ',' code ',' verification ',' sms',"&amp;" 'email', 'difficult' , 'system', 'blah', 'blah', 'taikmu', '']")</f>
        <v>['Update', 'Mulu', 'Application', 'Application', 'Worst', 'Class',' BUMN ',' The Application ',' Gauze ',' Trash ',' Shy ',' Minister ',' Erick ',' Tohir ',' update ',' login ',' reset ',' easy ',' difficult ',' logging ',' code ',' verification ',' sms', 'email', 'difficult' , 'system', 'blah', 'blah', 'taikmu', '']</v>
      </c>
      <c r="D265" s="3">
        <v>1.0</v>
      </c>
    </row>
    <row r="266" ht="15.75" customHeight="1">
      <c r="A266" s="1">
        <v>269.0</v>
      </c>
      <c r="B266" s="3" t="s">
        <v>265</v>
      </c>
      <c r="C266" s="3" t="str">
        <f>IFERROR(__xludf.DUMMYFUNCTION("GOOGLETRANSLATE(B266,""id"",""en"")"),"['slow']")</f>
        <v>['slow']</v>
      </c>
      <c r="D266" s="3">
        <v>1.0</v>
      </c>
    </row>
    <row r="267" ht="15.75" customHeight="1">
      <c r="A267" s="1">
        <v>270.0</v>
      </c>
      <c r="B267" s="3" t="s">
        <v>266</v>
      </c>
      <c r="C267" s="3" t="str">
        <f>IFERROR(__xludf.DUMMYFUNCTION("GOOGLETRANSLATE(B267,""id"",""en"")"),"['YTH', 'Leader', 'Telkom', 'Disappointed', 'Quality', 'Network', 'WiFi', 'Indihome', 'Pay', 'Late', 'According to', 'Tempo', ' network ',' stable ',' connection ',' customer ',' felt ',' indihome ',' requirements', 'user', 'obedient', 'indihome', 'best',"&amp;" 'related', 'quality' , 'quantity', 'commitment', 'please', 'tired', 'complain', ""]")</f>
        <v>['YTH', 'Leader', 'Telkom', 'Disappointed', 'Quality', 'Network', 'WiFi', 'Indihome', 'Pay', 'Late', 'According to', 'Tempo', ' network ',' stable ',' connection ',' customer ',' felt ',' indihome ',' requirements', 'user', 'obedient', 'indihome', 'best', 'related', 'quality' , 'quantity', 'commitment', 'please', 'tired', 'complain', "]</v>
      </c>
      <c r="D267" s="3">
        <v>1.0</v>
      </c>
    </row>
    <row r="268" ht="15.75" customHeight="1">
      <c r="A268" s="1">
        <v>271.0</v>
      </c>
      <c r="B268" s="3" t="s">
        <v>267</v>
      </c>
      <c r="C268" s="3" t="str">
        <f>IFERROR(__xludf.DUMMYFUNCTION("GOOGLETRANSLATE(B268,""id"",""en"")"),"['application', 'steady', 'info', 'update', 'top', 'keep']")</f>
        <v>['application', 'steady', 'info', 'update', 'top', 'keep']</v>
      </c>
      <c r="D268" s="3">
        <v>5.0</v>
      </c>
    </row>
    <row r="269" ht="15.75" customHeight="1">
      <c r="A269" s="1">
        <v>272.0</v>
      </c>
      <c r="B269" s="3" t="s">
        <v>268</v>
      </c>
      <c r="C269" s="3" t="str">
        <f>IFERROR(__xludf.DUMMYFUNCTION("GOOGLETRANSLATE(B269,""id"",""en"")"),"['Open', 'Application', 'Heavy', 'Hello', 'Admin', 'Menu', 'Check', 'Use', 'Where', 'No', 'Menu', 'Homepage', ' picture', '']")</f>
        <v>['Open', 'Application', 'Heavy', 'Hello', 'Admin', 'Menu', 'Check', 'Use', 'Where', 'No', 'Menu', 'Homepage', ' picture', '']</v>
      </c>
      <c r="D269" s="3">
        <v>3.0</v>
      </c>
    </row>
    <row r="270" ht="15.75" customHeight="1">
      <c r="A270" s="1">
        <v>273.0</v>
      </c>
      <c r="B270" s="3" t="s">
        <v>269</v>
      </c>
      <c r="C270" s="3" t="str">
        <f>IFERROR(__xludf.DUMMYFUNCTION("GOOGLETRANSLATE(B270,""id"",""en"")"),"['Logo', 'Logo', 'Android', '']")</f>
        <v>['Logo', 'Logo', 'Android', '']</v>
      </c>
      <c r="D270" s="3">
        <v>3.0</v>
      </c>
    </row>
    <row r="271" ht="15.75" customHeight="1">
      <c r="A271" s="1">
        <v>274.0</v>
      </c>
      <c r="B271" s="3" t="s">
        <v>270</v>
      </c>
      <c r="C271" s="3" t="str">
        <f>IFERROR(__xludf.DUMMYFUNCTION("GOOGLETRANSLATE(B271,""id"",""en"")"),"['Application', 'Figure', 'Customer', 'Indihome', 'Typically', 'Application', 'Artificial', 'BUMN', 'Government', 'Indo', 'That's',' Deh ',' ']")</f>
        <v>['Application', 'Figure', 'Customer', 'Indihome', 'Typically', 'Application', 'Artificial', 'BUMN', 'Government', 'Indo', 'That's',' Deh ',' ']</v>
      </c>
      <c r="D271" s="3">
        <v>1.0</v>
      </c>
    </row>
    <row r="272" ht="15.75" customHeight="1">
      <c r="A272" s="1">
        <v>275.0</v>
      </c>
      <c r="B272" s="3" t="s">
        <v>271</v>
      </c>
      <c r="C272" s="3" t="str">
        <f>IFERROR(__xludf.DUMMYFUNCTION("GOOGLETRANSLATE(B272,""id"",""en"")"),"['Review', 'Delete', 'Update', 'Application', 'Heavy', 'Slow']")</f>
        <v>['Review', 'Delete', 'Update', 'Application', 'Heavy', 'Slow']</v>
      </c>
      <c r="D272" s="3">
        <v>1.0</v>
      </c>
    </row>
    <row r="273" ht="15.75" customHeight="1">
      <c r="A273" s="1">
        <v>276.0</v>
      </c>
      <c r="B273" s="3" t="s">
        <v>272</v>
      </c>
      <c r="C273" s="3" t="str">
        <f>IFERROR(__xludf.DUMMYFUNCTION("GOOGLETRANSLATE(B273,""id"",""en"")"),"['user', 'Friendly']")</f>
        <v>['user', 'Friendly']</v>
      </c>
      <c r="D273" s="3">
        <v>5.0</v>
      </c>
    </row>
    <row r="274" ht="15.75" customHeight="1">
      <c r="A274" s="1">
        <v>277.0</v>
      </c>
      <c r="B274" s="3" t="s">
        <v>273</v>
      </c>
      <c r="C274" s="3" t="str">
        <f>IFERROR(__xludf.DUMMYFUNCTION("GOOGLETRANSLATE(B274,""id"",""en"")"),"['UDH', 'SUCCESS', 'Login', 'told', 'Login', ""]")</f>
        <v>['UDH', 'SUCCESS', 'Login', 'told', 'Login', "]</v>
      </c>
      <c r="D274" s="3">
        <v>5.0</v>
      </c>
    </row>
    <row r="275" ht="15.75" customHeight="1">
      <c r="A275" s="1">
        <v>278.0</v>
      </c>
      <c r="B275" s="3" t="s">
        <v>274</v>
      </c>
      <c r="C275" s="3" t="str">
        <f>IFERROR(__xludf.DUMMYFUNCTION("GOOGLETRANSLATE(B275,""id"",""en"")"),"['Serusan', 'APK', 'Myindihome', 'strange', 'heavy', 'essence', 'Kaga', 'APK']")</f>
        <v>['Serusan', 'APK', 'Myindihome', 'strange', 'heavy', 'essence', 'Kaga', 'APK']</v>
      </c>
      <c r="D275" s="3">
        <v>2.0</v>
      </c>
    </row>
    <row r="276" ht="15.75" customHeight="1">
      <c r="A276" s="1">
        <v>280.0</v>
      </c>
      <c r="B276" s="3" t="s">
        <v>275</v>
      </c>
      <c r="C276" s="3" t="str">
        <f>IFERROR(__xludf.DUMMYFUNCTION("GOOGLETRANSLATE(B276,""id"",""en"")"),"['slow', 'comfortable', 'make']")</f>
        <v>['slow', 'comfortable', 'make']</v>
      </c>
      <c r="D276" s="3">
        <v>1.0</v>
      </c>
    </row>
    <row r="277" ht="15.75" customHeight="1">
      <c r="A277" s="1">
        <v>281.0</v>
      </c>
      <c r="B277" s="3" t="s">
        <v>276</v>
      </c>
      <c r="C277" s="3" t="str">
        <f>IFERROR(__xludf.DUMMYFUNCTION("GOOGLETRANSLATE(B277,""id"",""en"")"),"['Access',' Indiehome ',' bandwidth ',' Loading ',' Stuck ',' Freez ',' Ntah ',' Server ',' Ntah ',' The Application ',' No ',' OK ',' Access', 'Clothing', 'Network', 'WiFi', 'Indiehome', 'Hopefully', 'BUMN', 'Ingredients', ""]")</f>
        <v>['Access',' Indiehome ',' bandwidth ',' Loading ',' Stuck ',' Freez ',' Ntah ',' Server ',' Ntah ',' The Application ',' No ',' OK ',' Access', 'Clothing', 'Network', 'WiFi', 'Indiehome', 'Hopefully', 'BUMN', 'Ingredients', "]</v>
      </c>
      <c r="D277" s="3">
        <v>2.0</v>
      </c>
    </row>
    <row r="278" ht="15.75" customHeight="1">
      <c r="A278" s="1">
        <v>282.0</v>
      </c>
      <c r="B278" s="3" t="s">
        <v>277</v>
      </c>
      <c r="C278" s="3" t="str">
        <f>IFERROR(__xludf.DUMMYFUNCTION("GOOGLETRANSLATE(B278,""id"",""en"")"),"['Please', 'Sorry', 'Love', 'Star', 'The Application', 'Good', 'Upgrade', 'Slow', 'Luka', 'Please', 'Increase', ""]")</f>
        <v>['Please', 'Sorry', 'Love', 'Star', 'The Application', 'Good', 'Upgrade', 'Slow', 'Luka', 'Please', 'Increase', "]</v>
      </c>
      <c r="D278" s="3">
        <v>1.0</v>
      </c>
    </row>
    <row r="279" ht="15.75" customHeight="1">
      <c r="A279" s="1">
        <v>283.0</v>
      </c>
      <c r="B279" s="3" t="s">
        <v>278</v>
      </c>
      <c r="C279" s="3" t="str">
        <f>IFERROR(__xludf.DUMMYFUNCTION("GOOGLETRANSLATE(B279,""id"",""en"")"),"['', 'update', 'look', 'difficult', 'see']")</f>
        <v>['', 'update', 'look', 'difficult', 'see']</v>
      </c>
      <c r="D279" s="3">
        <v>3.0</v>
      </c>
    </row>
    <row r="280" ht="15.75" customHeight="1">
      <c r="A280" s="1">
        <v>284.0</v>
      </c>
      <c r="B280" s="3" t="s">
        <v>279</v>
      </c>
      <c r="C280" s="3" t="str">
        <f>IFERROR(__xludf.DUMMYFUNCTION("GOOGLETRANSLATE(B280,""id"",""en"")"),"['Severe', 'update', 'application', 'report', 'disorder', 'network', 'difficult', 'contents',' promotion ',' sell ',' mulu ',' nya ',' Benerin ',' service ',' ']")</f>
        <v>['Severe', 'update', 'application', 'report', 'disorder', 'network', 'difficult', 'contents',' promotion ',' sell ',' mulu ',' nya ',' Benerin ',' service ',' ']</v>
      </c>
      <c r="D280" s="3">
        <v>1.0</v>
      </c>
    </row>
    <row r="281" ht="15.75" customHeight="1">
      <c r="A281" s="1">
        <v>285.0</v>
      </c>
      <c r="B281" s="3" t="s">
        <v>280</v>
      </c>
      <c r="C281" s="3" t="str">
        <f>IFERROR(__xludf.DUMMYFUNCTION("GOOGLETRANSLATE(B281,""id"",""en"")"),"['site', 'Indihome', 'difficult', 'access', 'submit', 'complaints', 'difficult', 'customer', 'promo', 'gift']")</f>
        <v>['site', 'Indihome', 'difficult', 'access', 'submit', 'complaints', 'difficult', 'customer', 'promo', 'gift']</v>
      </c>
      <c r="D281" s="3">
        <v>1.0</v>
      </c>
    </row>
    <row r="282" ht="15.75" customHeight="1">
      <c r="A282" s="1">
        <v>286.0</v>
      </c>
      <c r="B282" s="3" t="s">
        <v>281</v>
      </c>
      <c r="C282" s="3" t="str">
        <f>IFERROR(__xludf.DUMMYFUNCTION("GOOGLETRANSLATE(B282,""id"",""en"")"),"['icon', 'Indihime', 'broken', 'gan']")</f>
        <v>['icon', 'Indihime', 'broken', 'gan']</v>
      </c>
      <c r="D282" s="3">
        <v>3.0</v>
      </c>
    </row>
    <row r="283" ht="15.75" customHeight="1">
      <c r="A283" s="1">
        <v>287.0</v>
      </c>
      <c r="B283" s="3" t="s">
        <v>282</v>
      </c>
      <c r="C283" s="3" t="str">
        <f>IFERROR(__xludf.DUMMYFUNCTION("GOOGLETRANSLATE(B283,""id"",""en"")"),"['Login', 'bad', 'application']")</f>
        <v>['Login', 'bad', 'application']</v>
      </c>
      <c r="D283" s="3">
        <v>1.0</v>
      </c>
    </row>
    <row r="284" ht="15.75" customHeight="1">
      <c r="A284" s="1">
        <v>288.0</v>
      </c>
      <c r="B284" s="3" t="s">
        <v>283</v>
      </c>
      <c r="C284" s="3" t="str">
        <f>IFERROR(__xludf.DUMMYFUNCTION("GOOGLETRANSLATE(B284,""id"",""en"")"),"['ugly', 'update', 'tan', 'recommended', 'really', 'ugly', 'ugly', 'ugly']")</f>
        <v>['ugly', 'update', 'tan', 'recommended', 'really', 'ugly', 'ugly', 'ugly']</v>
      </c>
      <c r="D284" s="3">
        <v>1.0</v>
      </c>
    </row>
    <row r="285" ht="15.75" customHeight="1">
      <c r="A285" s="1">
        <v>289.0</v>
      </c>
      <c r="B285" s="3" t="s">
        <v>284</v>
      </c>
      <c r="C285" s="3" t="str">
        <f>IFERROR(__xludf.DUMMYFUNCTION("GOOGLETRANSLATE(B285,""id"",""en"")"),"['', 'Update', 'Njuk', 'Killed', 'ISO', 'Login']")</f>
        <v>['', 'Update', 'Njuk', 'Killed', 'ISO', 'Login']</v>
      </c>
      <c r="D285" s="3">
        <v>1.0</v>
      </c>
    </row>
    <row r="286" ht="15.75" customHeight="1">
      <c r="A286" s="1">
        <v>290.0</v>
      </c>
      <c r="B286" s="3" t="s">
        <v>285</v>
      </c>
      <c r="C286" s="3" t="str">
        <f>IFERROR(__xludf.DUMMYFUNCTION("GOOGLETRANSLATE(B286,""id"",""en"")"),"['update', 'complicated', 'indihome', 'slow', 'staple', 'super', 'bad']")</f>
        <v>['update', 'complicated', 'indihome', 'slow', 'staple', 'super', 'bad']</v>
      </c>
      <c r="D286" s="3">
        <v>1.0</v>
      </c>
    </row>
    <row r="287" ht="15.75" customHeight="1">
      <c r="A287" s="1">
        <v>291.0</v>
      </c>
      <c r="B287" s="3" t="s">
        <v>286</v>
      </c>
      <c r="C287" s="3" t="str">
        <f>IFERROR(__xludf.DUMMYFUNCTION("GOOGLETRANSLATE(B287,""id"",""en"")"),"['Please', 'repaired', 'upgrade', 'application', 'login', 'number', 'verification', 'number', 'active', 'code', 'code', 'confused', ' Wrong ',' Application ',' Please ',' Returned ',' Application ',' ']")</f>
        <v>['Please', 'repaired', 'upgrade', 'application', 'login', 'number', 'verification', 'number', 'active', 'code', 'code', 'confused', ' Wrong ',' Application ',' Please ',' Returned ',' Application ',' ']</v>
      </c>
      <c r="D287" s="3">
        <v>1.0</v>
      </c>
    </row>
    <row r="288" ht="15.75" customHeight="1">
      <c r="A288" s="1">
        <v>292.0</v>
      </c>
      <c r="B288" s="3" t="s">
        <v>287</v>
      </c>
      <c r="C288" s="3" t="str">
        <f>IFERROR(__xludf.DUMMYFUNCTION("GOOGLETRANSLATE(B288,""id"",""en"")"),"['application', 'heavy', '']")</f>
        <v>['application', 'heavy', '']</v>
      </c>
      <c r="D288" s="3">
        <v>2.0</v>
      </c>
    </row>
    <row r="289" ht="15.75" customHeight="1">
      <c r="A289" s="1">
        <v>293.0</v>
      </c>
      <c r="B289" s="3" t="s">
        <v>288</v>
      </c>
      <c r="C289" s="3" t="str">
        <f>IFERROR(__xludf.DUMMYFUNCTION("GOOGLETRANSLATE(B289,""id"",""en"")"),"['Samp', 'Operator', 'Technician', 'Throw', 'Terms', 'Connection', 'Ancur']")</f>
        <v>['Samp', 'Operator', 'Technician', 'Throw', 'Terms', 'Connection', 'Ancur']</v>
      </c>
      <c r="D289" s="3">
        <v>1.0</v>
      </c>
    </row>
    <row r="290" ht="15.75" customHeight="1">
      <c r="A290" s="1">
        <v>294.0</v>
      </c>
      <c r="B290" s="3" t="s">
        <v>289</v>
      </c>
      <c r="C290" s="3" t="str">
        <f>IFERROR(__xludf.DUMMYFUNCTION("GOOGLETRANSLATE(B290,""id"",""en"")"),"['Login', 'Error', 'Giaman', 'solution']")</f>
        <v>['Login', 'Error', 'Giaman', 'solution']</v>
      </c>
      <c r="D290" s="3">
        <v>1.0</v>
      </c>
    </row>
    <row r="291" ht="15.75" customHeight="1">
      <c r="A291" s="1">
        <v>296.0</v>
      </c>
      <c r="B291" s="3" t="s">
        <v>290</v>
      </c>
      <c r="C291" s="3" t="str">
        <f>IFERROR(__xludf.DUMMYFUNCTION("GOOGLETRANSLATE(B291,""id"",""en"")"),"['maintenance', 'until', 'week', 'finished', 'Minister' Vacation ',' Install ',' Log ',' ngak ',' bizarrhh ']")</f>
        <v>['maintenance', 'until', 'week', 'finished', 'Minister' Vacation ',' Install ',' Log ',' ngak ',' bizarrhh ']</v>
      </c>
      <c r="D291" s="3">
        <v>1.0</v>
      </c>
    </row>
    <row r="292" ht="15.75" customHeight="1">
      <c r="A292" s="1">
        <v>297.0</v>
      </c>
      <c r="B292" s="3" t="s">
        <v>291</v>
      </c>
      <c r="C292" s="3" t="str">
        <f>IFERROR(__xludf.DUMMYFUNCTION("GOOGLETRANSLATE(B292,""id"",""en"")"),"['slow', 'loading', 'pol', 'version', 'newest', 'cool', 'username', 'wifi', 'seamless',' wisdom ',' open ',' app ',' Nge ',' Hang ',' so slow ',' slow ',' ']")</f>
        <v>['slow', 'loading', 'pol', 'version', 'newest', 'cool', 'username', 'wifi', 'seamless',' wisdom ',' open ',' app ',' Nge ',' Hang ',' so slow ',' slow ',' ']</v>
      </c>
      <c r="D292" s="3">
        <v>1.0</v>
      </c>
    </row>
    <row r="293" ht="15.75" customHeight="1">
      <c r="A293" s="1">
        <v>298.0</v>
      </c>
      <c r="B293" s="3" t="s">
        <v>292</v>
      </c>
      <c r="C293" s="3" t="str">
        <f>IFERROR(__xludf.DUMMYFUNCTION("GOOGLETRANSLATE(B293,""id"",""en"")"),"['', 'upgrade', 'Greget', 'really', ""]")</f>
        <v>['', 'upgrade', 'Greget', 'really', "]</v>
      </c>
      <c r="D293" s="3">
        <v>1.0</v>
      </c>
    </row>
    <row r="294" ht="15.75" customHeight="1">
      <c r="A294" s="1">
        <v>299.0</v>
      </c>
      <c r="B294" s="3" t="s">
        <v>293</v>
      </c>
      <c r="C294" s="3" t="str">
        <f>IFERROR(__xludf.DUMMYFUNCTION("GOOGLETRANSLATE(B294,""id"",""en"")"),"['Login', 'Password', 'Salah', 'Mulu', 'Forgot', 'Password', 'Mending', 'Version', 'Please', 'Dissed']")</f>
        <v>['Login', 'Password', 'Salah', 'Mulu', 'Forgot', 'Password', 'Mending', 'Version', 'Please', 'Dissed']</v>
      </c>
      <c r="D294" s="3">
        <v>1.0</v>
      </c>
    </row>
    <row r="295" ht="15.75" customHeight="1">
      <c r="A295" s="1">
        <v>300.0</v>
      </c>
      <c r="B295" s="3" t="s">
        <v>294</v>
      </c>
      <c r="C295" s="3" t="str">
        <f>IFERROR(__xludf.DUMMYFUNCTION("GOOGLETRANSLATE(B295,""id"",""en"")"),"['update', 'slow', 'look', 'it's good', 'update']")</f>
        <v>['update', 'slow', 'look', 'it's good', 'update']</v>
      </c>
      <c r="D295" s="3">
        <v>1.0</v>
      </c>
    </row>
    <row r="296" ht="15.75" customHeight="1">
      <c r="A296" s="1">
        <v>301.0</v>
      </c>
      <c r="B296" s="3" t="s">
        <v>295</v>
      </c>
      <c r="C296" s="3" t="str">
        <f>IFERROR(__xludf.DUMMYFUNCTION("GOOGLETRANSLATE(B296,""id"",""en"")"),"['Price', 'expensive', 'quality', 'network', 'okay', 'service', 'customer', 'good']")</f>
        <v>['Price', 'expensive', 'quality', 'network', 'okay', 'service', 'customer', 'good']</v>
      </c>
      <c r="D296" s="3">
        <v>5.0</v>
      </c>
    </row>
    <row r="297" ht="15.75" customHeight="1">
      <c r="A297" s="1">
        <v>302.0</v>
      </c>
      <c r="B297" s="3" t="s">
        <v>296</v>
      </c>
      <c r="C297" s="3" t="str">
        <f>IFERROR(__xludf.DUMMYFUNCTION("GOOGLETRANSLATE(B297,""id"",""en"")"),"['easy', 'practical', 'use', 'application', 'indihome', 'complaint', 'service', 'check', 'network', 'location', 'price', 'affordable']")</f>
        <v>['easy', 'practical', 'use', 'application', 'indihome', 'complaint', 'service', 'check', 'network', 'location', 'price', 'affordable']</v>
      </c>
      <c r="D297" s="3">
        <v>5.0</v>
      </c>
    </row>
    <row r="298" ht="15.75" customHeight="1">
      <c r="A298" s="1">
        <v>303.0</v>
      </c>
      <c r="B298" s="3" t="s">
        <v>297</v>
      </c>
      <c r="C298" s="3" t="str">
        <f>IFERROR(__xludf.DUMMYFUNCTION("GOOGLETRANSLATE(B298,""id"",""en"")"),"['Lemot', 'person', 'mah', 'safe', 'slow', 'at the end', 'mah', 'normal', 'run out']")</f>
        <v>['Lemot', 'person', 'mah', 'safe', 'slow', 'at the end', 'mah', 'normal', 'run out']</v>
      </c>
      <c r="D298" s="3">
        <v>5.0</v>
      </c>
    </row>
    <row r="299" ht="15.75" customHeight="1">
      <c r="A299" s="1">
        <v>304.0</v>
      </c>
      <c r="B299" s="3" t="s">
        <v>298</v>
      </c>
      <c r="C299" s="3" t="str">
        <f>IFERROR(__xludf.DUMMYFUNCTION("GOOGLETRANSLATE(B299,""id"",""en"")"),"['Feature', 'Feature', 'Complete', 'Check', 'Payment', 'Bill', 'Select', 'Package', 'Take', 'Network', 'Not bad', 'Good']")</f>
        <v>['Feature', 'Feature', 'Complete', 'Check', 'Payment', 'Bill', 'Select', 'Package', 'Take', 'Network', 'Not bad', 'Good']</v>
      </c>
      <c r="D299" s="3">
        <v>5.0</v>
      </c>
    </row>
    <row r="300" ht="15.75" customHeight="1">
      <c r="A300" s="1">
        <v>305.0</v>
      </c>
      <c r="B300" s="3" t="s">
        <v>299</v>
      </c>
      <c r="C300" s="3" t="str">
        <f>IFERROR(__xludf.DUMMYFUNCTION("GOOGLETRANSLATE(B300,""id"",""en"")"),"['The application', 'easy', 'light', 'front', 'features', 'features', 'update', 'newest', 'good', 'job', '']")</f>
        <v>['The application', 'easy', 'light', 'front', 'features', 'features', 'update', 'newest', 'good', 'job', '']</v>
      </c>
      <c r="D300" s="3">
        <v>5.0</v>
      </c>
    </row>
    <row r="301" ht="15.75" customHeight="1">
      <c r="A301" s="1">
        <v>306.0</v>
      </c>
      <c r="B301" s="3" t="s">
        <v>300</v>
      </c>
      <c r="C301" s="3" t="str">
        <f>IFERROR(__xludf.DUMMYFUNCTION("GOOGLETRANSLATE(B301,""id"",""en"")"),"['Server', 'slow', 'plus', 'bug', 'application', 'check', 'profile', 'boy']")</f>
        <v>['Server', 'slow', 'plus', 'bug', 'application', 'check', 'profile', 'boy']</v>
      </c>
      <c r="D301" s="3">
        <v>1.0</v>
      </c>
    </row>
    <row r="302" ht="15.75" customHeight="1">
      <c r="A302" s="1">
        <v>307.0</v>
      </c>
      <c r="B302" s="3" t="s">
        <v>301</v>
      </c>
      <c r="C302" s="3" t="str">
        <f>IFERROR(__xludf.DUMMYFUNCTION("GOOGLETRANSLATE(B302,""id"",""en"")"),"['The application', 'easy', 'easy', 'accessed', 'features', 'subscription', 'bother', 'independent', 'direct', 'the application', ""]")</f>
        <v>['The application', 'easy', 'easy', 'accessed', 'features', 'subscription', 'bother', 'independent', 'direct', 'the application', "]</v>
      </c>
      <c r="D302" s="3">
        <v>5.0</v>
      </c>
    </row>
    <row r="303" ht="15.75" customHeight="1">
      <c r="A303" s="1">
        <v>308.0</v>
      </c>
      <c r="B303" s="3" t="s">
        <v>302</v>
      </c>
      <c r="C303" s="3" t="str">
        <f>IFERROR(__xludf.DUMMYFUNCTION("GOOGLETRANSLATE(B303,""id"",""en"")"),"['application', 'help', 'makes it easy', 'change', 'package', 'indihome', 'network', 'good', 'price', 'no', 'expensive', 'mantab', ' Deh ']")</f>
        <v>['application', 'help', 'makes it easy', 'change', 'package', 'indihome', 'network', 'good', 'price', 'no', 'expensive', 'mantab', ' Deh ']</v>
      </c>
      <c r="D303" s="3">
        <v>5.0</v>
      </c>
    </row>
    <row r="304" ht="15.75" customHeight="1">
      <c r="A304" s="1">
        <v>309.0</v>
      </c>
      <c r="B304" s="3" t="s">
        <v>303</v>
      </c>
      <c r="C304" s="3" t="str">
        <f>IFERROR(__xludf.DUMMYFUNCTION("GOOGLETRANSLATE(B304,""id"",""en"")"),"['application', 'Damn', 'slow', 'mnta', 'forgiveness',' fired ',' org ',' bkin ',' application ',' gni ',' salary ',' gde ',' Application ',' Lieur ',' Uninstall ',' Aahh ', ""]")</f>
        <v>['application', 'Damn', 'slow', 'mnta', 'forgiveness',' fired ',' org ',' bkin ',' application ',' gni ',' salary ',' gde ',' Application ',' Lieur ',' Uninstall ',' Aahh ', "]</v>
      </c>
      <c r="D304" s="3">
        <v>1.0</v>
      </c>
    </row>
    <row r="305" ht="15.75" customHeight="1">
      <c r="A305" s="1">
        <v>310.0</v>
      </c>
      <c r="B305" s="3" t="s">
        <v>304</v>
      </c>
      <c r="C305" s="3" t="str">
        <f>IFERROR(__xludf.DUMMYFUNCTION("GOOGLETRANSLATE(B305,""id"",""en"")"),"['The application', 'okey', 'service', 'steady', 'features',' interesting ',' promo ',' also ',' the application ',' light ',' loading ',' fast ',' TOP ',' Mantul ',' Dahh ',' ']")</f>
        <v>['The application', 'okey', 'service', 'steady', 'features',' interesting ',' promo ',' also ',' the application ',' light ',' loading ',' fast ',' TOP ',' Mantul ',' Dahh ',' ']</v>
      </c>
      <c r="D305" s="3">
        <v>5.0</v>
      </c>
    </row>
    <row r="306" ht="15.75" customHeight="1">
      <c r="A306" s="1">
        <v>311.0</v>
      </c>
      <c r="B306" s="3" t="s">
        <v>305</v>
      </c>
      <c r="C306" s="3" t="str">
        <f>IFERROR(__xludf.DUMMYFUNCTION("GOOGLETRANSLATE(B306,""id"",""en"")"),"['Need', 'Adjustment', 'Display', 'Overall', 'Okay', 'Easy', 'No', 'Ribet']")</f>
        <v>['Need', 'Adjustment', 'Display', 'Overall', 'Okay', 'Easy', 'No', 'Ribet']</v>
      </c>
      <c r="D306" s="3">
        <v>5.0</v>
      </c>
    </row>
    <row r="307" ht="15.75" customHeight="1">
      <c r="A307" s="1">
        <v>312.0</v>
      </c>
      <c r="B307" s="3" t="s">
        <v>306</v>
      </c>
      <c r="C307" s="3" t="str">
        <f>IFERROR(__xludf.DUMMYFUNCTION("GOOGLETRANSLATE(B307,""id"",""en"")"),"['Lemot', 'COK', 'Your Application']")</f>
        <v>['Lemot', 'COK', 'Your Application']</v>
      </c>
      <c r="D307" s="3">
        <v>5.0</v>
      </c>
    </row>
    <row r="308" ht="15.75" customHeight="1">
      <c r="A308" s="1">
        <v>313.0</v>
      </c>
      <c r="B308" s="3" t="s">
        <v>307</v>
      </c>
      <c r="C308" s="3" t="str">
        <f>IFERROR(__xludf.DUMMYFUNCTION("GOOGLETRANSLATE(B308,""id"",""en"")"),"['family', 'maximal', 'Myindihome', 'App', 'Need', 'Entertainment', 'Education', 'Mantau', 'Bill', 'Purchase', 'Activity', 'Service', ' APK ',' offer ',' promotion ',' interesting ',' like ',' application ',' success', 'Myindihome', '']")</f>
        <v>['family', 'maximal', 'Myindihome', 'App', 'Need', 'Entertainment', 'Education', 'Mantau', 'Bill', 'Purchase', 'Activity', 'Service', ' APK ',' offer ',' promotion ',' interesting ',' like ',' application ',' success', 'Myindihome', '']</v>
      </c>
      <c r="D308" s="3">
        <v>5.0</v>
      </c>
    </row>
    <row r="309" ht="15.75" customHeight="1">
      <c r="A309" s="1">
        <v>314.0</v>
      </c>
      <c r="B309" s="3" t="s">
        <v>308</v>
      </c>
      <c r="C309" s="3" t="str">
        <f>IFERROR(__xludf.DUMMYFUNCTION("GOOGLETRANSLATE(B309,""id"",""en"")"),"['Open', 'Application', 'HRS', 'SLL', 'Login', 'Ribetttt', ""]")</f>
        <v>['Open', 'Application', 'HRS', 'SLL', 'Login', 'Ribetttt', "]</v>
      </c>
      <c r="D309" s="3">
        <v>1.0</v>
      </c>
    </row>
    <row r="310" ht="15.75" customHeight="1">
      <c r="A310" s="1">
        <v>315.0</v>
      </c>
      <c r="B310" s="3" t="s">
        <v>309</v>
      </c>
      <c r="C310" s="3" t="str">
        <f>IFERROR(__xludf.DUMMYFUNCTION("GOOGLETRANSLATE(B310,""id"",""en"")"),"['Update', 'garbage', 'ugly']")</f>
        <v>['Update', 'garbage', 'ugly']</v>
      </c>
      <c r="D310" s="3">
        <v>1.0</v>
      </c>
    </row>
    <row r="311" ht="15.75" customHeight="1">
      <c r="A311" s="1">
        <v>316.0</v>
      </c>
      <c r="B311" s="3" t="s">
        <v>310</v>
      </c>
      <c r="C311" s="3" t="str">
        <f>IFERROR(__xludf.DUMMYFUNCTION("GOOGLETRANSLATE(B311,""id"",""en"")"),"['Quality', 'service', 'satisfying', 'price', 'suits', 'quality', 'network', 'sport']")</f>
        <v>['Quality', 'service', 'satisfying', 'price', 'suits', 'quality', 'network', 'sport']</v>
      </c>
      <c r="D311" s="3">
        <v>5.0</v>
      </c>
    </row>
    <row r="312" ht="15.75" customHeight="1">
      <c r="A312" s="1">
        <v>317.0</v>
      </c>
      <c r="B312" s="3" t="s">
        <v>311</v>
      </c>
      <c r="C312" s="3" t="str">
        <f>IFERROR(__xludf.DUMMYFUNCTION("GOOGLETRANSLATE(B312,""id"",""en"")"),"['Help', 'really', 'application', 'features', 'complete', 'look', 'good', 'info', 'promo', '']")</f>
        <v>['Help', 'really', 'application', 'features', 'complete', 'look', 'good', 'info', 'promo', '']</v>
      </c>
      <c r="D312" s="3">
        <v>5.0</v>
      </c>
    </row>
    <row r="313" ht="15.75" customHeight="1">
      <c r="A313" s="1">
        <v>318.0</v>
      </c>
      <c r="B313" s="3" t="s">
        <v>312</v>
      </c>
      <c r="C313" s="3" t="str">
        <f>IFERROR(__xludf.DUMMYFUNCTION("GOOGLETRANSLATE(B313,""id"",""en"")"),"['APK', 'Facilitates', 'Customer', 'Indihome', 'Clay', 'History', 'Subscriptions', 'Caskek', 'Package', 'Recommended', ""]")</f>
        <v>['APK', 'Facilitates', 'Customer', 'Indihome', 'Clay', 'History', 'Subscriptions', 'Caskek', 'Package', 'Recommended', "]</v>
      </c>
      <c r="D313" s="3">
        <v>5.0</v>
      </c>
    </row>
    <row r="314" ht="15.75" customHeight="1">
      <c r="A314" s="1">
        <v>319.0</v>
      </c>
      <c r="B314" s="3" t="s">
        <v>313</v>
      </c>
      <c r="C314" s="3" t="str">
        <f>IFERROR(__xludf.DUMMYFUNCTION("GOOGLETRANSLATE(B314,""id"",""en"")"),"['Application', 'Useful', 'Very', 'Sebangai', 'User', 'Indihome', 'Caskek', 'Use', 'Internet', 'Feature', 'Complaint', ""]")</f>
        <v>['Application', 'Useful', 'Very', 'Sebangai', 'User', 'Indihome', 'Caskek', 'Use', 'Internet', 'Feature', 'Complaint', "]</v>
      </c>
      <c r="D314" s="3">
        <v>5.0</v>
      </c>
    </row>
    <row r="315" ht="15.75" customHeight="1">
      <c r="A315" s="1">
        <v>320.0</v>
      </c>
      <c r="B315" s="3" t="s">
        <v>314</v>
      </c>
      <c r="C315" s="3" t="str">
        <f>IFERROR(__xludf.DUMMYFUNCTION("GOOGLETRANSLATE(B315,""id"",""en"")"),"['The application', 'good', 'really', 'help', 'see', 'payment', 'run', 'process',' service ',' Komolen ',' served ',' fast ',' Technicians', 'technicians',' direct ',' location ',' checks']")</f>
        <v>['The application', 'good', 'really', 'help', 'see', 'payment', 'run', 'process',' service ',' Komolen ',' served ',' fast ',' Technicians', 'technicians',' direct ',' location ',' checks']</v>
      </c>
      <c r="D315" s="3">
        <v>5.0</v>
      </c>
    </row>
    <row r="316" ht="15.75" customHeight="1">
      <c r="A316" s="1">
        <v>321.0</v>
      </c>
      <c r="B316" s="3" t="s">
        <v>315</v>
      </c>
      <c r="C316" s="3" t="str">
        <f>IFERROR(__xludf.DUMMYFUNCTION("GOOGLETRANSLATE(B316,""id"",""en"")"),"['', 'update', 'slow', 'user', 'friendly', 'complicated', 'use']")</f>
        <v>['', 'update', 'slow', 'user', 'friendly', 'complicated', 'use']</v>
      </c>
      <c r="D316" s="3">
        <v>1.0</v>
      </c>
    </row>
    <row r="317" ht="15.75" customHeight="1">
      <c r="A317" s="1">
        <v>322.0</v>
      </c>
      <c r="B317" s="3" t="s">
        <v>316</v>
      </c>
      <c r="C317" s="3" t="str">
        <f>IFERROR(__xludf.DUMMYFUNCTION("GOOGLETRANSLATE(B317,""id"",""en"")"),"['difficult', 'that's',' enter ',' code ',' wifi ',' cubbow ',' marketplace ',' famous', 'I think', 'gkguna', 'tried', 'kek', ' already ',' repaired ',' good ',' Joblah ']")</f>
        <v>['difficult', 'that's',' enter ',' code ',' wifi ',' cubbow ',' marketplace ',' famous', 'I think', 'gkguna', 'tried', 'kek', ' already ',' repaired ',' good ',' Joblah ']</v>
      </c>
      <c r="D317" s="3">
        <v>5.0</v>
      </c>
    </row>
    <row r="318" ht="15.75" customHeight="1">
      <c r="A318" s="1">
        <v>323.0</v>
      </c>
      <c r="B318" s="3" t="s">
        <v>317</v>
      </c>
      <c r="C318" s="3" t="str">
        <f>IFERROR(__xludf.DUMMYFUNCTION("GOOGLETRANSLATE(B318,""id"",""en"")"),"['Since', 'Application', 'Help', 'Problem', 'WiFi', 'at home', 'Easy', 'Contact', 'Customer', 'Servicenya']")</f>
        <v>['Since', 'Application', 'Help', 'Problem', 'WiFi', 'at home', 'Easy', 'Contact', 'Customer', 'Servicenya']</v>
      </c>
      <c r="D318" s="3">
        <v>5.0</v>
      </c>
    </row>
    <row r="319" ht="15.75" customHeight="1">
      <c r="A319" s="1">
        <v>324.0</v>
      </c>
      <c r="B319" s="3" t="s">
        <v>318</v>
      </c>
      <c r="C319" s="3" t="str">
        <f>IFERROR(__xludf.DUMMYFUNCTION("GOOGLETRANSLATE(B319,""id"",""en"")"),"['Massya', 'God', 'innalilahi', 'Application', 'Perhuaru', 'really', 'Mending', 'application', 'slow', 'really', 'Rinew', 'Speed', ' Pay ',' use ',' Kouta ',' slow ',' mind ',' told ',' login ',' APL ',' enter ',' poor ',' bad ',' really ', ""]")</f>
        <v>['Massya', 'God', 'innalilahi', 'Application', 'Perhuaru', 'really', 'Mending', 'application', 'slow', 'really', 'Rinew', 'Speed', ' Pay ',' use ',' Kouta ',' slow ',' mind ',' told ',' login ',' APL ',' enter ',' poor ',' bad ',' really ', "]</v>
      </c>
      <c r="D319" s="3">
        <v>1.0</v>
      </c>
    </row>
    <row r="320" ht="15.75" customHeight="1">
      <c r="A320" s="1">
        <v>325.0</v>
      </c>
      <c r="B320" s="3" t="s">
        <v>319</v>
      </c>
      <c r="C320" s="3" t="str">
        <f>IFERROR(__xludf.DUMMYFUNCTION("GOOGLETRANSLATE(B320,""id"",""en"")"),"['upgrade', 'service', 'apk', 'point', 'useful', 'network', 'slow']")</f>
        <v>['upgrade', 'service', 'apk', 'point', 'useful', 'network', 'slow']</v>
      </c>
      <c r="D320" s="3">
        <v>5.0</v>
      </c>
    </row>
    <row r="321" ht="15.75" customHeight="1">
      <c r="A321" s="1">
        <v>326.0</v>
      </c>
      <c r="B321" s="3" t="s">
        <v>320</v>
      </c>
      <c r="C321" s="3" t="str">
        <f>IFERROR(__xludf.DUMMYFUNCTION("GOOGLETRANSLATE(B321,""id"",""en"")"),"['Woow', 'Maa', 'Syaa', 'Allah', 'Application', 'Good', 'Trusted', 'Application', 'Facilitates',' Access', 'Service', 'Feature', ' features', 'provided', 'useful', 'really', 'customers',' complicated ',' ']")</f>
        <v>['Woow', 'Maa', 'Syaa', 'Allah', 'Application', 'Good', 'Trusted', 'Application', 'Facilitates',' Access', 'Service', 'Feature', ' features', 'provided', 'useful', 'really', 'customers',' complicated ',' ']</v>
      </c>
      <c r="D321" s="3">
        <v>5.0</v>
      </c>
    </row>
    <row r="322" ht="15.75" customHeight="1">
      <c r="A322" s="1">
        <v>327.0</v>
      </c>
      <c r="B322" s="3" t="s">
        <v>321</v>
      </c>
      <c r="C322" s="3" t="str">
        <f>IFERROR(__xludf.DUMMYFUNCTION("GOOGLETRANSLATE(B322,""id"",""en"")"),"['Help', 'updated', 'application', 'lag', 'severe', 'bnyak', 'bug', 'pdahal', 'ram', ""]")</f>
        <v>['Help', 'updated', 'application', 'lag', 'severe', 'bnyak', 'bug', 'pdahal', 'ram', "]</v>
      </c>
      <c r="D322" s="3">
        <v>1.0</v>
      </c>
    </row>
    <row r="323" ht="15.75" customHeight="1">
      <c r="A323" s="1">
        <v>328.0</v>
      </c>
      <c r="B323" s="3" t="s">
        <v>322</v>
      </c>
      <c r="C323" s="3" t="str">
        <f>IFERROR(__xludf.DUMMYFUNCTION("GOOGLETRANSLATE(B323,""id"",""en"")"),"['application', 'good', 'interesting', 'inside', 'exchanging', 'point', 'function', 'information', 'service', 'internet']")</f>
        <v>['application', 'good', 'interesting', 'inside', 'exchanging', 'point', 'function', 'information', 'service', 'internet']</v>
      </c>
      <c r="D323" s="3">
        <v>5.0</v>
      </c>
    </row>
    <row r="324" ht="15.75" customHeight="1">
      <c r="A324" s="1">
        <v>329.0</v>
      </c>
      <c r="B324" s="3" t="s">
        <v>323</v>
      </c>
      <c r="C324" s="3" t="str">
        <f>IFERROR(__xludf.DUMMYFUNCTION("GOOGLETRANSLATE(B324,""id"",""en"")"),"['application', 'useful', 'community', 'user', 'indihome', 'features',' okay ',' point ',' jga ',' exchanged ',' subscribe ',' dng ',' Easy ',' accessed ',' Success']")</f>
        <v>['application', 'useful', 'community', 'user', 'indihome', 'features',' okay ',' point ',' jga ',' exchanged ',' subscribe ',' dng ',' Easy ',' accessed ',' Success']</v>
      </c>
      <c r="D324" s="3">
        <v>5.0</v>
      </c>
    </row>
    <row r="325" ht="15.75" customHeight="1">
      <c r="A325" s="1">
        <v>330.0</v>
      </c>
      <c r="B325" s="3" t="s">
        <v>324</v>
      </c>
      <c r="C325" s="3" t="str">
        <f>IFERROR(__xludf.DUMMYFUNCTION("GOOGLETRANSLATE(B325,""id"",""en"")"),"['', 'responsive', 'signal', 'rare', 'obstacles']")</f>
        <v>['', 'responsive', 'signal', 'rare', 'obstacles']</v>
      </c>
      <c r="D325" s="3">
        <v>5.0</v>
      </c>
    </row>
    <row r="326" ht="15.75" customHeight="1">
      <c r="A326" s="1">
        <v>331.0</v>
      </c>
      <c r="B326" s="3" t="s">
        <v>325</v>
      </c>
      <c r="C326" s="3" t="str">
        <f>IFERROR(__xludf.DUMMYFUNCTION("GOOGLETRANSLATE(B326,""id"",""en"")"),"['Feature', 'Useful', 'Delicious',' Do ',' WiFi ',' Service ',' Fast ',' Friendly ',' Increase ',' Service ',' Mantapss', 'Dahh', ' ']")</f>
        <v>['Feature', 'Useful', 'Delicious',' Do ',' WiFi ',' Service ',' Fast ',' Friendly ',' Increase ',' Service ',' Mantapss', 'Dahh', ' ']</v>
      </c>
      <c r="D326" s="3">
        <v>5.0</v>
      </c>
    </row>
    <row r="327" ht="15.75" customHeight="1">
      <c r="A327" s="1">
        <v>332.0</v>
      </c>
      <c r="B327" s="3" t="s">
        <v>326</v>
      </c>
      <c r="C327" s="3" t="str">
        <f>IFERROR(__xludf.DUMMYFUNCTION("GOOGLETRANSLATE(B327,""id"",""en"")"),"['The application', 'makes it easy', 'report', 'customer', 'service', 'respond', 'service', 'bgttt', 'access',' easy ',' features', 'lotkk', ' recomended ',' bgtttt ']")</f>
        <v>['The application', 'makes it easy', 'report', 'customer', 'service', 'respond', 'service', 'bgttt', 'access',' easy ',' features', 'lotkk', ' recomended ',' bgtttt ']</v>
      </c>
      <c r="D327" s="3">
        <v>5.0</v>
      </c>
    </row>
    <row r="328" ht="15.75" customHeight="1">
      <c r="A328" s="1">
        <v>333.0</v>
      </c>
      <c r="B328" s="3" t="s">
        <v>327</v>
      </c>
      <c r="C328" s="3" t="str">
        <f>IFERROR(__xludf.DUMMYFUNCTION("GOOGLETRANSLATE(B328,""id"",""en"")"),"['service', 'bad', 'wifi', 'dead', 'on', 'clock', 'doang', 'pay', 'full', 'gaselat', 'service', 'bad', ' ']")</f>
        <v>['service', 'bad', 'wifi', 'dead', 'on', 'clock', 'doang', 'pay', 'full', 'gaselat', 'service', 'bad', ' ']</v>
      </c>
      <c r="D328" s="3">
        <v>1.0</v>
      </c>
    </row>
    <row r="329" ht="15.75" customHeight="1">
      <c r="A329" s="1">
        <v>334.0</v>
      </c>
      <c r="B329" s="3" t="s">
        <v>328</v>
      </c>
      <c r="C329" s="3" t="str">
        <f>IFERROR(__xludf.DUMMYFUNCTION("GOOGLETRANSLATE(B329,""id"",""en"")"),"['application', 'lemoot', 'internet', 'disorder', 'mulu', 'disorder', 'inhibits',' work ',' internet ',' die ',' clock ',' blm ',' accessed', '']")</f>
        <v>['application', 'lemoot', 'internet', 'disorder', 'mulu', 'disorder', 'inhibits',' work ',' internet ',' die ',' clock ',' blm ',' accessed', '']</v>
      </c>
      <c r="D329" s="3">
        <v>1.0</v>
      </c>
    </row>
    <row r="330" ht="15.75" customHeight="1">
      <c r="A330" s="1">
        <v>335.0</v>
      </c>
      <c r="B330" s="3" t="s">
        <v>329</v>
      </c>
      <c r="C330" s="3" t="str">
        <f>IFERROR(__xludf.DUMMYFUNCTION("GOOGLETRANSLATE(B330,""id"",""en"")"),"['Apikasi']")</f>
        <v>['Apikasi']</v>
      </c>
      <c r="D330" s="3">
        <v>1.0</v>
      </c>
    </row>
    <row r="331" ht="15.75" customHeight="1">
      <c r="A331" s="1">
        <v>336.0</v>
      </c>
      <c r="B331" s="3" t="s">
        <v>330</v>
      </c>
      <c r="C331" s="3" t="str">
        <f>IFERROR(__xludf.DUMMYFUNCTION("GOOGLETRANSLATE(B331,""id"",""en"")"),"['Congratulations',' Afternoon ',' Telkomsel ',' App ',' Upgrade ',' Enter ',' Sorry ',' Improvement ',' System ',' See ',' Bill ',' See ',' Total ',' usage ',' kuaota ',' ']")</f>
        <v>['Congratulations',' Afternoon ',' Telkomsel ',' App ',' Upgrade ',' Enter ',' Sorry ',' Improvement ',' System ',' See ',' Bill ',' See ',' Total ',' usage ',' kuaota ',' ']</v>
      </c>
      <c r="D331" s="3">
        <v>1.0</v>
      </c>
    </row>
    <row r="332" ht="15.75" customHeight="1">
      <c r="A332" s="1">
        <v>337.0</v>
      </c>
      <c r="B332" s="3" t="s">
        <v>331</v>
      </c>
      <c r="C332" s="3" t="str">
        <f>IFERROR(__xludf.DUMMYFUNCTION("GOOGLETRANSLATE(B332,""id"",""en"")"),"['service', 'good', 'darling', 'sometimes', 'difficult', 'reporting', 'rmh', '']")</f>
        <v>['service', 'good', 'darling', 'sometimes', 'difficult', 'reporting', 'rmh', '']</v>
      </c>
      <c r="D332" s="3">
        <v>4.0</v>
      </c>
    </row>
    <row r="333" ht="15.75" customHeight="1">
      <c r="A333" s="1">
        <v>339.0</v>
      </c>
      <c r="B333" s="3" t="s">
        <v>332</v>
      </c>
      <c r="C333" s="3" t="str">
        <f>IFERROR(__xludf.DUMMYFUNCTION("GOOGLETRANSLATE(B333,""id"",""en"")"),"['response', 'ganguan', '']")</f>
        <v>['response', 'ganguan', '']</v>
      </c>
      <c r="D333" s="3">
        <v>2.0</v>
      </c>
    </row>
    <row r="334" ht="15.75" customHeight="1">
      <c r="A334" s="1">
        <v>340.0</v>
      </c>
      <c r="B334" s="3" t="s">
        <v>333</v>
      </c>
      <c r="C334" s="3" t="str">
        <f>IFERROR(__xludf.DUMMYFUNCTION("GOOGLETRANSLATE(B334,""id"",""en"")"),"['difficult', 'Login', 'Application', 'Chat', 'Machine', 'Severe', 'Connection', 'Lemot']")</f>
        <v>['difficult', 'Login', 'Application', 'Chat', 'Machine', 'Severe', 'Connection', 'Lemot']</v>
      </c>
      <c r="D334" s="3">
        <v>1.0</v>
      </c>
    </row>
    <row r="335" ht="15.75" customHeight="1">
      <c r="A335" s="1">
        <v>341.0</v>
      </c>
      <c r="B335" s="3" t="s">
        <v>334</v>
      </c>
      <c r="C335" s="3" t="str">
        <f>IFERROR(__xludf.DUMMYFUNCTION("GOOGLETRANSLATE(B335,""id"",""en"")"),"['Opened', '']")</f>
        <v>['Opened', '']</v>
      </c>
      <c r="D335" s="3">
        <v>1.0</v>
      </c>
    </row>
    <row r="336" ht="15.75" customHeight="1">
      <c r="A336" s="1">
        <v>342.0</v>
      </c>
      <c r="B336" s="3" t="s">
        <v>335</v>
      </c>
      <c r="C336" s="3" t="str">
        <f>IFERROR(__xludf.DUMMYFUNCTION("GOOGLETRANSLATE(B336,""id"",""en"")"),"['Please', 'Fast', 'Overcome', 'Class', 'BUMN', 'APK', 'Kayak', 'Gini']")</f>
        <v>['Please', 'Fast', 'Overcome', 'Class', 'BUMN', 'APK', 'Kayak', 'Gini']</v>
      </c>
      <c r="D336" s="3">
        <v>1.0</v>
      </c>
    </row>
    <row r="337" ht="15.75" customHeight="1">
      <c r="A337" s="1">
        <v>343.0</v>
      </c>
      <c r="B337" s="3" t="s">
        <v>336</v>
      </c>
      <c r="C337" s="3" t="str">
        <f>IFERROR(__xludf.DUMMYFUNCTION("GOOGLETRANSLATE(B337,""id"",""en"")"),"['Bener', 'chaotic', 'disappointing', 'telkom', 'update', 'indihome', 'newest', 'smkin', 'bad', 'original', 'emotion', 'was oking', ' Weighs']")</f>
        <v>['Bener', 'chaotic', 'disappointing', 'telkom', 'update', 'indihome', 'newest', 'smkin', 'bad', 'original', 'emotion', 'was oking', ' Weighs']</v>
      </c>
      <c r="D337" s="3">
        <v>1.0</v>
      </c>
    </row>
    <row r="338" ht="15.75" customHeight="1">
      <c r="A338" s="1">
        <v>344.0</v>
      </c>
      <c r="B338" s="3" t="s">
        <v>337</v>
      </c>
      <c r="C338" s="3" t="str">
        <f>IFERROR(__xludf.DUMMYFUNCTION("GOOGLETRANSLATE(B338,""id"",""en"")"),"['Telkom', 'smakin', 'era', 'chaotic', 'boro', 'access', 'internal', 'application', 'indihome', 'slow', 'heavy', 'bad']")</f>
        <v>['Telkom', 'smakin', 'era', 'chaotic', 'boro', 'access', 'internal', 'application', 'indihome', 'slow', 'heavy', 'bad']</v>
      </c>
      <c r="D338" s="3">
        <v>1.0</v>
      </c>
    </row>
    <row r="339" ht="15.75" customHeight="1">
      <c r="A339" s="1">
        <v>345.0</v>
      </c>
      <c r="B339" s="3" t="s">
        <v>338</v>
      </c>
      <c r="C339" s="3" t="str">
        <f>IFERROR(__xludf.DUMMYFUNCTION("GOOGLETRANSLATE(B339,""id"",""en"")"),"['application', 'bad', 'slow']")</f>
        <v>['application', 'bad', 'slow']</v>
      </c>
      <c r="D339" s="3">
        <v>1.0</v>
      </c>
    </row>
    <row r="340" ht="15.75" customHeight="1">
      <c r="A340" s="1">
        <v>346.0</v>
      </c>
      <c r="B340" s="3" t="s">
        <v>339</v>
      </c>
      <c r="C340" s="3" t="str">
        <f>IFERROR(__xludf.DUMMYFUNCTION("GOOGLETRANSLATE(B340,""id"",""en"")"),"['Trash', 'slow', 'really']")</f>
        <v>['Trash', 'slow', 'really']</v>
      </c>
      <c r="D340" s="3">
        <v>1.0</v>
      </c>
    </row>
    <row r="341" ht="15.75" customHeight="1">
      <c r="A341" s="1">
        <v>347.0</v>
      </c>
      <c r="B341" s="3" t="s">
        <v>340</v>
      </c>
      <c r="C341" s="3" t="str">
        <f>IFERROR(__xludf.DUMMYFUNCTION("GOOGLETRANSLATE(B341,""id"",""en"")"),"['kga', 'improvement', 'error', 'then', 'hilarious']")</f>
        <v>['kga', 'improvement', 'error', 'then', 'hilarious']</v>
      </c>
      <c r="D341" s="3">
        <v>1.0</v>
      </c>
    </row>
    <row r="342" ht="15.75" customHeight="1">
      <c r="A342" s="1">
        <v>348.0</v>
      </c>
      <c r="B342" s="3" t="s">
        <v>341</v>
      </c>
      <c r="C342" s="3" t="str">
        <f>IFERROR(__xludf.DUMMYFUNCTION("GOOGLETRANSLATE(B342,""id"",""en"")"),"['Thank you', 'Indihome', 'Satisfied', 'Service', 'Indihome', 'Access', 'Internet', 'Current', 'Hopefully', 'In the future', ""]")</f>
        <v>['Thank you', 'Indihome', 'Satisfied', 'Service', 'Indihome', 'Access', 'Internet', 'Current', 'Hopefully', 'In the future', "]</v>
      </c>
      <c r="D342" s="3">
        <v>5.0</v>
      </c>
    </row>
    <row r="343" ht="15.75" customHeight="1">
      <c r="A343" s="1">
        <v>349.0</v>
      </c>
      <c r="B343" s="3" t="s">
        <v>342</v>
      </c>
      <c r="C343" s="3" t="str">
        <f>IFERROR(__xludf.DUMMYFUNCTION("GOOGLETRANSLATE(B343,""id"",""en"")"),"['Alhamdulillah', 'blessing', 'Indihome', 'work', 'smooth', 'package', 'offered', 'diverse', 'choose', 'according to', 'needs',' the application ',' Easy ',' Success', 'Indihome', '']")</f>
        <v>['Alhamdulillah', 'blessing', 'Indihome', 'work', 'smooth', 'package', 'offered', 'diverse', 'choose', 'according to', 'needs',' the application ',' Easy ',' Success', 'Indihome', '']</v>
      </c>
      <c r="D343" s="3">
        <v>5.0</v>
      </c>
    </row>
    <row r="344" ht="15.75" customHeight="1">
      <c r="A344" s="1">
        <v>350.0</v>
      </c>
      <c r="B344" s="3" t="s">
        <v>343</v>
      </c>
      <c r="C344" s="3" t="str">
        <f>IFERROR(__xludf.DUMMYFUNCTION("GOOGLETRANSLATE(B344,""id"",""en"")"),"['application', 'garbage', 'password', 'ttep', 'error', 'bsa', 'login']")</f>
        <v>['application', 'garbage', 'password', 'ttep', 'error', 'bsa', 'login']</v>
      </c>
      <c r="D344" s="3">
        <v>1.0</v>
      </c>
    </row>
    <row r="345" ht="15.75" customHeight="1">
      <c r="A345" s="1">
        <v>351.0</v>
      </c>
      <c r="B345" s="3" t="s">
        <v>344</v>
      </c>
      <c r="C345" s="3" t="str">
        <f>IFERROR(__xludf.DUMMYFUNCTION("GOOGLETRANSLATE(B345,""id"",""en"")"),"['Application', 'Leet', 'HR', 'Experts', 'Kah', 'Indihome', ""]")</f>
        <v>['Application', 'Leet', 'HR', 'Experts', 'Kah', 'Indihome', "]</v>
      </c>
      <c r="D345" s="3">
        <v>1.0</v>
      </c>
    </row>
    <row r="346" ht="15.75" customHeight="1">
      <c r="A346" s="1">
        <v>352.0</v>
      </c>
      <c r="B346" s="3" t="s">
        <v>345</v>
      </c>
      <c r="C346" s="3" t="str">
        <f>IFERROR(__xludf.DUMMYFUNCTION("GOOGLETRANSLATE(B346,""id"",""en"")"),"['Loading', 'Update', 'Login', '']")</f>
        <v>['Loading', 'Update', 'Login', '']</v>
      </c>
      <c r="D346" s="3">
        <v>1.0</v>
      </c>
    </row>
    <row r="347" ht="15.75" customHeight="1">
      <c r="A347" s="1">
        <v>353.0</v>
      </c>
      <c r="B347" s="3" t="s">
        <v>346</v>
      </c>
      <c r="C347" s="3" t="str">
        <f>IFERROR(__xludf.DUMMYFUNCTION("GOOGLETRANSLATE(B347,""id"",""en"")"),"['Use', 'Indihome', 'APK', 'Update', 'Display', 'Application', 'Looks', 'Cool', 'Very', ""]")</f>
        <v>['Use', 'Indihome', 'APK', 'Update', 'Display', 'Application', 'Looks', 'Cool', 'Very', "]</v>
      </c>
      <c r="D347" s="3">
        <v>5.0</v>
      </c>
    </row>
    <row r="348" ht="15.75" customHeight="1">
      <c r="A348" s="1">
        <v>354.0</v>
      </c>
      <c r="B348" s="3" t="s">
        <v>347</v>
      </c>
      <c r="C348" s="3" t="str">
        <f>IFERROR(__xludf.DUMMYFUNCTION("GOOGLETRANSLATE(B348,""id"",""en"")"),"['Misslala', 'APK', 'Like', 'Mager', 'Pay', 'Check', 'Bill', 'My APK', 'Good', 'Developing', 'Indihome']")</f>
        <v>['Misslala', 'APK', 'Like', 'Mager', 'Pay', 'Check', 'Bill', 'My APK', 'Good', 'Developing', 'Indihome']</v>
      </c>
      <c r="D348" s="3">
        <v>5.0</v>
      </c>
    </row>
    <row r="349" ht="15.75" customHeight="1">
      <c r="A349" s="1">
        <v>355.0</v>
      </c>
      <c r="B349" s="3" t="s">
        <v>348</v>
      </c>
      <c r="C349" s="3" t="str">
        <f>IFERROR(__xludf.DUMMYFUNCTION("GOOGLETRANSLATE(B349,""id"",""en"")"),"['update', 'trouble', 'see', 'device', 'connected', 'wifi', 'appears', 'renew', 'speed', 'please', 'repair', ""]")</f>
        <v>['update', 'trouble', 'see', 'device', 'connected', 'wifi', 'appears', 'renew', 'speed', 'please', 'repair', "]</v>
      </c>
      <c r="D349" s="3">
        <v>2.0</v>
      </c>
    </row>
    <row r="350" ht="15.75" customHeight="1">
      <c r="A350" s="1">
        <v>356.0</v>
      </c>
      <c r="B350" s="3" t="s">
        <v>349</v>
      </c>
      <c r="C350" s="3" t="str">
        <f>IFERROR(__xludf.DUMMYFUNCTION("GOOGLETRANSLATE(B350,""id"",""en"")"),"['Helpful', 'APK', 'check', 'bill', 'Iapk', 'friendly', '']")</f>
        <v>['Helpful', 'APK', 'check', 'bill', 'Iapk', 'friendly', '']</v>
      </c>
      <c r="D350" s="3">
        <v>5.0</v>
      </c>
    </row>
    <row r="351" ht="15.75" customHeight="1">
      <c r="A351" s="1">
        <v>357.0</v>
      </c>
      <c r="B351" s="3" t="s">
        <v>350</v>
      </c>
      <c r="C351" s="3" t="str">
        <f>IFERROR(__xludf.DUMMYFUNCTION("GOOGLETRANSLATE(B351,""id"",""en"")"),"['Level']")</f>
        <v>['Level']</v>
      </c>
      <c r="D351" s="3">
        <v>1.0</v>
      </c>
    </row>
    <row r="352" ht="15.75" customHeight="1">
      <c r="A352" s="1">
        <v>358.0</v>
      </c>
      <c r="B352" s="3" t="s">
        <v>351</v>
      </c>
      <c r="C352" s="3" t="str">
        <f>IFERROR(__xludf.DUMMYFUNCTION("GOOGLETRANSLATE(B352,""id"",""en"")"),"['The application', 'cool', 'see', 'contract', 'bill', 'set', 'use', 'package', 'need', 'speed', 'signal', 'steady', ' ']")</f>
        <v>['The application', 'cool', 'see', 'contract', 'bill', 'set', 'use', 'package', 'need', 'speed', 'signal', 'steady', ' ']</v>
      </c>
      <c r="D352" s="3">
        <v>5.0</v>
      </c>
    </row>
    <row r="353" ht="15.75" customHeight="1">
      <c r="A353" s="1">
        <v>359.0</v>
      </c>
      <c r="B353" s="3" t="s">
        <v>352</v>
      </c>
      <c r="C353" s="3" t="str">
        <f>IFERROR(__xludf.DUMMYFUNCTION("GOOGLETRANSLATE(B353,""id"",""en"")"),"['application', 'complete', 'easy', 'check', 'stasus',' usage ',' status', 'connected', 'neighbor', 'nosy', 'direct', 'block', ' Direct ',' hope ',' in the future ',' Cool ',' ']")</f>
        <v>['application', 'complete', 'easy', 'check', 'stasus',' usage ',' status', 'connected', 'neighbor', 'nosy', 'direct', 'block', ' Direct ',' hope ',' in the future ',' Cool ',' ']</v>
      </c>
      <c r="D353" s="3">
        <v>5.0</v>
      </c>
    </row>
    <row r="354" ht="15.75" customHeight="1">
      <c r="A354" s="1">
        <v>360.0</v>
      </c>
      <c r="B354" s="3" t="s">
        <v>353</v>
      </c>
      <c r="C354" s="3" t="str">
        <f>IFERROR(__xludf.DUMMYFUNCTION("GOOGLETRANSLATE(B354,""id"",""en"")"),"['', 'forward', 'company', 'BUMN', '']")</f>
        <v>['', 'forward', 'company', 'BUMN', '']</v>
      </c>
      <c r="D354" s="3">
        <v>5.0</v>
      </c>
    </row>
    <row r="355" ht="15.75" customHeight="1">
      <c r="A355" s="1">
        <v>361.0</v>
      </c>
      <c r="B355" s="3" t="s">
        <v>354</v>
      </c>
      <c r="C355" s="3" t="str">
        <f>IFERROR(__xludf.DUMMYFUNCTION("GOOGLETRANSLATE(B355,""id"",""en"")"),"['Alhamdulillah', 'application', 'easy', 'set', 'wifi', 'at home', 'network', 'stable', 'really', 'good', 'jobb']")</f>
        <v>['Alhamdulillah', 'application', 'easy', 'set', 'wifi', 'at home', 'network', 'stable', 'really', 'good', 'jobb']</v>
      </c>
      <c r="D355" s="3">
        <v>5.0</v>
      </c>
    </row>
    <row r="356" ht="15.75" customHeight="1">
      <c r="A356" s="1">
        <v>362.0</v>
      </c>
      <c r="B356" s="3" t="s">
        <v>355</v>
      </c>
      <c r="C356" s="3" t="str">
        <f>IFERROR(__xludf.DUMMYFUNCTION("GOOGLETRANSLATE(B356,""id"",""en"")"),"['update', 'application', 'help', 'obstacle', 'internet', 'then', 'complain', 'given', 'solution', 'direct', 'thank', ' help']")</f>
        <v>['update', 'application', 'help', 'obstacle', 'internet', 'then', 'complain', 'given', 'solution', 'direct', 'thank', ' help']</v>
      </c>
      <c r="D356" s="3">
        <v>5.0</v>
      </c>
    </row>
    <row r="357" ht="15.75" customHeight="1">
      <c r="A357" s="1">
        <v>363.0</v>
      </c>
      <c r="B357" s="3" t="s">
        <v>356</v>
      </c>
      <c r="C357" s="3" t="str">
        <f>IFERROR(__xludf.DUMMYFUNCTION("GOOGLETRANSLATE(B357,""id"",""en"")"),"['variant', 'price', 'package', 'signal', 'savory', 'surge', 'stable', 'really', 'work', 'Ogut', 'smooth', 'Jaya', ' Good ']")</f>
        <v>['variant', 'price', 'package', 'signal', 'savory', 'surge', 'stable', 'really', 'work', 'Ogut', 'smooth', 'Jaya', ' Good ']</v>
      </c>
      <c r="D357" s="3">
        <v>5.0</v>
      </c>
    </row>
    <row r="358" ht="15.75" customHeight="1">
      <c r="A358" s="1">
        <v>364.0</v>
      </c>
      <c r="B358" s="3" t="s">
        <v>357</v>
      </c>
      <c r="C358" s="3" t="str">
        <f>IFERROR(__xludf.DUMMYFUNCTION("GOOGLETRANSLATE(B358,""id"",""en"")"),"['Good', 'Application', 'Myindihome', 'Useful', 'Very', 'User', 'Indihome', 'Application', 'Features',' Diverse ',' Package ',' Internet ',' Easy ',' check ',' bill ',' ']")</f>
        <v>['Good', 'Application', 'Myindihome', 'Useful', 'Very', 'User', 'Indihome', 'Application', 'Features',' Diverse ',' Package ',' Internet ',' Easy ',' check ',' bill ',' ']</v>
      </c>
      <c r="D358" s="3">
        <v>5.0</v>
      </c>
    </row>
    <row r="359" ht="15.75" customHeight="1">
      <c r="A359" s="1">
        <v>365.0</v>
      </c>
      <c r="B359" s="3" t="s">
        <v>358</v>
      </c>
      <c r="C359" s="3" t="str">
        <f>IFERROR(__xludf.DUMMYFUNCTION("GOOGLETRANSLATE(B359,""id"",""en"")"),"['really', 'really', 'the application', 'help', 'user', 'indihome', 'features',' complete ',' pay ',' bill ',' wherever ',' easy ',' Report ',' Constraints', 'Location', 'Plasa', 'Telkom', 'Nearest', ""]")</f>
        <v>['really', 'really', 'the application', 'help', 'user', 'indihome', 'features',' complete ',' pay ',' bill ',' wherever ',' easy ',' Report ',' Constraints', 'Location', 'Plasa', 'Telkom', 'Nearest', "]</v>
      </c>
      <c r="D359" s="3">
        <v>5.0</v>
      </c>
    </row>
    <row r="360" ht="15.75" customHeight="1">
      <c r="A360" s="1">
        <v>366.0</v>
      </c>
      <c r="B360" s="3" t="s">
        <v>359</v>
      </c>
      <c r="C360" s="3" t="str">
        <f>IFERROR(__xludf.DUMMYFUNCTION("GOOGLETRANSLATE(B360,""id"",""en"")"),"['Cool', 'application', 'help', 'innovative', 'hope', 'success', 'service', 'satisfying', 'users', '']")</f>
        <v>['Cool', 'application', 'help', 'innovative', 'hope', 'success', 'service', 'satisfying', 'users', '']</v>
      </c>
      <c r="D360" s="3">
        <v>5.0</v>
      </c>
    </row>
    <row r="361" ht="15.75" customHeight="1">
      <c r="A361" s="1">
        <v>367.0</v>
      </c>
      <c r="B361" s="3" t="s">
        <v>360</v>
      </c>
      <c r="C361" s="3" t="str">
        <f>IFERROR(__xludf.DUMMYFUNCTION("GOOGLETRANSLATE(B361,""id"",""en"")"),"['Application', 'Indihome', 'Help', 'Access', 'Easy', 'Set', 'WiFi', 'Easy', 'Recommend']")</f>
        <v>['Application', 'Indihome', 'Help', 'Access', 'Easy', 'Set', 'WiFi', 'Easy', 'Recommend']</v>
      </c>
      <c r="D361" s="3">
        <v>5.0</v>
      </c>
    </row>
    <row r="362" ht="15.75" customHeight="1">
      <c r="A362" s="1">
        <v>368.0</v>
      </c>
      <c r="B362" s="3" t="s">
        <v>361</v>
      </c>
      <c r="C362" s="3" t="str">
        <f>IFERROR(__xludf.DUMMYFUNCTION("GOOGLETRANSLATE(B362,""id"",""en"")"),"['Enjoy']")</f>
        <v>['Enjoy']</v>
      </c>
      <c r="D362" s="3">
        <v>5.0</v>
      </c>
    </row>
    <row r="363" ht="15.75" customHeight="1">
      <c r="A363" s="1">
        <v>369.0</v>
      </c>
      <c r="B363" s="3" t="s">
        <v>362</v>
      </c>
      <c r="C363" s="3" t="str">
        <f>IFERROR(__xludf.DUMMYFUNCTION("GOOGLETRANSLATE(B363,""id"",""en"")"),"['application', 'good', 'smooth', 'smooth', 'features',' good ',' made ',' complicated ',' makes it easy ',' subscribe ',' hope ',' in the future ',' At the level ',' ']")</f>
        <v>['application', 'good', 'smooth', 'smooth', 'features',' good ',' made ',' complicated ',' makes it easy ',' subscribe ',' hope ',' in the future ',' At the level ',' ']</v>
      </c>
      <c r="D363" s="3">
        <v>5.0</v>
      </c>
    </row>
    <row r="364" ht="15.75" customHeight="1">
      <c r="A364" s="1">
        <v>370.0</v>
      </c>
      <c r="B364" s="3" t="s">
        <v>363</v>
      </c>
      <c r="C364" s="3" t="str">
        <f>IFERROR(__xludf.DUMMYFUNCTION("GOOGLETRANSLATE(B364,""id"",""en"")"),"['application', 'version', 'kaga', 'complaint', 'chat', 'direct', 'sukit', 'complain', 'rich', 'gini', 'indihome', 'disorder', ' Complain ',' Where ',' Woy ', ""]")</f>
        <v>['application', 'version', 'kaga', 'complaint', 'chat', 'direct', 'sukit', 'complain', 'rich', 'gini', 'indihome', 'disorder', ' Complain ',' Where ',' Woy ', "]</v>
      </c>
      <c r="D364" s="3">
        <v>1.0</v>
      </c>
    </row>
    <row r="365" ht="15.75" customHeight="1">
      <c r="A365" s="1">
        <v>371.0</v>
      </c>
      <c r="B365" s="3" t="s">
        <v>364</v>
      </c>
      <c r="C365" s="3" t="str">
        <f>IFERROR(__xludf.DUMMYFUNCTION("GOOGLETRANSLATE(B365,""id"",""en"")"),"['like', 'really', 'Indihome', 'network', 'good', 'price', 'affordable', 'application', 'it's easy', 'change', 'package', 'subscription', ' practical']")</f>
        <v>['like', 'really', 'Indihome', 'network', 'good', 'price', 'affordable', 'application', 'it's easy', 'change', 'package', 'subscription', ' practical']</v>
      </c>
      <c r="D365" s="3">
        <v>5.0</v>
      </c>
    </row>
    <row r="366" ht="15.75" customHeight="1">
      <c r="A366" s="1">
        <v>372.0</v>
      </c>
      <c r="B366" s="3" t="s">
        <v>365</v>
      </c>
      <c r="C366" s="3" t="str">
        <f>IFERROR(__xludf.DUMMYFUNCTION("GOOGLETRANSLATE(B366,""id"",""en"")"),"['The application', 'good', 'makes it easy', 'customer', 'Indihome', 'payment', 'add', 'speed', 'wifinya', 'price', 'offered', 'affordable']")</f>
        <v>['The application', 'good', 'makes it easy', 'customer', 'Indihome', 'payment', 'add', 'speed', 'wifinya', 'price', 'offered', 'affordable']</v>
      </c>
      <c r="D366" s="3">
        <v>5.0</v>
      </c>
    </row>
    <row r="367" ht="15.75" customHeight="1">
      <c r="A367" s="1">
        <v>373.0</v>
      </c>
      <c r="B367" s="3" t="s">
        <v>366</v>
      </c>
      <c r="C367" s="3" t="str">
        <f>IFERROR(__xludf.DUMMYFUNCTION("GOOGLETRANSLATE(B367,""id"",""en"")"),"['Select', 'Select', 'PKET', 'Dipake', 'Worry', 'Mubazir', 'Direct']")</f>
        <v>['Select', 'Select', 'PKET', 'Dipake', 'Worry', 'Mubazir', 'Direct']</v>
      </c>
      <c r="D367" s="3">
        <v>5.0</v>
      </c>
    </row>
    <row r="368" ht="15.75" customHeight="1">
      <c r="A368" s="1">
        <v>374.0</v>
      </c>
      <c r="B368" s="3" t="s">
        <v>367</v>
      </c>
      <c r="C368" s="3" t="str">
        <f>IFERROR(__xludf.DUMMYFUNCTION("GOOGLETRANSLATE(B368,""id"",""en"")"),"['application', 'tida', 'class', 'company', 'please', 'fix']")</f>
        <v>['application', 'tida', 'class', 'company', 'please', 'fix']</v>
      </c>
      <c r="D368" s="3">
        <v>1.0</v>
      </c>
    </row>
    <row r="369" ht="15.75" customHeight="1">
      <c r="A369" s="1">
        <v>375.0</v>
      </c>
      <c r="B369" s="3" t="s">
        <v>368</v>
      </c>
      <c r="C369" s="3" t="str">
        <f>IFERROR(__xludf.DUMMYFUNCTION("GOOGLETRANSLATE(B369,""id"",""en"")"),"['application', 'slow', 'class', 'Telkom', 'Suguhi', 'quality']")</f>
        <v>['application', 'slow', 'class', 'Telkom', 'Suguhi', 'quality']</v>
      </c>
      <c r="D369" s="3">
        <v>2.0</v>
      </c>
    </row>
    <row r="370" ht="15.75" customHeight="1">
      <c r="A370" s="1">
        <v>376.0</v>
      </c>
      <c r="B370" s="3" t="s">
        <v>369</v>
      </c>
      <c r="C370" s="3" t="str">
        <f>IFERROR(__xludf.DUMMYFUNCTION("GOOGLETRANSLATE(B370,""id"",""en"")"),"['like', 'Indihome', 'college', 'online', 'kyk', 'weve', 'match', 'wifi', 'quota', 'wasteful', 'trs',' network ',' Blum ',' stable ',' can ',' recommendation ',' indihome ',' price ',' affordable ',' signal ',' okay ',' udh ',' dehh ',' tried ',' indihome"&amp;" ' , 'Bner', 'Zoom', 'Lecture', 'Udh', 'Sad']")</f>
        <v>['like', 'Indihome', 'college', 'online', 'kyk', 'weve', 'match', 'wifi', 'quota', 'wasteful', 'trs',' network ',' Blum ',' stable ',' can ',' recommendation ',' indihome ',' price ',' affordable ',' signal ',' okay ',' udh ',' dehh ',' tried ',' indihome ' , 'Bner', 'Zoom', 'Lecture', 'Udh', 'Sad']</v>
      </c>
      <c r="D370" s="3">
        <v>5.0</v>
      </c>
    </row>
    <row r="371" ht="15.75" customHeight="1">
      <c r="A371" s="1">
        <v>377.0</v>
      </c>
      <c r="B371" s="3" t="s">
        <v>370</v>
      </c>
      <c r="C371" s="3" t="str">
        <f>IFERROR(__xludf.DUMMYFUNCTION("GOOGLETRANSLATE(B371,""id"",""en"")"),"['Glad', 'use', 'application', 'myindihome', 'like', 'remember', 'bills',' per month ',' features', 'chat', 'indita', 'like', ' love ',' info ',' info ',' interesting ',' exchange ',' point ',' thank you ',' myindihome ',' recommendation ',' really ',' ju"&amp;"st ',' mah ', ""]")</f>
        <v>['Glad', 'use', 'application', 'myindihome', 'like', 'remember', 'bills',' per month ',' features', 'chat', 'indita', 'like', ' love ',' info ',' info ',' interesting ',' exchange ',' point ',' thank you ',' myindihome ',' recommendation ',' really ',' just ',' mah ', "]</v>
      </c>
      <c r="D371" s="3">
        <v>5.0</v>
      </c>
    </row>
    <row r="372" ht="15.75" customHeight="1">
      <c r="A372" s="1">
        <v>378.0</v>
      </c>
      <c r="B372" s="3" t="s">
        <v>371</v>
      </c>
      <c r="C372" s="3" t="str">
        <f>IFERROR(__xludf.DUMMYFUNCTION("GOOGLETRANSLATE(B372,""id"",""en"")"),"['version', 'the latest', 'ugly', 'version', 'Simple']")</f>
        <v>['version', 'the latest', 'ugly', 'version', 'Simple']</v>
      </c>
      <c r="D372" s="3">
        <v>1.0</v>
      </c>
    </row>
    <row r="373" ht="15.75" customHeight="1">
      <c r="A373" s="1">
        <v>379.0</v>
      </c>
      <c r="B373" s="3" t="s">
        <v>372</v>
      </c>
      <c r="C373" s="3" t="str">
        <f>IFERROR(__xludf.DUMMYFUNCTION("GOOGLETRANSLATE(B373,""id"",""en"")"),"['System', 'bad', '']")</f>
        <v>['System', 'bad', '']</v>
      </c>
      <c r="D373" s="3">
        <v>1.0</v>
      </c>
    </row>
    <row r="374" ht="15.75" customHeight="1">
      <c r="A374" s="1">
        <v>380.0</v>
      </c>
      <c r="B374" s="3" t="s">
        <v>373</v>
      </c>
      <c r="C374" s="3" t="str">
        <f>IFERROR(__xludf.DUMMYFUNCTION("GOOGLETRANSLATE(B374,""id"",""en"")"),"['application', 'Myindihome', 'makes it easy', 'user', 'confused', 'subscribe', 'see', 'history', 'bills',' see ',' boundary ',' usage ',' Complain ',' LGSG ',' Application ',' Success', 'Indihome']")</f>
        <v>['application', 'Myindihome', 'makes it easy', 'user', 'confused', 'subscribe', 'see', 'history', 'bills',' see ',' boundary ',' usage ',' Complain ',' LGSG ',' Application ',' Success', 'Indihome']</v>
      </c>
      <c r="D374" s="3">
        <v>5.0</v>
      </c>
    </row>
    <row r="375" ht="15.75" customHeight="1">
      <c r="A375" s="1">
        <v>381.0</v>
      </c>
      <c r="B375" s="3" t="s">
        <v>374</v>
      </c>
      <c r="C375" s="3" t="str">
        <f>IFERROR(__xludf.DUMMYFUNCTION("GOOGLETRANSLATE(B375,""id"",""en"")"),"['WiFi', 'Update', 'Galaxy', 'Store', 'BBR', 'PDHL', 'Inet', 'RB', 'PKE', 'DRMH', 'SNDRI', 'BKN', ' BBRP ',' RMH ',' Djdiin ',' PKE ',' Gliran ',' PlayStore ',' ']")</f>
        <v>['WiFi', 'Update', 'Galaxy', 'Store', 'BBR', 'PDHL', 'Inet', 'RB', 'PKE', 'DRMH', 'SNDRI', 'BKN', ' BBRP ',' RMH ',' Djdiin ',' PKE ',' Gliran ',' PlayStore ',' ']</v>
      </c>
      <c r="D375" s="3">
        <v>1.0</v>
      </c>
    </row>
    <row r="376" ht="15.75" customHeight="1">
      <c r="A376" s="1">
        <v>382.0</v>
      </c>
      <c r="B376" s="3" t="s">
        <v>375</v>
      </c>
      <c r="C376" s="3" t="str">
        <f>IFERROR(__xludf.DUMMYFUNCTION("GOOGLETRANSLATE(B376,""id"",""en"")"),"['Internet', 'exciting', 'price', 'special', 'program', 'surprise', 'monthly', 'lho', 'indihome', 'sure', 'kuyy', 'download', ' Yaaaa ',' ']")</f>
        <v>['Internet', 'exciting', 'price', 'special', 'program', 'surprise', 'monthly', 'lho', 'indihome', 'sure', 'kuyy', 'download', ' Yaaaa ',' ']</v>
      </c>
      <c r="D376" s="3">
        <v>5.0</v>
      </c>
    </row>
    <row r="377" ht="15.75" customHeight="1">
      <c r="A377" s="1">
        <v>383.0</v>
      </c>
      <c r="B377" s="3" t="s">
        <v>376</v>
      </c>
      <c r="C377" s="3" t="str">
        <f>IFERROR(__xludf.DUMMYFUNCTION("GOOGLETRANSLATE(B377,""id"",""en"")"),"['version', 'newest', 'cool', 'application', 'slow', 'application', 'features',' complete ',' feature ',' bill ',' easy ',' bill ',' Success', 'Indihome']")</f>
        <v>['version', 'newest', 'cool', 'application', 'slow', 'application', 'features',' complete ',' feature ',' bill ',' easy ',' bill ',' Success', 'Indihome']</v>
      </c>
      <c r="D377" s="3">
        <v>5.0</v>
      </c>
    </row>
    <row r="378" ht="15.75" customHeight="1">
      <c r="A378" s="1">
        <v>384.0</v>
      </c>
      <c r="B378" s="3" t="s">
        <v>377</v>
      </c>
      <c r="C378" s="3" t="str">
        <f>IFERROR(__xludf.DUMMYFUNCTION("GOOGLETRANSLATE(B378,""id"",""en"")"),"['happy', 'really', 'myindihome', 'network', 'slow', 'open', 'internet', 'at home', 'smooth', 'application', 'help', 'complicated', ' Login ',' direct ',' already ',' features', 'features',' interesting ',' okay ',' really ',' keep ',' ']")</f>
        <v>['happy', 'really', 'myindihome', 'network', 'slow', 'open', 'internet', 'at home', 'smooth', 'application', 'help', 'complicated', ' Login ',' direct ',' already ',' features', 'features',' interesting ',' okay ',' really ',' keep ',' ']</v>
      </c>
      <c r="D378" s="3">
        <v>5.0</v>
      </c>
    </row>
    <row r="379" ht="15.75" customHeight="1">
      <c r="A379" s="1">
        <v>385.0</v>
      </c>
      <c r="B379" s="3" t="s">
        <v>378</v>
      </c>
      <c r="C379" s="3" t="str">
        <f>IFERROR(__xludf.DUMMYFUNCTION("GOOGLETRANSLATE(B379,""id"",""en"")"),"['Over', 'all', 'good', 'hope', 'indohome', 'advanced', 'innovate', 'service', 'best', 'customer', 'loyal', ""]")</f>
        <v>['Over', 'all', 'good', 'hope', 'indohome', 'advanced', 'innovate', 'service', 'best', 'customer', 'loyal', "]</v>
      </c>
      <c r="D379" s="3">
        <v>5.0</v>
      </c>
    </row>
    <row r="380" ht="15.75" customHeight="1">
      <c r="A380" s="1">
        <v>386.0</v>
      </c>
      <c r="B380" s="3" t="s">
        <v>379</v>
      </c>
      <c r="C380" s="3" t="str">
        <f>IFERROR(__xludf.DUMMYFUNCTION("GOOGLETRANSLATE(B380,""id"",""en"")"),"['APL', 'Indihome', 'makes it easy', 'payment', 'service', 'good', 'complicated', 'network', 'internet', 'good', 'thank you', ""]")</f>
        <v>['APL', 'Indihome', 'makes it easy', 'payment', 'service', 'good', 'complicated', 'network', 'internet', 'good', 'thank you', "]</v>
      </c>
      <c r="D380" s="3">
        <v>5.0</v>
      </c>
    </row>
    <row r="381" ht="15.75" customHeight="1">
      <c r="A381" s="1">
        <v>387.0</v>
      </c>
      <c r="B381" s="3" t="s">
        <v>380</v>
      </c>
      <c r="C381" s="3" t="str">
        <f>IFERROR(__xludf.DUMMYFUNCTION("GOOGLETRANSLATE(B381,""id"",""en"")"),"['Good', 'really', 'application', 'easy', 'setting', 'wifi', 'at home', 'report', 'fast', 'responded']")</f>
        <v>['Good', 'really', 'application', 'easy', 'setting', 'wifi', 'at home', 'report', 'fast', 'responded']</v>
      </c>
      <c r="D381" s="3">
        <v>5.0</v>
      </c>
    </row>
    <row r="382" ht="15.75" customHeight="1">
      <c r="A382" s="1">
        <v>388.0</v>
      </c>
      <c r="B382" s="3" t="s">
        <v>381</v>
      </c>
      <c r="C382" s="3" t="str">
        <f>IFERROR(__xludf.DUMMYFUNCTION("GOOGLETRANSLATE(B382,""id"",""en"")"),"['application', 'easy', 'used', 'wfh', 'pandemic', 'gini', 'the application', 'smooth', 'recommended', 'really', 'download', ""]")</f>
        <v>['application', 'easy', 'used', 'wfh', 'pandemic', 'gini', 'the application', 'smooth', 'recommended', 'really', 'download', "]</v>
      </c>
      <c r="D382" s="3">
        <v>5.0</v>
      </c>
    </row>
    <row r="383" ht="15.75" customHeight="1">
      <c r="A383" s="1">
        <v>389.0</v>
      </c>
      <c r="B383" s="3" t="s">
        <v>382</v>
      </c>
      <c r="C383" s="3" t="str">
        <f>IFERROR(__xludf.DUMMYFUNCTION("GOOGLETRANSLATE(B383,""id"",""en"")"),"['Help', 'really', 'application', 'confused', 'pay', 'bother', 'luck', 'pay', 'the application', 'good', 'really', 'help', ' ']")</f>
        <v>['Help', 'really', 'application', 'confused', 'pay', 'bother', 'luck', 'pay', 'the application', 'good', 'really', 'help', ' ']</v>
      </c>
      <c r="D383" s="3">
        <v>5.0</v>
      </c>
    </row>
    <row r="384" ht="15.75" customHeight="1">
      <c r="A384" s="1">
        <v>390.0</v>
      </c>
      <c r="B384" s="3" t="s">
        <v>383</v>
      </c>
      <c r="C384" s="3" t="str">
        <f>IFERROR(__xludf.DUMMYFUNCTION("GOOGLETRANSLATE(B384,""id"",""en"")"),"['The application', 'Okey', 'really', 'interfacce', 'interesting', 'features',' complete ',' check ',' availability ',' network ',' region ',' check ',' Package ',' internet ',' according to ',' budget ',' choice ',' promo ',' point ',' exchanged ',' merc"&amp;"hant ',' friendly ',' fast ',' response ',' recommended ' ]")</f>
        <v>['The application', 'Okey', 'really', 'interfacce', 'interesting', 'features',' complete ',' check ',' availability ',' network ',' region ',' check ',' Package ',' internet ',' according to ',' budget ',' choice ',' promo ',' point ',' exchanged ',' merchant ',' friendly ',' fast ',' response ',' recommended ' ]</v>
      </c>
      <c r="D384" s="3">
        <v>5.0</v>
      </c>
    </row>
    <row r="385" ht="15.75" customHeight="1">
      <c r="A385" s="1">
        <v>391.0</v>
      </c>
      <c r="B385" s="3" t="s">
        <v>384</v>
      </c>
      <c r="C385" s="3" t="str">
        <f>IFERROR(__xludf.DUMMYFUNCTION("GOOGLETRANSLATE(B385,""id"",""en"")"),"['Lola', 'Lola', 'Knp', 'You', 'Showering', 'Dlm', 'Login', 'Application', 'Version', 'Ngepain', 'Updated', 'Version', ' pdhal ',' version ',' already ',' comfortable ',' reasons', 'meningakatkn', 'service', 'quality', 'oath', 'application', 'ruwet', 'kar"&amp;"uan', 'salty' , 'Likes',' Quality ',' WiFi ',' Indihome ',' Bener ',' Hate ',' Application ',' Myindihome ',' Please ',' Application ',' Permanent ',' Simple ',' Comfortable ',' Used ',' Thank ',' Love ', ""]")</f>
        <v>['Lola', 'Lola', 'Knp', 'You', 'Showering', 'Dlm', 'Login', 'Application', 'Version', 'Ngepain', 'Updated', 'Version', ' pdhal ',' version ',' already ',' comfortable ',' reasons', 'meningakatkn', 'service', 'quality', 'oath', 'application', 'ruwet', 'karuan', 'salty' , 'Likes',' Quality ',' WiFi ',' Indihome ',' Bener ',' Hate ',' Application ',' Myindihome ',' Please ',' Application ',' Permanent ',' Simple ',' Comfortable ',' Used ',' Thank ',' Love ', "]</v>
      </c>
      <c r="D385" s="3">
        <v>1.0</v>
      </c>
    </row>
    <row r="386" ht="15.75" customHeight="1">
      <c r="A386" s="1">
        <v>392.0</v>
      </c>
      <c r="B386" s="3" t="s">
        <v>385</v>
      </c>
      <c r="C386" s="3" t="str">
        <f>IFERROR(__xludf.DUMMYFUNCTION("GOOGLETRANSLATE(B386,""id"",""en"")"),"['Recommendation', 'use', 'Indihome', 'Pay', 'home', 'use', 'already', 'feature', 'payer', 'online', 'complicated', 'easy', ' ']")</f>
        <v>['Recommendation', 'use', 'Indihome', 'Pay', 'home', 'use', 'already', 'feature', 'payer', 'online', 'complicated', 'easy', ' ']</v>
      </c>
      <c r="D386" s="3">
        <v>5.0</v>
      </c>
    </row>
    <row r="387" ht="15.75" customHeight="1">
      <c r="A387" s="1">
        <v>393.0</v>
      </c>
      <c r="B387" s="3" t="s">
        <v>386</v>
      </c>
      <c r="C387" s="3" t="str">
        <f>IFERROR(__xludf.DUMMYFUNCTION("GOOGLETRANSLATE(B387,""id"",""en"")"),"['Open', 'the application']")</f>
        <v>['Open', 'the application']</v>
      </c>
      <c r="D387" s="3">
        <v>3.0</v>
      </c>
    </row>
    <row r="388" ht="15.75" customHeight="1">
      <c r="A388" s="1">
        <v>394.0</v>
      </c>
      <c r="B388" s="3" t="s">
        <v>387</v>
      </c>
      <c r="C388" s="3" t="str">
        <f>IFERROR(__xludf.DUMMYFUNCTION("GOOGLETRANSLATE(B388,""id"",""en"")"),"['update', 'login', 'data', 'updated', 'appears', 'data', 'number', 'send', 'code', 'verification', '']")</f>
        <v>['update', 'login', 'data', 'updated', 'appears', 'data', 'number', 'send', 'code', 'verification', '']</v>
      </c>
      <c r="D388" s="3">
        <v>1.0</v>
      </c>
    </row>
    <row r="389" ht="15.75" customHeight="1">
      <c r="A389" s="1">
        <v>395.0</v>
      </c>
      <c r="B389" s="3" t="s">
        <v>388</v>
      </c>
      <c r="C389" s="3" t="str">
        <f>IFERROR(__xludf.DUMMYFUNCTION("GOOGLETRANSLATE(B389,""id"",""en"")"),"['Congratulations', 'morning', 'connection', 'cable', 'LAN', 'modem', 'disorder', 'watch', 'event', 'thank', 'love', ""]")</f>
        <v>['Congratulations', 'morning', 'connection', 'cable', 'LAN', 'modem', 'disorder', 'watch', 'event', 'thank', 'love', "]</v>
      </c>
      <c r="D389" s="3">
        <v>5.0</v>
      </c>
    </row>
    <row r="390" ht="15.75" customHeight="1">
      <c r="A390" s="1">
        <v>396.0</v>
      </c>
      <c r="B390" s="3" t="s">
        <v>389</v>
      </c>
      <c r="C390" s="3" t="str">
        <f>IFERROR(__xludf.DUMMYFUNCTION("GOOGLETRANSLATE(B390,""id"",""en"")"),"['Alhamdulillah', 'Cluding', 'Success', 'Slalu', 'Myindihome', '']")</f>
        <v>['Alhamdulillah', 'Cluding', 'Success', 'Slalu', 'Myindihome', '']</v>
      </c>
      <c r="D390" s="3">
        <v>5.0</v>
      </c>
    </row>
    <row r="391" ht="15.75" customHeight="1">
      <c r="A391" s="1">
        <v>397.0</v>
      </c>
      <c r="B391" s="3" t="s">
        <v>390</v>
      </c>
      <c r="C391" s="3" t="str">
        <f>IFERROR(__xludf.DUMMYFUNCTION("GOOGLETRANSLATE(B391,""id"",""en"")"),"['Update', 'bad', 'lag', 'see', 'BRP', 'Match', 'owned', 'plus',' DPKKSA ',' Upgrade ',' Speed ​​',' Mbps', ' Daptnya ',' Mbps', 'rich', 'service', 'fraud']")</f>
        <v>['Update', 'bad', 'lag', 'see', 'BRP', 'Match', 'owned', 'plus',' DPKKSA ',' Upgrade ',' Speed ​​',' Mbps', ' Daptnya ',' Mbps', 'rich', 'service', 'fraud']</v>
      </c>
      <c r="D391" s="3">
        <v>1.0</v>
      </c>
    </row>
    <row r="392" ht="15.75" customHeight="1">
      <c r="A392" s="1">
        <v>398.0</v>
      </c>
      <c r="B392" s="3" t="s">
        <v>391</v>
      </c>
      <c r="C392" s="3" t="str">
        <f>IFERROR(__xludf.DUMMYFUNCTION("GOOGLETRANSLATE(B392,""id"",""en"")"),"['Please', 'Network', 'ilang', 'Mulu', 'Hadehhhh', 'Pay', 'Doang', 'expensive', ""]")</f>
        <v>['Please', 'Network', 'ilang', 'Mulu', 'Hadehhhh', 'Pay', 'Doang', 'expensive', "]</v>
      </c>
      <c r="D392" s="3">
        <v>1.0</v>
      </c>
    </row>
    <row r="393" ht="15.75" customHeight="1">
      <c r="A393" s="1">
        <v>399.0</v>
      </c>
      <c r="B393" s="3" t="s">
        <v>392</v>
      </c>
      <c r="C393" s="3" t="str">
        <f>IFERROR(__xludf.DUMMYFUNCTION("GOOGLETRANSLATE(B393,""id"",""en"")"),"['Plus', 'Mbps', 'Leet', '']")</f>
        <v>['Plus', 'Mbps', 'Leet', '']</v>
      </c>
      <c r="D393" s="3">
        <v>1.0</v>
      </c>
    </row>
    <row r="394" ht="15.75" customHeight="1">
      <c r="A394" s="1">
        <v>400.0</v>
      </c>
      <c r="B394" s="3" t="s">
        <v>393</v>
      </c>
      <c r="C394" s="3" t="str">
        <f>IFERROR(__xludf.DUMMYFUNCTION("GOOGLETRANSLATE(B394,""id"",""en"")"),"['steady']")</f>
        <v>['steady']</v>
      </c>
      <c r="D394" s="3">
        <v>5.0</v>
      </c>
    </row>
    <row r="395" ht="15.75" customHeight="1">
      <c r="A395" s="1">
        <v>401.0</v>
      </c>
      <c r="B395" s="3" t="s">
        <v>394</v>
      </c>
      <c r="C395" s="3" t="str">
        <f>IFERROR(__xludf.DUMMYFUNCTION("GOOGLETRANSLATE(B395,""id"",""en"")"),"['The applications', 'LEGEN', 'People', 'Blood']")</f>
        <v>['The applications', 'LEGEN', 'People', 'Blood']</v>
      </c>
      <c r="D395" s="3">
        <v>2.0</v>
      </c>
    </row>
    <row r="396" ht="15.75" customHeight="1">
      <c r="A396" s="1">
        <v>402.0</v>
      </c>
      <c r="B396" s="3" t="s">
        <v>395</v>
      </c>
      <c r="C396" s="3" t="str">
        <f>IFERROR(__xludf.DUMMYFUNCTION("GOOGLETRANSLATE(B396,""id"",""en"")"),"['bad connection']")</f>
        <v>['bad connection']</v>
      </c>
      <c r="D396" s="3">
        <v>1.0</v>
      </c>
    </row>
    <row r="397" ht="15.75" customHeight="1">
      <c r="A397" s="1">
        <v>404.0</v>
      </c>
      <c r="B397" s="3" t="s">
        <v>396</v>
      </c>
      <c r="C397" s="3" t="str">
        <f>IFERROR(__xludf.DUMMYFUNCTION("GOOGLETRANSLATE(B397,""id"",""en"")"),"['bad']")</f>
        <v>['bad']</v>
      </c>
      <c r="D397" s="3">
        <v>1.0</v>
      </c>
    </row>
    <row r="398" ht="15.75" customHeight="1">
      <c r="A398" s="1">
        <v>405.0</v>
      </c>
      <c r="B398" s="3" t="s">
        <v>397</v>
      </c>
      <c r="C398" s="3" t="str">
        <f>IFERROR(__xludf.DUMMYFUNCTION("GOOGLETRANSLATE(B398,""id"",""en"")"),"['Sidoarjo', 'no']")</f>
        <v>['Sidoarjo', 'no']</v>
      </c>
      <c r="D398" s="3">
        <v>2.0</v>
      </c>
    </row>
    <row r="399" ht="15.75" customHeight="1">
      <c r="A399" s="1">
        <v>406.0</v>
      </c>
      <c r="B399" s="3" t="s">
        <v>398</v>
      </c>
      <c r="C399" s="3" t="str">
        <f>IFERROR(__xludf.DUMMYFUNCTION("GOOGLETRANSLATE(B399,""id"",""en"")"),"['What', 'update', 'APK', 'muter', 'muter', 'connection', 'already', 'report', 'apk', 'handling', 'slow', 'no', ' Love ',' Solution ',' Bring ',' STB ',' No. ',' Signal ',' Samsek ',' STB ',' APK ',' Linerin ',' Ngegganggu ', ""]")</f>
        <v>['What', 'update', 'APK', 'muter', 'muter', 'connection', 'already', 'report', 'apk', 'handling', 'slow', 'no', ' Love ',' Solution ',' Bring ',' STB ',' No. ',' Signal ',' Samsek ',' STB ',' APK ',' Linerin ',' Ngegganggu ', "]</v>
      </c>
      <c r="D399" s="3">
        <v>1.0</v>
      </c>
    </row>
    <row r="400" ht="15.75" customHeight="1">
      <c r="A400" s="1">
        <v>407.0</v>
      </c>
      <c r="B400" s="3" t="s">
        <v>399</v>
      </c>
      <c r="C400" s="3" t="str">
        <f>IFERROR(__xludf.DUMMYFUNCTION("GOOGLETRANSLATE(B400,""id"",""en"")"),"['version', 'Launching', 'version', 'easy', 'slow', 'version', 'slow', 'confused', ""]")</f>
        <v>['version', 'Launching', 'version', 'easy', 'slow', 'version', 'slow', 'confused', "]</v>
      </c>
      <c r="D400" s="3">
        <v>1.0</v>
      </c>
    </row>
    <row r="401" ht="15.75" customHeight="1">
      <c r="A401" s="1">
        <v>408.0</v>
      </c>
      <c r="B401" s="3" t="s">
        <v>400</v>
      </c>
      <c r="C401" s="3" t="str">
        <f>IFERROR(__xludf.DUMMYFUNCTION("GOOGLETRANSLATE(B401,""id"",""en"")"),"['Loading', 'menu', 'slow']")</f>
        <v>['Loading', 'menu', 'slow']</v>
      </c>
      <c r="D401" s="3">
        <v>1.0</v>
      </c>
    </row>
    <row r="402" ht="15.75" customHeight="1">
      <c r="A402" s="1">
        <v>409.0</v>
      </c>
      <c r="B402" s="3" t="s">
        <v>401</v>
      </c>
      <c r="C402" s="3" t="str">
        <f>IFERROR(__xludf.DUMMYFUNCTION("GOOGLETRANSLATE(B402,""id"",""en"")"),"['Provider', 'defective', 'subscription']")</f>
        <v>['Provider', 'defective', 'subscription']</v>
      </c>
      <c r="D402" s="3">
        <v>1.0</v>
      </c>
    </row>
    <row r="403" ht="15.75" customHeight="1">
      <c r="A403" s="1">
        <v>410.0</v>
      </c>
      <c r="B403" s="3" t="s">
        <v>402</v>
      </c>
      <c r="C403" s="3" t="str">
        <f>IFERROR(__xludf.DUMMYFUNCTION("GOOGLETRANSLATE(B403,""id"",""en"")"),"['Open', 'application', 'muter', 'muter', 'use', 'network', 'telkomsel']")</f>
        <v>['Open', 'application', 'muter', 'muter', 'use', 'network', 'telkomsel']</v>
      </c>
      <c r="D403" s="3">
        <v>1.0</v>
      </c>
    </row>
    <row r="404" ht="15.75" customHeight="1">
      <c r="A404" s="1">
        <v>411.0</v>
      </c>
      <c r="B404" s="3" t="s">
        <v>403</v>
      </c>
      <c r="C404" s="3" t="str">
        <f>IFERROR(__xludf.DUMMYFUNCTION("GOOGLETRANSLATE(B404,""id"",""en"")"),"['Network', 'Bad', 'repaired', 'Damaged', 'Network', 'Provider', 'Worst', 'Indonesia', ""]")</f>
        <v>['Network', 'Bad', 'repaired', 'Damaged', 'Network', 'Provider', 'Worst', 'Indonesia', "]</v>
      </c>
      <c r="D404" s="3">
        <v>1.0</v>
      </c>
    </row>
    <row r="405" ht="15.75" customHeight="1">
      <c r="A405" s="1">
        <v>412.0</v>
      </c>
      <c r="B405" s="3" t="s">
        <v>404</v>
      </c>
      <c r="C405" s="3" t="str">
        <f>IFERROR(__xludf.DUMMYFUNCTION("GOOGLETRANSLATE(B405,""id"",""en"")"),"['Application', 'garbage', 'used', 'difficult', 'really', 'login', 'difficult', 'pay', 'rubbishhhhh', 'nyidity', 'consumer', 'satttt', ' ']")</f>
        <v>['Application', 'garbage', 'used', 'difficult', 'really', 'login', 'difficult', 'pay', 'rubbishhhhh', 'nyidity', 'consumer', 'satttt', ' ']</v>
      </c>
      <c r="D405" s="3">
        <v>1.0</v>
      </c>
    </row>
    <row r="406" ht="15.75" customHeight="1">
      <c r="A406" s="1">
        <v>413.0</v>
      </c>
      <c r="B406" s="3" t="s">
        <v>405</v>
      </c>
      <c r="C406" s="3" t="str">
        <f>IFERROR(__xludf.DUMMYFUNCTION("GOOGLETRANSLATE(B406,""id"",""en"")"),"['ugly', 'ugly', 'application', 'verification', 'reset', 'see', 'usage', 'monthly', 'device', 'connected', 'wifi', 'hilarious',' ']")</f>
        <v>['ugly', 'ugly', 'application', 'verification', 'reset', 'see', 'usage', 'monthly', 'device', 'connected', 'wifi', 'hilarious',' ']</v>
      </c>
      <c r="D406" s="3">
        <v>1.0</v>
      </c>
    </row>
    <row r="407" ht="15.75" customHeight="1">
      <c r="A407" s="1">
        <v>414.0</v>
      </c>
      <c r="B407" s="3" t="s">
        <v>406</v>
      </c>
      <c r="C407" s="3" t="str">
        <f>IFERROR(__xludf.DUMMYFUNCTION("GOOGLETRANSLATE(B407,""id"",""en"")"),"['application', 'loading', 'really', 'upgrade']")</f>
        <v>['application', 'loading', 'really', 'upgrade']</v>
      </c>
      <c r="D407" s="3">
        <v>1.0</v>
      </c>
    </row>
    <row r="408" ht="15.75" customHeight="1">
      <c r="A408" s="1">
        <v>415.0</v>
      </c>
      <c r="B408" s="3" t="s">
        <v>407</v>
      </c>
      <c r="C408" s="3" t="str">
        <f>IFERROR(__xludf.DUMMYFUNCTION("GOOGLETRANSLATE(B408,""id"",""en"")"),"['deleted']")</f>
        <v>['deleted']</v>
      </c>
      <c r="D408" s="3">
        <v>1.0</v>
      </c>
    </row>
    <row r="409" ht="15.75" customHeight="1">
      <c r="A409" s="1">
        <v>416.0</v>
      </c>
      <c r="B409" s="3" t="s">
        <v>408</v>
      </c>
      <c r="C409" s="3" t="str">
        <f>IFERROR(__xludf.DUMMYFUNCTION("GOOGLETRANSLATE(B409,""id"",""en"")"),"['', 'Cool', 'slow', 'disorder', 'Download', 'application']")</f>
        <v>['', 'Cool', 'slow', 'disorder', 'Download', 'application']</v>
      </c>
      <c r="D409" s="3">
        <v>1.0</v>
      </c>
    </row>
    <row r="410" ht="15.75" customHeight="1">
      <c r="A410" s="1">
        <v>417.0</v>
      </c>
      <c r="B410" s="3" t="s">
        <v>409</v>
      </c>
      <c r="C410" s="3" t="str">
        <f>IFERROR(__xludf.DUMMYFUNCTION("GOOGLETRANSLATE(B410,""id"",""en"")"),"['Restore', 'application', 'Myindihome', 'application', 'the latest', 'ugly', 'slow', 'slow', 'letoy', ""]")</f>
        <v>['Restore', 'application', 'Myindihome', 'application', 'the latest', 'ugly', 'slow', 'slow', 'letoy', "]</v>
      </c>
      <c r="D410" s="3">
        <v>1.0</v>
      </c>
    </row>
    <row r="411" ht="15.75" customHeight="1">
      <c r="A411" s="1">
        <v>418.0</v>
      </c>
      <c r="B411" s="3" t="s">
        <v>410</v>
      </c>
      <c r="C411" s="3" t="str">
        <f>IFERROR(__xludf.DUMMYFUNCTION("GOOGLETRANSLATE(B411,""id"",""en"")"),"['See', 'Info', 'Indihome', 'Display', 'Info', 'Bill', 'Speed', 'Loading', 'Already', 'Clear', 'Cache', 'Install', ' "", 'Tetep', 'That's', 'Open', 'Website', 'Since', 'Tawari', 'Speed', 'MBP']")</f>
        <v>['See', 'Info', 'Indihome', 'Display', 'Info', 'Bill', 'Speed', 'Loading', 'Already', 'Clear', 'Cache', 'Install', ' ", 'Tetep', 'That's', 'Open', 'Website', 'Since', 'Tawari', 'Speed', 'MBP']</v>
      </c>
      <c r="D411" s="3">
        <v>1.0</v>
      </c>
    </row>
    <row r="412" ht="15.75" customHeight="1">
      <c r="A412" s="1">
        <v>419.0</v>
      </c>
      <c r="B412" s="3" t="s">
        <v>411</v>
      </c>
      <c r="C412" s="3" t="str">
        <f>IFERROR(__xludf.DUMMYFUNCTION("GOOGLETRANSLATE(B412,""id"",""en"")"),"['Please', 'Do', 'repairs',' Loading ',' Application ',' Slow ',' ADD ',' Help ',' Accessible ',' Info ',' Details', 'Use', ' Account ',' service ',' experience ', ""]")</f>
        <v>['Please', 'Do', 'repairs',' Loading ',' Application ',' Slow ',' ADD ',' Help ',' Accessible ',' Info ',' Details', 'Use', ' Account ',' service ',' experience ', "]</v>
      </c>
      <c r="D412" s="3">
        <v>1.0</v>
      </c>
    </row>
    <row r="413" ht="15.75" customHeight="1">
      <c r="A413" s="1">
        <v>420.0</v>
      </c>
      <c r="B413" s="3" t="s">
        <v>412</v>
      </c>
      <c r="C413" s="3" t="str">
        <f>IFERROR(__xludf.DUMMYFUNCTION("GOOGLETRANSLATE(B413,""id"",""en"")"),"['signal', 'good']")</f>
        <v>['signal', 'good']</v>
      </c>
      <c r="D413" s="3">
        <v>3.0</v>
      </c>
    </row>
    <row r="414" ht="15.75" customHeight="1">
      <c r="A414" s="1">
        <v>421.0</v>
      </c>
      <c r="B414" s="3" t="s">
        <v>413</v>
      </c>
      <c r="C414" s="3" t="str">
        <f>IFERROR(__xludf.DUMMYFUNCTION("GOOGLETRANSLATE(B414,""id"",""en"")"),"['Paraaahhh', 'Severe', 'Service', '']")</f>
        <v>['Paraaahhh', 'Severe', 'Service', '']</v>
      </c>
      <c r="D414" s="3">
        <v>1.0</v>
      </c>
    </row>
    <row r="415" ht="15.75" customHeight="1">
      <c r="A415" s="1">
        <v>423.0</v>
      </c>
      <c r="B415" s="3" t="s">
        <v>414</v>
      </c>
      <c r="C415" s="3" t="str">
        <f>IFERROR(__xludf.DUMMYFUNCTION("GOOGLETRANSLATE(B415,""id"",""en"")"),"['', 'Login', 'Status',' Dlam ',' Improvement ',' UDH ',' Day "", '']")</f>
        <v>['', 'Login', 'Status',' Dlam ',' Improvement ',' UDH ',' Day ", '']</v>
      </c>
      <c r="D415" s="3">
        <v>1.0</v>
      </c>
    </row>
    <row r="416" ht="15.75" customHeight="1">
      <c r="A416" s="1">
        <v>424.0</v>
      </c>
      <c r="B416" s="3" t="s">
        <v>415</v>
      </c>
      <c r="C416" s="3" t="str">
        <f>IFERROR(__xludf.DUMMYFUNCTION("GOOGLETRANSLATE(B416,""id"",""en"")"),"['Loading', 'oath', 'intention', 'APK', 'NGK', 'SAFE']")</f>
        <v>['Loading', 'oath', 'intention', 'APK', 'NGK', 'SAFE']</v>
      </c>
      <c r="D416" s="3">
        <v>1.0</v>
      </c>
    </row>
    <row r="417" ht="15.75" customHeight="1">
      <c r="A417" s="1">
        <v>425.0</v>
      </c>
      <c r="B417" s="3" t="s">
        <v>416</v>
      </c>
      <c r="C417" s="3" t="str">
        <f>IFERROR(__xludf.DUMMYFUNCTION("GOOGLETRANSLATE(B417,""id"",""en"")"),"['disabled']")</f>
        <v>['disabled']</v>
      </c>
      <c r="D417" s="3">
        <v>1.0</v>
      </c>
    </row>
    <row r="418" ht="15.75" customHeight="1">
      <c r="A418" s="1">
        <v>427.0</v>
      </c>
      <c r="B418" s="3" t="s">
        <v>417</v>
      </c>
      <c r="C418" s="3" t="str">
        <f>IFERROR(__xludf.DUMMYFUNCTION("GOOGLETRANSLATE(B418,""id"",""en"")"),"['Application', 'Rating', 'Review', 'Rating', 'Review', 'Negative', 'Eeeeehhhh', 'Use', 'Initiative', 'Kek', 'Light', 'Easy', ' Loaded ',' Page ',' Application ',' Features', 'Invitors',' Loading ', ""]")</f>
        <v>['Application', 'Rating', 'Review', 'Rating', 'Review', 'Negative', 'Eeeeehhhh', 'Use', 'Initiative', 'Kek', 'Light', 'Easy', ' Loaded ',' Page ',' Application ',' Features', 'Invitors',' Loading ', "]</v>
      </c>
      <c r="D418" s="3">
        <v>1.0</v>
      </c>
    </row>
    <row r="419" ht="15.75" customHeight="1">
      <c r="A419" s="1">
        <v>428.0</v>
      </c>
      <c r="B419" s="3" t="s">
        <v>418</v>
      </c>
      <c r="C419" s="3" t="str">
        <f>IFERROR(__xludf.DUMMYFUNCTION("GOOGLETRANSLATE(B419,""id"",""en"")"),"['application', 'bug', 'cook', 'renew', 'told', 'check', 'availability', 'package', 'location', 'login', 'slow', 'kayak', ' application ',' use ',' data ',' please ',' fix ']")</f>
        <v>['application', 'bug', 'cook', 'renew', 'told', 'check', 'availability', 'package', 'location', 'login', 'slow', 'kayak', ' application ',' use ',' data ',' please ',' fix ']</v>
      </c>
      <c r="D419" s="3">
        <v>1.0</v>
      </c>
    </row>
    <row r="420" ht="15.75" customHeight="1">
      <c r="A420" s="1">
        <v>429.0</v>
      </c>
      <c r="B420" s="3" t="s">
        <v>419</v>
      </c>
      <c r="C420" s="3" t="str">
        <f>IFERROR(__xludf.DUMMYFUNCTION("GOOGLETRANSLATE(B420,""id"",""en"")"),"['Application', 'strange', 'lemoooooooottttt', 'World']")</f>
        <v>['Application', 'strange', 'lemoooooooottttt', 'World']</v>
      </c>
      <c r="D420" s="3">
        <v>1.0</v>
      </c>
    </row>
    <row r="421" ht="15.75" customHeight="1">
      <c r="A421" s="1">
        <v>430.0</v>
      </c>
      <c r="B421" s="3" t="s">
        <v>420</v>
      </c>
      <c r="C421" s="3" t="str">
        <f>IFERROR(__xludf.DUMMYFUNCTION("GOOGLETRANSLATE(B421,""id"",""en"")"),"['Okey', 'really']")</f>
        <v>['Okey', 'really']</v>
      </c>
      <c r="D421" s="3">
        <v>5.0</v>
      </c>
    </row>
    <row r="422" ht="15.75" customHeight="1">
      <c r="A422" s="1">
        <v>432.0</v>
      </c>
      <c r="B422" s="3" t="s">
        <v>421</v>
      </c>
      <c r="C422" s="3" t="str">
        <f>IFERROR(__xludf.DUMMYFUNCTION("GOOGLETRANSLATE(B422,""id"",""en"")"),"['Updated', 'Login', 'How', '']")</f>
        <v>['Updated', 'Login', 'How', '']</v>
      </c>
      <c r="D422" s="3">
        <v>1.0</v>
      </c>
    </row>
    <row r="423" ht="15.75" customHeight="1">
      <c r="A423" s="1">
        <v>433.0</v>
      </c>
      <c r="B423" s="3" t="s">
        <v>422</v>
      </c>
      <c r="C423" s="3" t="str">
        <f>IFERROR(__xludf.DUMMYFUNCTION("GOOGLETRANSLATE(B423,""id"",""en"")"),"['Display', 'okay', 'loading', 'slow', 'info', 'device', 'connected', 'handy', 'hope', 'update', 'appeared', 'the application', ' Ngellag ', ""]")</f>
        <v>['Display', 'okay', 'loading', 'slow', 'info', 'device', 'connected', 'handy', 'hope', 'update', 'appeared', 'the application', ' Ngellag ', "]</v>
      </c>
      <c r="D423" s="3">
        <v>5.0</v>
      </c>
    </row>
    <row r="424" ht="15.75" customHeight="1">
      <c r="A424" s="1">
        <v>434.0</v>
      </c>
      <c r="B424" s="3" t="s">
        <v>423</v>
      </c>
      <c r="C424" s="3" t="str">
        <f>IFERROR(__xludf.DUMMYFUNCTION("GOOGLETRANSLATE(B424,""id"",""en"")"),"['Try', 'deh', 'test', 'random', 'user', 'udh', 'application', 'update', 'good', 'jdi', '']")</f>
        <v>['Try', 'deh', 'test', 'random', 'user', 'udh', 'application', 'update', 'good', 'jdi', '']</v>
      </c>
      <c r="D424" s="3">
        <v>1.0</v>
      </c>
    </row>
    <row r="425" ht="15.75" customHeight="1">
      <c r="A425" s="1">
        <v>435.0</v>
      </c>
      <c r="B425" s="3" t="s">
        <v>424</v>
      </c>
      <c r="C425" s="3" t="str">
        <f>IFERROR(__xludf.DUMMYFUNCTION("GOOGLETRANSLATE(B425,""id"",""en"")"),"['download', 'application', 'complaint', 'response', 'turn', 'kite', 'late', 'pay', 'a day', 'breaking', 'waiting', 'a week', ' Response ',' wifinya ',' ganguan ',' emang ',' geblek ',' indihome ',' ']")</f>
        <v>['download', 'application', 'complaint', 'response', 'turn', 'kite', 'late', 'pay', 'a day', 'breaking', 'waiting', 'a week', ' Response ',' wifinya ',' ganguan ',' emang ',' geblek ',' indihome ',' ']</v>
      </c>
      <c r="D425" s="3">
        <v>1.0</v>
      </c>
    </row>
    <row r="426" ht="15.75" customHeight="1">
      <c r="A426" s="1">
        <v>436.0</v>
      </c>
      <c r="B426" s="3" t="s">
        <v>425</v>
      </c>
      <c r="C426" s="3" t="str">
        <f>IFERROR(__xludf.DUMMYFUNCTION("GOOGLETRANSLATE(B426,""id"",""en"")"),"['Ngebug', 'on', 'column', 'Points', 'Asik', 'Loading', 'Not', 'Bad', '']")</f>
        <v>['Ngebug', 'on', 'column', 'Points', 'Asik', 'Loading', 'Not', 'Bad', '']</v>
      </c>
      <c r="D426" s="3">
        <v>3.0</v>
      </c>
    </row>
    <row r="427" ht="15.75" customHeight="1">
      <c r="A427" s="1">
        <v>437.0</v>
      </c>
      <c r="B427" s="3" t="s">
        <v>426</v>
      </c>
      <c r="C427" s="3" t="str">
        <f>IFERROR(__xludf.DUMMYFUNCTION("GOOGLETRANSLATE(B427,""id"",""en"")"),"['ngabantu', 'really', 'sometimes', 'signal', 'ngelag', 'easy', 'normal', 'rain', 'wind', '']")</f>
        <v>['ngabantu', 'really', 'sometimes', 'signal', 'ngelag', 'easy', 'normal', 'rain', 'wind', '']</v>
      </c>
      <c r="D427" s="3">
        <v>5.0</v>
      </c>
    </row>
    <row r="428" ht="15.75" customHeight="1">
      <c r="A428" s="1">
        <v>438.0</v>
      </c>
      <c r="B428" s="3" t="s">
        <v>427</v>
      </c>
      <c r="C428" s="3" t="str">
        <f>IFERROR(__xludf.DUMMYFUNCTION("GOOGLETRANSLATE(B428,""id"",""en"")"),"['Satisfied', 'slow', 'application', 'Loading', 'report', 'disorder', 'signal', 'full', 'quota', 'fulll', ""]")</f>
        <v>['Satisfied', 'slow', 'application', 'Loading', 'report', 'disorder', 'signal', 'full', 'quota', 'fulll', "]</v>
      </c>
      <c r="D428" s="3">
        <v>1.0</v>
      </c>
    </row>
    <row r="429" ht="15.75" customHeight="1">
      <c r="A429" s="1">
        <v>439.0</v>
      </c>
      <c r="B429" s="3" t="s">
        <v>428</v>
      </c>
      <c r="C429" s="3" t="str">
        <f>IFERROR(__xludf.DUMMYFUNCTION("GOOGLETRANSLATE(B429,""id"",""en"")"),"['', 'login', 'network', 'disruption', 'report', 'technician', 'slow', 'response', 'please', 'pay']")</f>
        <v>['', 'login', 'network', 'disruption', 'report', 'technician', 'slow', 'response', 'please', 'pay']</v>
      </c>
      <c r="D429" s="3">
        <v>1.0</v>
      </c>
    </row>
    <row r="430" ht="15.75" customHeight="1">
      <c r="A430" s="1">
        <v>440.0</v>
      </c>
      <c r="B430" s="3" t="s">
        <v>429</v>
      </c>
      <c r="C430" s="3" t="str">
        <f>IFERROR(__xludf.DUMMYFUNCTION("GOOGLETRANSLATE(B430,""id"",""en"")"),"['The application', 'Cool', 'Komllain', 'Internet', 'Direct', 'Application']")</f>
        <v>['The application', 'Cool', 'Komllain', 'Internet', 'Direct', 'Application']</v>
      </c>
      <c r="D430" s="3">
        <v>5.0</v>
      </c>
    </row>
    <row r="431" ht="15.75" customHeight="1">
      <c r="A431" s="1">
        <v>441.0</v>
      </c>
      <c r="B431" s="3" t="s">
        <v>430</v>
      </c>
      <c r="C431" s="3" t="str">
        <f>IFERROR(__xludf.DUMMYFUNCTION("GOOGLETRANSLATE(B431,""id"",""en"")"),"['Good', 'Lahhhhh']")</f>
        <v>['Good', 'Lahhhhh']</v>
      </c>
      <c r="D431" s="3">
        <v>5.0</v>
      </c>
    </row>
    <row r="432" ht="15.75" customHeight="1">
      <c r="A432" s="1">
        <v>442.0</v>
      </c>
      <c r="B432" s="3" t="s">
        <v>431</v>
      </c>
      <c r="C432" s="3" t="str">
        <f>IFERROR(__xludf.DUMMYFUNCTION("GOOGLETRANSLATE(B432,""id"",""en"")"),"['mannnnnnnnnnttttttttttappppppp']")</f>
        <v>['mannnnnnnnnnttttttttttappppppp']</v>
      </c>
      <c r="D432" s="3">
        <v>5.0</v>
      </c>
    </row>
    <row r="433" ht="15.75" customHeight="1">
      <c r="A433" s="1">
        <v>443.0</v>
      </c>
      <c r="B433" s="3" t="s">
        <v>432</v>
      </c>
      <c r="C433" s="3" t="str">
        <f>IFERROR(__xludf.DUMMYFUNCTION("GOOGLETRANSLATE(B433,""id"",""en"")"),"['Loginkrn', 'Forgot', 'Pass',' Fitu ',' Forgot ',' Pass', 'Login', 'Blum', 'Stlh', 'Try', 'Wait', ' Satujam ',' What ',' troubles', 'user', 'tlg', 'love', 'taudimana', 'resetpass',' blm ',' loginnn ']")</f>
        <v>['Loginkrn', 'Forgot', 'Pass',' Fitu ',' Forgot ',' Pass', 'Login', 'Blum', 'Stlh', 'Try', 'Wait', ' Satujam ',' What ',' troubles', 'user', 'tlg', 'love', 'taudimana', 'resetpass',' blm ',' loginnn ']</v>
      </c>
      <c r="D433" s="3">
        <v>1.0</v>
      </c>
    </row>
    <row r="434" ht="15.75" customHeight="1">
      <c r="A434" s="1">
        <v>444.0</v>
      </c>
      <c r="B434" s="3" t="s">
        <v>433</v>
      </c>
      <c r="C434" s="3" t="str">
        <f>IFERROR(__xludf.DUMMYFUNCTION("GOOGLETRANSLATE(B434,""id"",""en"")"),"['The application', 'heavy', 'Loading', 'blocks', 'interrupted', 'Mending', 'update']")</f>
        <v>['The application', 'heavy', 'Loading', 'blocks', 'interrupted', 'Mending', 'update']</v>
      </c>
      <c r="D434" s="3">
        <v>3.0</v>
      </c>
    </row>
    <row r="435" ht="15.75" customHeight="1">
      <c r="A435" s="1">
        <v>445.0</v>
      </c>
      <c r="B435" s="3" t="s">
        <v>434</v>
      </c>
      <c r="C435" s="3" t="str">
        <f>IFERROR(__xludf.DUMMYFUNCTION("GOOGLETRANSLATE(B435,""id"",""en"")"),"['See', 'Negative', 'Negative', 'Admin', 'Indihome', 'repeated', 'reset', 'repair', 'Talk', 'Only', 'Action', ""]")</f>
        <v>['See', 'Negative', 'Negative', 'Admin', 'Indihome', 'repeated', 'reset', 'repair', 'Talk', 'Only', 'Action', "]</v>
      </c>
      <c r="D435" s="3">
        <v>1.0</v>
      </c>
    </row>
    <row r="436" ht="15.75" customHeight="1">
      <c r="A436" s="1">
        <v>446.0</v>
      </c>
      <c r="B436" s="3" t="s">
        <v>435</v>
      </c>
      <c r="C436" s="3" t="str">
        <f>IFERROR(__xludf.DUMMYFUNCTION("GOOGLETRANSLATE(B436,""id"",""en"")"),"['', 'good']")</f>
        <v>['', 'good']</v>
      </c>
      <c r="D436" s="3">
        <v>5.0</v>
      </c>
    </row>
    <row r="437" ht="15.75" customHeight="1">
      <c r="A437" s="1">
        <v>447.0</v>
      </c>
      <c r="B437" s="3" t="s">
        <v>436</v>
      </c>
      <c r="C437" s="3" t="str">
        <f>IFERROR(__xludf.DUMMYFUNCTION("GOOGLETRANSLATE(B437,""id"",""en"")"),"['Leet', 'Application', 'Point', 'Tuker', 'City', 'Palembang', 'EWW']")</f>
        <v>['Leet', 'Application', 'Point', 'Tuker', 'City', 'Palembang', 'EWW']</v>
      </c>
      <c r="D437" s="3">
        <v>1.0</v>
      </c>
    </row>
    <row r="438" ht="15.75" customHeight="1">
      <c r="A438" s="1">
        <v>448.0</v>
      </c>
      <c r="B438" s="3" t="s">
        <v>437</v>
      </c>
      <c r="C438" s="3" t="str">
        <f>IFERROR(__xludf.DUMMYFUNCTION("GOOGLETRANSLATE(B438,""id"",""en"")"),"['wifi', 'gajls', 'user', 'good', 'kek', 'smph']")</f>
        <v>['wifi', 'gajls', 'user', 'good', 'kek', 'smph']</v>
      </c>
      <c r="D438" s="3">
        <v>1.0</v>
      </c>
    </row>
    <row r="439" ht="15.75" customHeight="1">
      <c r="A439" s="1">
        <v>449.0</v>
      </c>
      <c r="B439" s="3" t="s">
        <v>438</v>
      </c>
      <c r="C439" s="3" t="str">
        <f>IFERROR(__xludf.DUMMYFUNCTION("GOOGLETRANSLATE(B439,""id"",""en"")"),"['Lola', '']")</f>
        <v>['Lola', '']</v>
      </c>
      <c r="D439" s="3">
        <v>1.0</v>
      </c>
    </row>
    <row r="440" ht="15.75" customHeight="1">
      <c r="A440" s="1">
        <v>450.0</v>
      </c>
      <c r="B440" s="3" t="s">
        <v>439</v>
      </c>
      <c r="C440" s="3" t="str">
        <f>IFERROR(__xludf.DUMMYFUNCTION("GOOGLETRANSLATE(B440,""id"",""en"")"),"['', 'difficulty', 'enter', 'application']")</f>
        <v>['', 'difficulty', 'enter', 'application']</v>
      </c>
      <c r="D440" s="3">
        <v>4.0</v>
      </c>
    </row>
    <row r="441" ht="15.75" customHeight="1">
      <c r="A441" s="1">
        <v>451.0</v>
      </c>
      <c r="B441" s="3" t="s">
        <v>440</v>
      </c>
      <c r="C441" s="3" t="str">
        <f>IFERROR(__xludf.DUMMYFUNCTION("GOOGLETRANSLATE(B441,""id"",""en"")"),"['lag']")</f>
        <v>['lag']</v>
      </c>
      <c r="D441" s="3">
        <v>1.0</v>
      </c>
    </row>
    <row r="442" ht="15.75" customHeight="1">
      <c r="A442" s="1">
        <v>452.0</v>
      </c>
      <c r="B442" s="3" t="s">
        <v>441</v>
      </c>
      <c r="C442" s="3" t="str">
        <f>IFERROR(__xludf.DUMMYFUNCTION("GOOGLETRANSLATE(B442,""id"",""en"")"),"['', '']")</f>
        <v>['', '']</v>
      </c>
      <c r="D442" s="3">
        <v>1.0</v>
      </c>
    </row>
    <row r="443" ht="15.75" customHeight="1">
      <c r="A443" s="1">
        <v>453.0</v>
      </c>
      <c r="B443" s="3" t="s">
        <v>442</v>
      </c>
      <c r="C443" s="3" t="str">
        <f>IFERROR(__xludf.DUMMYFUNCTION("GOOGLETRANSLATE(B443,""id"",""en"")"),"['', 'really', 'JUM', 'Loooos', 'Dol']")</f>
        <v>['', 'really', 'JUM', 'Loooos', 'Dol']</v>
      </c>
      <c r="D443" s="3">
        <v>5.0</v>
      </c>
    </row>
    <row r="444" ht="15.75" customHeight="1">
      <c r="A444" s="1">
        <v>454.0</v>
      </c>
      <c r="B444" s="3" t="s">
        <v>443</v>
      </c>
      <c r="C444" s="3" t="str">
        <f>IFERROR(__xludf.DUMMYFUNCTION("GOOGLETRANSLATE(B444,""id"",""en"")"),"['Steady', 'Bags']")</f>
        <v>['Steady', 'Bags']</v>
      </c>
      <c r="D444" s="3">
        <v>5.0</v>
      </c>
    </row>
    <row r="445" ht="15.75" customHeight="1">
      <c r="A445" s="1">
        <v>455.0</v>
      </c>
      <c r="B445" s="3" t="s">
        <v>444</v>
      </c>
      <c r="C445" s="3" t="str">
        <f>IFERROR(__xludf.DUMMYFUNCTION("GOOGLETRANSLATE(B445,""id"",""en"")"),"['business', 'warkop', 'Hopefully', 'in full', 'Indihome', 'good']")</f>
        <v>['business', 'warkop', 'Hopefully', 'in full', 'Indihome', 'good']</v>
      </c>
      <c r="D445" s="3">
        <v>5.0</v>
      </c>
    </row>
    <row r="446" ht="15.75" customHeight="1">
      <c r="A446" s="1">
        <v>456.0</v>
      </c>
      <c r="B446" s="3" t="s">
        <v>445</v>
      </c>
      <c r="C446" s="3" t="str">
        <f>IFERROR(__xludf.DUMMYFUNCTION("GOOGLETRANSLATE(B446,""id"",""en"")"),"['Neat', 'the application']")</f>
        <v>['Neat', 'the application']</v>
      </c>
      <c r="D446" s="3">
        <v>5.0</v>
      </c>
    </row>
    <row r="447" ht="15.75" customHeight="1">
      <c r="A447" s="1">
        <v>457.0</v>
      </c>
      <c r="B447" s="3" t="s">
        <v>446</v>
      </c>
      <c r="C447" s="3" t="str">
        <f>IFERROR(__xludf.DUMMYFUNCTION("GOOGLETRANSLATE(B447,""id"",""en"")"),"['', 'lag']")</f>
        <v>['', 'lag']</v>
      </c>
      <c r="D447" s="3">
        <v>1.0</v>
      </c>
    </row>
    <row r="448" ht="15.75" customHeight="1">
      <c r="A448" s="1">
        <v>459.0</v>
      </c>
      <c r="B448" s="3" t="s">
        <v>447</v>
      </c>
      <c r="C448" s="3" t="str">
        <f>IFERROR(__xludf.DUMMYFUNCTION("GOOGLETRANSLATE(B448,""id"",""en"")"),"['The application', 'good']")</f>
        <v>['The application', 'good']</v>
      </c>
      <c r="D448" s="3">
        <v>5.0</v>
      </c>
    </row>
    <row r="449" ht="15.75" customHeight="1">
      <c r="A449" s="1">
        <v>460.0</v>
      </c>
      <c r="B449" s="3" t="s">
        <v>448</v>
      </c>
      <c r="C449" s="3" t="str">
        <f>IFERROR(__xludf.DUMMYFUNCTION("GOOGLETRANSLATE(B449,""id"",""en"")"),"['Good', 'look']")</f>
        <v>['Good', 'look']</v>
      </c>
      <c r="D449" s="3">
        <v>5.0</v>
      </c>
    </row>
    <row r="450" ht="15.75" customHeight="1">
      <c r="A450" s="1">
        <v>461.0</v>
      </c>
      <c r="B450" s="3" t="s">
        <v>449</v>
      </c>
      <c r="C450" s="3" t="str">
        <f>IFERROR(__xludf.DUMMYFUNCTION("GOOGLETRANSLATE(B450,""id"",""en"")"),"['Bug', '']")</f>
        <v>['Bug', '']</v>
      </c>
      <c r="D450" s="3">
        <v>1.0</v>
      </c>
    </row>
    <row r="451" ht="15.75" customHeight="1">
      <c r="A451" s="1">
        <v>463.0</v>
      </c>
      <c r="B451" s="3" t="s">
        <v>450</v>
      </c>
      <c r="C451" s="3" t="str">
        <f>IFERROR(__xludf.DUMMYFUNCTION("GOOGLETRANSLATE(B451,""id"",""en"")"),"['The application', 'slow', 'already', 'good', 'hope', 'improvement', '']")</f>
        <v>['The application', 'slow', 'already', 'good', 'hope', 'improvement', '']</v>
      </c>
      <c r="D451" s="3">
        <v>5.0</v>
      </c>
    </row>
    <row r="452" ht="15.75" customHeight="1">
      <c r="A452" s="1">
        <v>464.0</v>
      </c>
      <c r="B452" s="3" t="s">
        <v>451</v>
      </c>
      <c r="C452" s="3" t="str">
        <f>IFERROR(__xludf.DUMMYFUNCTION("GOOGLETRANSLATE(B452,""id"",""en"")"),"['Display', 'Indihome', 'Good', 'Easy', 'Understand', 'Loading', 'Heavy']")</f>
        <v>['Display', 'Indihome', 'Good', 'Easy', 'Understand', 'Loading', 'Heavy']</v>
      </c>
      <c r="D452" s="3">
        <v>4.0</v>
      </c>
    </row>
    <row r="453" ht="15.75" customHeight="1">
      <c r="A453" s="1">
        <v>465.0</v>
      </c>
      <c r="B453" s="3" t="s">
        <v>452</v>
      </c>
      <c r="C453" s="3" t="str">
        <f>IFERROR(__xludf.DUMMYFUNCTION("GOOGLETRANSLATE(B453,""id"",""en"")"),"['Fast', 'repaired', 'Application', 'Severe', 'slow', 'no', 'access', 'menu', 'menu', 'renew', 'fup', 'no']")</f>
        <v>['Fast', 'repaired', 'Application', 'Severe', 'slow', 'no', 'access', 'menu', 'menu', 'renew', 'fup', 'no']</v>
      </c>
      <c r="D453" s="3">
        <v>1.0</v>
      </c>
    </row>
    <row r="454" ht="15.75" customHeight="1">
      <c r="A454" s="1">
        <v>466.0</v>
      </c>
      <c r="B454" s="3" t="s">
        <v>453</v>
      </c>
      <c r="C454" s="3" t="str">
        <f>IFERROR(__xludf.DUMMYFUNCTION("GOOGLETRANSLATE(B454,""id"",""en"")"),"['Indihome' experience, 'obstacle', 'anything', 'handling', 'engineering', 'information', 'indihome', 'obstacle', 'indihome', 'fast', 'handle it', ' Solution ',' INDIHOME ',' BUFFERING ',' QUALITY ',' GUARANTEED ']")</f>
        <v>['Indihome' experience, 'obstacle', 'anything', 'handling', 'engineering', 'information', 'indihome', 'obstacle', 'indihome', 'fast', 'handle it', ' Solution ',' INDIHOME ',' BUFFERING ',' QUALITY ',' GUARANTEED ']</v>
      </c>
      <c r="D454" s="3">
        <v>5.0</v>
      </c>
    </row>
    <row r="455" ht="15.75" customHeight="1">
      <c r="A455" s="1">
        <v>467.0</v>
      </c>
      <c r="B455" s="3" t="s">
        <v>454</v>
      </c>
      <c r="C455" s="3" t="str">
        <f>IFERROR(__xludf.DUMMYFUNCTION("GOOGLETRANSLATE(B455,""id"",""en"")"),"['application', 'safe', 'light', 'easy', 'access', 'version']")</f>
        <v>['application', 'safe', 'light', 'easy', 'access', 'version']</v>
      </c>
      <c r="D455" s="3">
        <v>5.0</v>
      </c>
    </row>
    <row r="456" ht="15.75" customHeight="1">
      <c r="A456" s="1">
        <v>468.0</v>
      </c>
      <c r="B456" s="3" t="s">
        <v>455</v>
      </c>
      <c r="C456" s="3" t="str">
        <f>IFERROR(__xludf.DUMMYFUNCTION("GOOGLETRANSLATE(B456,""id"",""en"")"),"['application', 'help', 'check', 'use', 'monthly', '']")</f>
        <v>['application', 'help', 'check', 'use', 'monthly', '']</v>
      </c>
      <c r="D456" s="3">
        <v>5.0</v>
      </c>
    </row>
    <row r="457" ht="15.75" customHeight="1">
      <c r="A457" s="1">
        <v>469.0</v>
      </c>
      <c r="B457" s="3" t="s">
        <v>456</v>
      </c>
      <c r="C457" s="3" t="str">
        <f>IFERROR(__xludf.DUMMYFUNCTION("GOOGLETRANSLATE(B457,""id"",""en"")"),"['Update', 'Open', '']")</f>
        <v>['Update', 'Open', '']</v>
      </c>
      <c r="D457" s="3">
        <v>2.0</v>
      </c>
    </row>
    <row r="458" ht="15.75" customHeight="1">
      <c r="A458" s="1">
        <v>470.0</v>
      </c>
      <c r="B458" s="3" t="s">
        <v>457</v>
      </c>
      <c r="C458" s="3" t="str">
        <f>IFERROR(__xludf.DUMMYFUNCTION("GOOGLETRANSLATE(B458,""id"",""en"")"),"['update', 'look', 'fresh', 'easy', 'access it']")</f>
        <v>['update', 'look', 'fresh', 'easy', 'access it']</v>
      </c>
      <c r="D458" s="3">
        <v>5.0</v>
      </c>
    </row>
    <row r="459" ht="15.75" customHeight="1">
      <c r="A459" s="1">
        <v>471.0</v>
      </c>
      <c r="B459" s="3" t="s">
        <v>458</v>
      </c>
      <c r="C459" s="3" t="str">
        <f>IFERROR(__xludf.DUMMYFUNCTION("GOOGLETRANSLATE(B459,""id"",""en"")"),"['emang', 'Debest', 'Indihome', 'network', 'super', 'fast']")</f>
        <v>['emang', 'Debest', 'Indihome', 'network', 'super', 'fast']</v>
      </c>
      <c r="D459" s="3">
        <v>5.0</v>
      </c>
    </row>
    <row r="460" ht="15.75" customHeight="1">
      <c r="A460" s="1">
        <v>472.0</v>
      </c>
      <c r="B460" s="3" t="s">
        <v>459</v>
      </c>
      <c r="C460" s="3" t="str">
        <f>IFERROR(__xludf.DUMMYFUNCTION("GOOGLETRANSLATE(B460,""id"",""en"")"),"['comfortable']")</f>
        <v>['comfortable']</v>
      </c>
      <c r="D460" s="3">
        <v>5.0</v>
      </c>
    </row>
    <row r="461" ht="15.75" customHeight="1">
      <c r="A461" s="1">
        <v>473.0</v>
      </c>
      <c r="B461" s="3" t="s">
        <v>460</v>
      </c>
      <c r="C461" s="3" t="str">
        <f>IFERROR(__xludf.DUMMYFUNCTION("GOOGLETRANSLATE(B461,""id"",""en"")"),"['steady', '']")</f>
        <v>['steady', '']</v>
      </c>
      <c r="D461" s="3">
        <v>5.0</v>
      </c>
    </row>
    <row r="462" ht="15.75" customHeight="1">
      <c r="A462" s="1">
        <v>474.0</v>
      </c>
      <c r="B462" s="3" t="s">
        <v>461</v>
      </c>
      <c r="C462" s="3" t="str">
        <f>IFERROR(__xludf.DUMMYFUNCTION("GOOGLETRANSLATE(B462,""id"",""en"")"),"['Like', 'Display', 'Latest', 'Device', 'Connected']")</f>
        <v>['Like', 'Display', 'Latest', 'Device', 'Connected']</v>
      </c>
      <c r="D462" s="3">
        <v>3.0</v>
      </c>
    </row>
    <row r="463" ht="15.75" customHeight="1">
      <c r="A463" s="1">
        <v>475.0</v>
      </c>
      <c r="B463" s="3" t="s">
        <v>462</v>
      </c>
      <c r="C463" s="3" t="str">
        <f>IFERROR(__xludf.DUMMYFUNCTION("GOOGLETRANSLATE(B463,""id"",""en"")"),"['Wonder', 'Out', 'Update', 'MSA', 'Login', 'Email', 'NMR', 'Call', 'Registered', 'Password', 'Change', 'Password', ' DKRM ',' Code ',' Code ',' Verification ',' MLH ',' Wait ',' Clock ',' Wonder ']")</f>
        <v>['Wonder', 'Out', 'Update', 'MSA', 'Login', 'Email', 'NMR', 'Call', 'Registered', 'Password', 'Change', 'Password', ' DKRM ',' Code ',' Code ',' Verification ',' MLH ',' Wait ',' Clock ',' Wonder ']</v>
      </c>
      <c r="D463" s="3">
        <v>3.0</v>
      </c>
    </row>
    <row r="464" ht="15.75" customHeight="1">
      <c r="A464" s="1">
        <v>476.0</v>
      </c>
      <c r="B464" s="3" t="s">
        <v>463</v>
      </c>
      <c r="C464" s="3" t="str">
        <f>IFERROR(__xludf.DUMMYFUNCTION("GOOGLETRANSLATE(B464,""id"",""en"")"),"['applicationbaya', 'mantabbb', 'accommodate', 'need', 'kastamer']")</f>
        <v>['applicationbaya', 'mantabbb', 'accommodate', 'need', 'kastamer']</v>
      </c>
      <c r="D464" s="3">
        <v>5.0</v>
      </c>
    </row>
    <row r="465" ht="15.75" customHeight="1">
      <c r="A465" s="1">
        <v>478.0</v>
      </c>
      <c r="B465" s="3" t="s">
        <v>464</v>
      </c>
      <c r="C465" s="3" t="str">
        <f>IFERROR(__xludf.DUMMYFUNCTION("GOOGLETRANSLATE(B465,""id"",""en"")"),"['Thank you', 'Indihome', 'Help', 'Pandemic', 'Easy', 'Online', 'Lecture', 'Sometimes',' Internet ',' Indihome ',' Trouble ',' Helped ',' Quality ',' Internet ',' IndiHome ',' Thank you ',' Indihome ',' Help ',' Society ',' Indonesia ',' WFH ',' Online ',"&amp;"' Etc. ',' Hopefully ',' Indihome ' , 'Jaya', 'quality', 'awake', '']")</f>
        <v>['Thank you', 'Indihome', 'Help', 'Pandemic', 'Easy', 'Online', 'Lecture', 'Sometimes',' Internet ',' Indihome ',' Trouble ',' Helped ',' Quality ',' Internet ',' IndiHome ',' Thank you ',' Indihome ',' Help ',' Society ',' Indonesia ',' WFH ',' Online ',' Etc. ',' Hopefully ',' Indihome ' , 'Jaya', 'quality', 'awake', '']</v>
      </c>
      <c r="D465" s="3">
        <v>5.0</v>
      </c>
    </row>
    <row r="466" ht="15.75" customHeight="1">
      <c r="A466" s="1">
        <v>479.0</v>
      </c>
      <c r="B466" s="3" t="s">
        <v>465</v>
      </c>
      <c r="C466" s="3" t="str">
        <f>IFERROR(__xludf.DUMMYFUNCTION("GOOGLETRANSLATE(B466,""id"",""en"")"),"['look', 'good', 'slow', 'bagusan', 'version', 'good', 'easy', 'Tata', 'history', 'use', 'Giga', 'Please', ' The service is', 'INDIHOME']")</f>
        <v>['look', 'good', 'slow', 'bagusan', 'version', 'good', 'easy', 'Tata', 'history', 'use', 'Giga', 'Please', ' The service is', 'INDIHOME']</v>
      </c>
      <c r="D466" s="3">
        <v>2.0</v>
      </c>
    </row>
    <row r="467" ht="15.75" customHeight="1">
      <c r="A467" s="1">
        <v>480.0</v>
      </c>
      <c r="B467" s="3" t="s">
        <v>466</v>
      </c>
      <c r="C467" s="3" t="str">
        <f>IFERROR(__xludf.DUMMYFUNCTION("GOOGLETRANSLATE(B467,""id"",""en"")"),"['Indihome', 'The', 'Best', 'Anyway', 'The show', 'Good', 'film', 'Signyle', 'Kenceng', 'Wussss', 'Wusss', '']")</f>
        <v>['Indihome', 'The', 'Best', 'Anyway', 'The show', 'Good', 'film', 'Signyle', 'Kenceng', 'Wussss', 'Wusss', '']</v>
      </c>
      <c r="D467" s="3">
        <v>5.0</v>
      </c>
    </row>
    <row r="468" ht="15.75" customHeight="1">
      <c r="A468" s="1">
        <v>481.0</v>
      </c>
      <c r="B468" s="3" t="s">
        <v>467</v>
      </c>
      <c r="C468" s="3" t="str">
        <f>IFERROR(__xludf.DUMMYFUNCTION("GOOGLETRANSLATE(B468,""id"",""en"")"),"['easy', 'use', 'no', 'easy', 'error']")</f>
        <v>['easy', 'use', 'no', 'easy', 'error']</v>
      </c>
      <c r="D468" s="3">
        <v>5.0</v>
      </c>
    </row>
    <row r="469" ht="15.75" customHeight="1">
      <c r="A469" s="1">
        <v>482.0</v>
      </c>
      <c r="B469" s="3" t="s">
        <v>468</v>
      </c>
      <c r="C469" s="3" t="str">
        <f>IFERROR(__xludf.DUMMYFUNCTION("GOOGLETRANSLATE(B469,""id"",""en"")"),"['No', 'Update', 'Application', 'Enter', 'Application', 'Service', 'Disorders', 'Customer', 'Priority', 'Waiting', 'Day', ""]")</f>
        <v>['No', 'Update', 'Application', 'Enter', 'Application', 'Service', 'Disorders', 'Customer', 'Priority', 'Waiting', 'Day', "]</v>
      </c>
      <c r="D469" s="3">
        <v>4.0</v>
      </c>
    </row>
    <row r="470" ht="15.75" customHeight="1">
      <c r="A470" s="1">
        <v>483.0</v>
      </c>
      <c r="B470" s="3" t="s">
        <v>469</v>
      </c>
      <c r="C470" s="3" t="str">
        <f>IFERROR(__xludf.DUMMYFUNCTION("GOOGLETRANSLATE(B470,""id"",""en"")"),"['Good', 'Application', 'Internet', 'Fast', 'Pay', 'Monthly', 'Cheap', 'The', 'Best', 'Really', 'Dehh', 'Anyway']")</f>
        <v>['Good', 'Application', 'Internet', 'Fast', 'Pay', 'Monthly', 'Cheap', 'The', 'Best', 'Really', 'Dehh', 'Anyway']</v>
      </c>
      <c r="D470" s="3">
        <v>5.0</v>
      </c>
    </row>
    <row r="471" ht="15.75" customHeight="1">
      <c r="A471" s="1">
        <v>484.0</v>
      </c>
      <c r="B471" s="3" t="s">
        <v>470</v>
      </c>
      <c r="C471" s="3" t="str">
        <f>IFERROR(__xludf.DUMMYFUNCTION("GOOGLETRANSLATE(B471,""id"",""en"")"),"['It's easy', 'summons',' technicians', 'disorders',' ISP ',' admin ',' scheduling ',' repairs', 'arrival', 'technicians',' home ',' confirmed ',' Overall ',' Service ',' Indihome ',' Good ',' How it is', 'Good', 'at the level', 'In the future', 'Bravo', "&amp;"'Indihome', 'Cheers', ""]")</f>
        <v>['It's easy', 'summons',' technicians', 'disorders',' ISP ',' admin ',' scheduling ',' repairs', 'arrival', 'technicians',' home ',' confirmed ',' Overall ',' Service ',' Indihome ',' Good ',' How it is', 'Good', 'at the level', 'In the future', 'Bravo', 'Indihome', 'Cheers', "]</v>
      </c>
      <c r="D471" s="3">
        <v>5.0</v>
      </c>
    </row>
    <row r="472" ht="15.75" customHeight="1">
      <c r="A472" s="1">
        <v>485.0</v>
      </c>
      <c r="B472" s="3" t="s">
        <v>471</v>
      </c>
      <c r="C472" s="3" t="str">
        <f>IFERROR(__xludf.DUMMYFUNCTION("GOOGLETRANSLATE(B472,""id"",""en"")"),"['Complete', 'FUP', 'usage', 'Yesterday', 'see', 'connected', 'wifi', 'good', 'skg', 'missing', 'return', 'features']")</f>
        <v>['Complete', 'FUP', 'usage', 'Yesterday', 'see', 'connected', 'wifi', 'good', 'skg', 'missing', 'return', 'features']</v>
      </c>
      <c r="D472" s="3">
        <v>5.0</v>
      </c>
    </row>
    <row r="473" ht="15.75" customHeight="1">
      <c r="A473" s="1">
        <v>486.0</v>
      </c>
      <c r="B473" s="3" t="s">
        <v>472</v>
      </c>
      <c r="C473" s="3" t="str">
        <f>IFERROR(__xludf.DUMMYFUNCTION("GOOGLETRANSLATE(B473,""id"",""en"")"),"['Mantap', 'YouTube', '']")</f>
        <v>['Mantap', 'YouTube', '']</v>
      </c>
      <c r="D473" s="3">
        <v>5.0</v>
      </c>
    </row>
    <row r="474" ht="15.75" customHeight="1">
      <c r="A474" s="1">
        <v>487.0</v>
      </c>
      <c r="B474" s="3" t="s">
        <v>473</v>
      </c>
      <c r="C474" s="3" t="str">
        <f>IFERROR(__xludf.DUMMYFUNCTION("GOOGLETRANSLATE(B474,""id"",""en"")"),"['THN', 'subscription', 'Indihome', 'Anyway', 'Satisfied', 'SGT', 'Help', 'Semonga', 'In the future', 'TTP', 'GNERING', 'Current', ' ']")</f>
        <v>['THN', 'subscription', 'Indihome', 'Anyway', 'Satisfied', 'SGT', 'Help', 'Semonga', 'In the future', 'TTP', 'GNERING', 'Current', ' ']</v>
      </c>
      <c r="D474" s="3">
        <v>5.0</v>
      </c>
    </row>
    <row r="475" ht="15.75" customHeight="1">
      <c r="A475" s="1">
        <v>488.0</v>
      </c>
      <c r="B475" s="3" t="s">
        <v>474</v>
      </c>
      <c r="C475" s="3" t="str">
        <f>IFERROR(__xludf.DUMMYFUNCTION("GOOGLETRANSLATE(B475,""id"",""en"")"),"['Friendly', 'user', 'user', 'times',' Try ',' Eugging ',' complaint ',' clock ',' officer ',' home ',' thank ',' love ',' Indihome ']")</f>
        <v>['Friendly', 'user', 'user', 'times',' Try ',' Eugging ',' complaint ',' clock ',' officer ',' home ',' thank ',' love ',' Indihome ']</v>
      </c>
      <c r="D475" s="3">
        <v>5.0</v>
      </c>
    </row>
    <row r="476" ht="15.75" customHeight="1">
      <c r="A476" s="1">
        <v>489.0</v>
      </c>
      <c r="B476" s="3" t="s">
        <v>475</v>
      </c>
      <c r="C476" s="3" t="str">
        <f>IFERROR(__xludf.DUMMYFUNCTION("GOOGLETRANSLATE(B476,""id"",""en"")"),"['Mantab', 'smooth', 'Melanglang', 'Jagad', 'Maya']")</f>
        <v>['Mantab', 'smooth', 'Melanglang', 'Jagad', 'Maya']</v>
      </c>
      <c r="D476" s="3">
        <v>5.0</v>
      </c>
    </row>
    <row r="477" ht="15.75" customHeight="1">
      <c r="A477" s="1">
        <v>490.0</v>
      </c>
      <c r="B477" s="3" t="s">
        <v>476</v>
      </c>
      <c r="C477" s="3" t="str">
        <f>IFERROR(__xludf.DUMMYFUNCTION("GOOGLETRANSLATE(B477,""id"",""en"")"),"['Color', 'choice', 'steady', 'hope', 'in the future', 'indihome']")</f>
        <v>['Color', 'choice', 'steady', 'hope', 'in the future', 'indihome']</v>
      </c>
      <c r="D477" s="3">
        <v>5.0</v>
      </c>
    </row>
    <row r="478" ht="15.75" customHeight="1">
      <c r="A478" s="1">
        <v>491.0</v>
      </c>
      <c r="B478" s="3" t="s">
        <v>477</v>
      </c>
      <c r="C478" s="3" t="str">
        <f>IFERROR(__xludf.DUMMYFUNCTION("GOOGLETRANSLATE(B478,""id"",""en"")"),"['UDH', 'subscription', 'Berthun', 'Indihome', 'Raying', 'APK', 'Make it easier', 'Point', 'exchanged', 'direct', 'Call', 'Customer', ' The servicenya ',' friendly ',' ']")</f>
        <v>['UDH', 'subscription', 'Berthun', 'Indihome', 'Raying', 'APK', 'Make it easier', 'Point', 'exchanged', 'direct', 'Call', 'Customer', ' The servicenya ',' friendly ',' ']</v>
      </c>
      <c r="D478" s="3">
        <v>5.0</v>
      </c>
    </row>
    <row r="479" ht="15.75" customHeight="1">
      <c r="A479" s="1">
        <v>492.0</v>
      </c>
      <c r="B479" s="3" t="s">
        <v>478</v>
      </c>
      <c r="C479" s="3" t="str">
        <f>IFERROR(__xludf.DUMMYFUNCTION("GOOGLETRANSLATE(B479,""id"",""en"")"),"['Service', 'good', 'disorder', 'direct', 'respond', 'friendly', 'indihome', 'steady']")</f>
        <v>['Service', 'good', 'disorder', 'direct', 'respond', 'friendly', 'indihome', 'steady']</v>
      </c>
      <c r="D479" s="3">
        <v>5.0</v>
      </c>
    </row>
    <row r="480" ht="15.75" customHeight="1">
      <c r="A480" s="1">
        <v>493.0</v>
      </c>
      <c r="B480" s="3" t="s">
        <v>479</v>
      </c>
      <c r="C480" s="3" t="str">
        <f>IFERROR(__xludf.DUMMYFUNCTION("GOOGLETRANSLATE(B480,""id"",""en"")"),"['Application', 'Good', 'Cool']")</f>
        <v>['Application', 'Good', 'Cool']</v>
      </c>
      <c r="D480" s="3">
        <v>5.0</v>
      </c>
    </row>
    <row r="481" ht="15.75" customHeight="1">
      <c r="A481" s="1">
        <v>494.0</v>
      </c>
      <c r="B481" s="3" t="s">
        <v>480</v>
      </c>
      <c r="C481" s="3" t="str">
        <f>IFERROR(__xludf.DUMMYFUNCTION("GOOGLETRANSLATE(B481,""id"",""en"")"),"['APL', 'TOP', 'Markotop', '']")</f>
        <v>['APL', 'TOP', 'Markotop', '']</v>
      </c>
      <c r="D481" s="3">
        <v>5.0</v>
      </c>
    </row>
    <row r="482" ht="15.75" customHeight="1">
      <c r="A482" s="1">
        <v>495.0</v>
      </c>
      <c r="B482" s="3" t="s">
        <v>481</v>
      </c>
      <c r="C482" s="3" t="str">
        <f>IFERROR(__xludf.DUMMYFUNCTION("GOOGLETRANSLATE(B482,""id"",""en"")"),"['Cool', 'Easy', 'Understood', 'Certain', 'Indihome', 'Best', ""]")</f>
        <v>['Cool', 'Easy', 'Understood', 'Certain', 'Indihome', 'Best', "]</v>
      </c>
      <c r="D482" s="3">
        <v>5.0</v>
      </c>
    </row>
    <row r="483" ht="15.75" customHeight="1">
      <c r="A483" s="1">
        <v>496.0</v>
      </c>
      <c r="B483" s="3" t="s">
        <v>482</v>
      </c>
      <c r="C483" s="3" t="str">
        <f>IFERROR(__xludf.DUMMYFUNCTION("GOOGLETRANSLATE(B483,""id"",""en"")"),"['Try', 'Good', 'Look', 'Simple']")</f>
        <v>['Try', 'Good', 'Look', 'Simple']</v>
      </c>
      <c r="D483" s="3">
        <v>5.0</v>
      </c>
    </row>
    <row r="484" ht="15.75" customHeight="1">
      <c r="A484" s="1">
        <v>497.0</v>
      </c>
      <c r="B484" s="3" t="s">
        <v>483</v>
      </c>
      <c r="C484" s="3" t="str">
        <f>IFERROR(__xludf.DUMMYFUNCTION("GOOGLETRANSLATE(B484,""id"",""en"")"),"['Current', 'use', '']")</f>
        <v>['Current', 'use', '']</v>
      </c>
      <c r="D484" s="3">
        <v>5.0</v>
      </c>
    </row>
    <row r="485" ht="15.75" customHeight="1">
      <c r="A485" s="1">
        <v>498.0</v>
      </c>
      <c r="B485" s="3" t="s">
        <v>484</v>
      </c>
      <c r="C485" s="3" t="str">
        <f>IFERROR(__xludf.DUMMYFUNCTION("GOOGLETRANSLATE(B485,""id"",""en"")"),"['The application', 'ugly', 'slow', '']")</f>
        <v>['The application', 'ugly', 'slow', '']</v>
      </c>
      <c r="D485" s="3">
        <v>1.0</v>
      </c>
    </row>
    <row r="486" ht="15.75" customHeight="1">
      <c r="A486" s="1">
        <v>501.0</v>
      </c>
      <c r="B486" s="3" t="s">
        <v>485</v>
      </c>
      <c r="C486" s="3" t="str">
        <f>IFERROR(__xludf.DUMMYFUNCTION("GOOGLETRANSLATE(B486,""id"",""en"")"),"['satisfying', 'info', 'newest', 'ribet']")</f>
        <v>['satisfying', 'info', 'newest', 'ribet']</v>
      </c>
      <c r="D486" s="3">
        <v>5.0</v>
      </c>
    </row>
    <row r="487" ht="15.75" customHeight="1">
      <c r="A487" s="1">
        <v>502.0</v>
      </c>
      <c r="B487" s="3" t="s">
        <v>486</v>
      </c>
      <c r="C487" s="3" t="str">
        <f>IFERROR(__xludf.DUMMYFUNCTION("GOOGLETRANSLATE(B487,""id"",""en"")"),"['Display', 'Good', 'Loading']")</f>
        <v>['Display', 'Good', 'Loading']</v>
      </c>
      <c r="D487" s="3">
        <v>3.0</v>
      </c>
    </row>
    <row r="488" ht="15.75" customHeight="1">
      <c r="A488" s="1">
        <v>504.0</v>
      </c>
      <c r="B488" s="3" t="s">
        <v>487</v>
      </c>
      <c r="C488" s="3" t="str">
        <f>IFERROR(__xludf.DUMMYFUNCTION("GOOGLETRANSLATE(B488,""id"",""en"")"),"['smooth', 'sometimes', 'error', 'menu', 'complaint', 'difficult', 'access', 'compare', 'PLN', 'mobile', 'service', 'enhanced']")</f>
        <v>['smooth', 'sometimes', 'error', 'menu', 'complaint', 'difficult', 'access', 'compare', 'PLN', 'mobile', 'service', 'enhanced']</v>
      </c>
      <c r="D488" s="3">
        <v>4.0</v>
      </c>
    </row>
    <row r="489" ht="15.75" customHeight="1">
      <c r="A489" s="1">
        <v>505.0</v>
      </c>
      <c r="B489" s="3" t="s">
        <v>488</v>
      </c>
      <c r="C489" s="3" t="str">
        <f>IFERROR(__xludf.DUMMYFUNCTION("GOOGLETRANSLATE(B489,""id"",""en"")"),"['heavy', 'application', 'new']")</f>
        <v>['heavy', 'application', 'new']</v>
      </c>
      <c r="D489" s="3">
        <v>4.0</v>
      </c>
    </row>
    <row r="490" ht="15.75" customHeight="1">
      <c r="A490" s="1">
        <v>506.0</v>
      </c>
      <c r="B490" s="3" t="s">
        <v>489</v>
      </c>
      <c r="C490" s="3" t="str">
        <f>IFERROR(__xludf.DUMMYFUNCTION("GOOGLETRANSLATE(B490,""id"",""en"")"),"['Verry', 'Helpfull', 'Application', 'Thank', 'You', 'Indohome', ""]")</f>
        <v>['Verry', 'Helpfull', 'Application', 'Thank', 'You', 'Indohome', "]</v>
      </c>
      <c r="D490" s="3">
        <v>5.0</v>
      </c>
    </row>
    <row r="491" ht="15.75" customHeight="1">
      <c r="A491" s="1">
        <v>507.0</v>
      </c>
      <c r="B491" s="3" t="s">
        <v>490</v>
      </c>
      <c r="C491" s="3" t="str">
        <f>IFERROR(__xludf.DUMMYFUNCTION("GOOGLETRANSLATE(B491,""id"",""en"")"),"['Help', 'Anyway', 'The', 'Best']")</f>
        <v>['Help', 'Anyway', 'The', 'Best']</v>
      </c>
      <c r="D491" s="3">
        <v>5.0</v>
      </c>
    </row>
    <row r="492" ht="15.75" customHeight="1">
      <c r="A492" s="1">
        <v>508.0</v>
      </c>
      <c r="B492" s="3" t="s">
        <v>491</v>
      </c>
      <c r="C492" s="3" t="str">
        <f>IFERROR(__xludf.DUMMYFUNCTION("GOOGLETRANSLATE(B492,""id"",""en"")"),"['Bukuk']")</f>
        <v>['Bukuk']</v>
      </c>
      <c r="D492" s="3">
        <v>5.0</v>
      </c>
    </row>
    <row r="493" ht="15.75" customHeight="1">
      <c r="A493" s="1">
        <v>509.0</v>
      </c>
      <c r="B493" s="3" t="s">
        <v>492</v>
      </c>
      <c r="C493" s="3" t="str">
        <f>IFERROR(__xludf.DUMMYFUNCTION("GOOGLETRANSLATE(B493,""id"",""en"")"),"['easy', 'application', 'offer', 'in it', 'interesting', 'point', 'exchanged', 'merchandice', 'interesting', 'quality', 'signal', 'good', ' Like ',' subscriptions ',' internet ',' APK ',' Supporters ',' Thank "", 'Love', 'Indihome',""]")</f>
        <v>['easy', 'application', 'offer', 'in it', 'interesting', 'point', 'exchanged', 'merchandice', 'interesting', 'quality', 'signal', 'good', ' Like ',' subscriptions ',' internet ',' APK ',' Supporters ',' Thank ", 'Love', 'Indihome',"]</v>
      </c>
      <c r="D493" s="3">
        <v>5.0</v>
      </c>
    </row>
    <row r="494" ht="15.75" customHeight="1">
      <c r="A494" s="1">
        <v>510.0</v>
      </c>
      <c r="B494" s="3" t="s">
        <v>493</v>
      </c>
      <c r="C494" s="3" t="str">
        <f>IFERROR(__xludf.DUMMYFUNCTION("GOOGLETRANSLATE(B494,""id"",""en"")"),"['Difficult', 'Understood', 'The application']")</f>
        <v>['Difficult', 'Understood', 'The application']</v>
      </c>
      <c r="D494" s="3">
        <v>1.0</v>
      </c>
    </row>
    <row r="495" ht="15.75" customHeight="1">
      <c r="A495" s="1">
        <v>512.0</v>
      </c>
      <c r="B495" s="3" t="s">
        <v>494</v>
      </c>
      <c r="C495" s="3" t="str">
        <f>IFERROR(__xludf.DUMMYFUNCTION("GOOGLETRANSLATE(B495,""id"",""en"")"),"['', 'upgrade', 'slow', 'kyk', 'network', '']")</f>
        <v>['', 'upgrade', 'slow', 'kyk', 'network', '']</v>
      </c>
      <c r="D495" s="3">
        <v>1.0</v>
      </c>
    </row>
    <row r="496" ht="15.75" customHeight="1">
      <c r="A496" s="1">
        <v>513.0</v>
      </c>
      <c r="B496" s="3" t="s">
        <v>495</v>
      </c>
      <c r="C496" s="3" t="str">
        <f>IFERROR(__xludf.DUMMYFUNCTION("GOOGLETRANSLATE(B496,""id"",""en"")"),"['streaming', 'smooth', 'no', 'ngelag', 'speed', 'fast', 'recommended', '']")</f>
        <v>['streaming', 'smooth', 'no', 'ngelag', 'speed', 'fast', 'recommended', '']</v>
      </c>
      <c r="D496" s="3">
        <v>5.0</v>
      </c>
    </row>
    <row r="497" ht="15.75" customHeight="1">
      <c r="A497" s="1">
        <v>514.0</v>
      </c>
      <c r="B497" s="3" t="s">
        <v>496</v>
      </c>
      <c r="C497" s="3" t="str">
        <f>IFERROR(__xludf.DUMMYFUNCTION("GOOGLETRANSLATE(B497,""id"",""en"")"),"['Come', 'oath', 'paying', 'signal', 'like', 'missing', 'gini', 'mending', 'benign', 'dropped']")</f>
        <v>['Come', 'oath', 'paying', 'signal', 'like', 'missing', 'gini', 'mending', 'benign', 'dropped']</v>
      </c>
      <c r="D497" s="3">
        <v>1.0</v>
      </c>
    </row>
    <row r="498" ht="15.75" customHeight="1">
      <c r="A498" s="1">
        <v>515.0</v>
      </c>
      <c r="B498" s="3" t="s">
        <v>497</v>
      </c>
      <c r="C498" s="3" t="str">
        <f>IFERROR(__xludf.DUMMYFUNCTION("GOOGLETRANSLATE(B498,""id"",""en"")"),"['Internet', 'smooth', 'installation', 'sekarng', 'success', 'indihome', '']")</f>
        <v>['Internet', 'smooth', 'installation', 'sekarng', 'success', 'indihome', '']</v>
      </c>
      <c r="D498" s="3">
        <v>5.0</v>
      </c>
    </row>
    <row r="499" ht="15.75" customHeight="1">
      <c r="A499" s="1">
        <v>516.0</v>
      </c>
      <c r="B499" s="3" t="s">
        <v>498</v>
      </c>
      <c r="C499" s="3" t="str">
        <f>IFERROR(__xludf.DUMMYFUNCTION("GOOGLETRANSLATE(B499,""id"",""en"")"),"['Application', 'Useful', 'Facilitates',' Access', 'Indihome', 'Satisfied', 'Service', 'Indihome', 'Wear', 'Indihome', 'Task', 'Tasks',' Online ',' Complete ', ""]")</f>
        <v>['Application', 'Useful', 'Facilitates',' Access', 'Indihome', 'Satisfied', 'Service', 'Indihome', 'Wear', 'Indihome', 'Task', 'Tasks',' Online ',' Complete ', "]</v>
      </c>
      <c r="D499" s="3">
        <v>5.0</v>
      </c>
    </row>
    <row r="500" ht="15.75" customHeight="1">
      <c r="A500" s="1">
        <v>517.0</v>
      </c>
      <c r="B500" s="3" t="s">
        <v>499</v>
      </c>
      <c r="C500" s="3" t="str">
        <f>IFERROR(__xludf.DUMMYFUNCTION("GOOGLETRANSLATE(B500,""id"",""en"")"),"['Alhamdulillah', 'Service', 'Not bad', 'Please', 'Increase']")</f>
        <v>['Alhamdulillah', 'Service', 'Not bad', 'Please', 'Increase']</v>
      </c>
      <c r="D500" s="3">
        <v>5.0</v>
      </c>
    </row>
    <row r="501" ht="15.75" customHeight="1">
      <c r="A501" s="1">
        <v>518.0</v>
      </c>
      <c r="B501" s="3" t="s">
        <v>500</v>
      </c>
      <c r="C501" s="3" t="str">
        <f>IFERROR(__xludf.DUMMYFUNCTION("GOOGLETRANSLATE(B501,""id"",""en"")"),"['satisfying', '']")</f>
        <v>['satisfying', '']</v>
      </c>
      <c r="D501" s="3">
        <v>5.0</v>
      </c>
    </row>
    <row r="502" ht="15.75" customHeight="1">
      <c r="A502" s="1">
        <v>519.0</v>
      </c>
      <c r="B502" s="3" t="s">
        <v>501</v>
      </c>
      <c r="C502" s="3" t="str">
        <f>IFERROR(__xludf.DUMMYFUNCTION("GOOGLETRANSLATE(B502,""id"",""en"")"),"['', 'good']")</f>
        <v>['', 'good']</v>
      </c>
      <c r="D502" s="3">
        <v>5.0</v>
      </c>
    </row>
    <row r="503" ht="15.75" customHeight="1">
      <c r="A503" s="1">
        <v>520.0</v>
      </c>
      <c r="B503" s="3" t="s">
        <v>502</v>
      </c>
      <c r="C503" s="3" t="str">
        <f>IFERROR(__xludf.DUMMYFUNCTION("GOOGLETRANSLATE(B503,""id"",""en"")"),"['Indihome', 'network', 'reach', 'area', 'my house', 'network', 'okay', 'the application', 'make it easy', 'check', 'bill', 'basically', ' Top ',' really ',' Indihome ',' ']")</f>
        <v>['Indihome', 'network', 'reach', 'area', 'my house', 'network', 'okay', 'the application', 'make it easy', 'check', 'bill', 'basically', ' Top ',' really ',' Indihome ',' ']</v>
      </c>
      <c r="D503" s="3">
        <v>5.0</v>
      </c>
    </row>
    <row r="504" ht="15.75" customHeight="1">
      <c r="A504" s="1">
        <v>521.0</v>
      </c>
      <c r="B504" s="3" t="s">
        <v>503</v>
      </c>
      <c r="C504" s="3" t="str">
        <f>IFERROR(__xludf.DUMMYFUNCTION("GOOGLETRANSLATE(B504,""id"",""en"")"),"['steady', 'thanks', 'myindihome', 'response', 'fast', 'login', 'APK', 'Myindihome', 'Thanks', '']")</f>
        <v>['steady', 'thanks', 'myindihome', 'response', 'fast', 'login', 'APK', 'Myindihome', 'Thanks', '']</v>
      </c>
      <c r="D504" s="3">
        <v>5.0</v>
      </c>
    </row>
    <row r="505" ht="15.75" customHeight="1">
      <c r="A505" s="1">
        <v>522.0</v>
      </c>
      <c r="B505" s="3" t="s">
        <v>504</v>
      </c>
      <c r="C505" s="3" t="str">
        <f>IFERROR(__xludf.DUMMYFUNCTION("GOOGLETRANSLATE(B505,""id"",""en"")"),"['Fix', 'Stop', 'Subscriptions',' Provider ',' Products', 'Service', 'Bad', 'APK', 'Realtime', 'Service', 'Rotten', 'work', ' annoying ',' wants', 'contribution', 'company', 'state', 'his player', 'rotten', 'give', 'bye', 'bye']")</f>
        <v>['Fix', 'Stop', 'Subscriptions',' Provider ',' Products', 'Service', 'Bad', 'APK', 'Realtime', 'Service', 'Rotten', 'work', ' annoying ',' wants', 'contribution', 'company', 'state', 'his player', 'rotten', 'give', 'bye', 'bye']</v>
      </c>
      <c r="D505" s="3">
        <v>1.0</v>
      </c>
    </row>
    <row r="506" ht="15.75" customHeight="1">
      <c r="A506" s="1">
        <v>523.0</v>
      </c>
      <c r="B506" s="3" t="s">
        <v>505</v>
      </c>
      <c r="C506" s="3" t="str">
        <f>IFERROR(__xludf.DUMMYFUNCTION("GOOGLETRANSLATE(B506,""id"",""en"")"),"['Nice', 'Aplication', 'Easy', 'Features', 'Okay', 'Ribet', 'Club']")</f>
        <v>['Nice', 'Aplication', 'Easy', 'Features', 'Okay', 'Ribet', 'Club']</v>
      </c>
      <c r="D506" s="3">
        <v>5.0</v>
      </c>
    </row>
    <row r="507" ht="15.75" customHeight="1">
      <c r="A507" s="1">
        <v>524.0</v>
      </c>
      <c r="B507" s="3" t="s">
        <v>506</v>
      </c>
      <c r="C507" s="3" t="str">
        <f>IFERROR(__xludf.DUMMYFUNCTION("GOOGLETRANSLATE(B507,""id"",""en"")"),"['', 'Indihome', 'has',' service ',' digital ',' provides', 'internet', 'home', 'telephone', 'home', 'interactive', 'indihome', 'diverse ',' choice ',' package ',' cheap ',' really ',' loss', 'really', 'try', '']")</f>
        <v>['', 'Indihome', 'has',' service ',' digital ',' provides', 'internet', 'home', 'telephone', 'home', 'interactive', 'indihome', 'diverse ',' choice ',' package ',' cheap ',' really ',' loss', 'really', 'try', '']</v>
      </c>
      <c r="D507" s="3">
        <v>5.0</v>
      </c>
    </row>
    <row r="508" ht="15.75" customHeight="1">
      <c r="A508" s="1">
        <v>525.0</v>
      </c>
      <c r="B508" s="3" t="s">
        <v>507</v>
      </c>
      <c r="C508" s="3" t="str">
        <f>IFERROR(__xludf.DUMMYFUNCTION("GOOGLETRANSLATE(B508,""id"",""en"")"),"['wifi', 'at home', 'slow', 'telphone', 'indihome', 'fix', 'fix', 'hope', 'fast', 'bankrupt', 'indihome', 'amin', ' ']")</f>
        <v>['wifi', 'at home', 'slow', 'telphone', 'indihome', 'fix', 'fix', 'hope', 'fast', 'bankrupt', 'indihome', 'amin', ' ']</v>
      </c>
      <c r="D508" s="3">
        <v>1.0</v>
      </c>
    </row>
    <row r="509" ht="15.75" customHeight="1">
      <c r="A509" s="1">
        <v>526.0</v>
      </c>
      <c r="B509" s="3" t="s">
        <v>508</v>
      </c>
      <c r="C509" s="3" t="str">
        <f>IFERROR(__xludf.DUMMYFUNCTION("GOOGLETRANSLATE(B509,""id"",""en"")"),"['Application', 'ugly', 'star']")</f>
        <v>['Application', 'ugly', 'star']</v>
      </c>
      <c r="D509" s="3">
        <v>1.0</v>
      </c>
    </row>
    <row r="510" ht="15.75" customHeight="1">
      <c r="A510" s="1">
        <v>527.0</v>
      </c>
      <c r="B510" s="3" t="s">
        <v>509</v>
      </c>
      <c r="C510" s="3" t="str">
        <f>IFERROR(__xludf.DUMMYFUNCTION("GOOGLETRANSLATE(B510,""id"",""en"")"),"['Indihome', 'told', 'Download', 'Application', 'Complete', 'Feature', 'Contact', 'Quota', 'Karna', 'Easy', 'check', 'anywhere', ' form ',' the application ',' Thanks', 'Myindihome', 'Success',' apps']")</f>
        <v>['Indihome', 'told', 'Download', 'Application', 'Complete', 'Feature', 'Contact', 'Quota', 'Karna', 'Easy', 'check', 'anywhere', ' form ',' the application ',' Thanks', 'Myindihome', 'Success',' apps']</v>
      </c>
      <c r="D510" s="3">
        <v>5.0</v>
      </c>
    </row>
    <row r="511" ht="15.75" customHeight="1">
      <c r="A511" s="1">
        <v>528.0</v>
      </c>
      <c r="B511" s="3" t="s">
        <v>510</v>
      </c>
      <c r="C511" s="3" t="str">
        <f>IFERROR(__xludf.DUMMYFUNCTION("GOOGLETRANSLATE(B511,""id"",""en"")"),"['Internet', 'road']")</f>
        <v>['Internet', 'road']</v>
      </c>
      <c r="D511" s="3">
        <v>1.0</v>
      </c>
    </row>
    <row r="512" ht="15.75" customHeight="1">
      <c r="A512" s="1">
        <v>529.0</v>
      </c>
      <c r="B512" s="3" t="s">
        <v>511</v>
      </c>
      <c r="C512" s="3" t="str">
        <f>IFERROR(__xludf.DUMMYFUNCTION("GOOGLETRANSLATE(B512,""id"",""en"")"),"['Please', 'upgrade', 'see', 'brapa', 'user', 'user', 'indihom']")</f>
        <v>['Please', 'upgrade', 'see', 'brapa', 'user', 'user', 'indihom']</v>
      </c>
      <c r="D512" s="3">
        <v>1.0</v>
      </c>
    </row>
    <row r="513" ht="15.75" customHeight="1">
      <c r="A513" s="1">
        <v>530.0</v>
      </c>
      <c r="B513" s="3" t="s">
        <v>512</v>
      </c>
      <c r="C513" s="3" t="str">
        <f>IFERROR(__xludf.DUMMYFUNCTION("GOOGLETRANSLATE(B513,""id"",""en"")"),"['Bagusan', 'version', 'version', 'Teparted', 'tele', 'report', 'disorder', 'intentionally', 'times',' complement ',' then ',' loding ',' ']")</f>
        <v>['Bagusan', 'version', 'version', 'Teparted', 'tele', 'report', 'disorder', 'intentionally', 'times',' complement ',' then ',' loding ',' ']</v>
      </c>
      <c r="D513" s="3">
        <v>1.0</v>
      </c>
    </row>
    <row r="514" ht="15.75" customHeight="1">
      <c r="A514" s="1">
        <v>531.0</v>
      </c>
      <c r="B514" s="3" t="s">
        <v>513</v>
      </c>
      <c r="C514" s="3" t="str">
        <f>IFERROR(__xludf.DUMMYFUNCTION("GOOGLETRANSLATE(B514,""id"",""en"")"),"['Gaaa', 'Canaaa', 'Dipakeeeee', 'Indihome', 'Getting']")</f>
        <v>['Gaaa', 'Canaaa', 'Dipakeeeee', 'Indihome', 'Getting']</v>
      </c>
      <c r="D514" s="3">
        <v>1.0</v>
      </c>
    </row>
    <row r="515" ht="15.75" customHeight="1">
      <c r="A515" s="1">
        <v>532.0</v>
      </c>
      <c r="B515" s="3" t="s">
        <v>514</v>
      </c>
      <c r="C515" s="3" t="str">
        <f>IFERROR(__xludf.DUMMYFUNCTION("GOOGLETRANSLATE(B515,""id"",""en"")"),"['It looks', 'good', 'menuaa', 'loading', 'yaa', 'please', 'action', 'continued', 'thank you']")</f>
        <v>['It looks', 'good', 'menuaa', 'loading', 'yaa', 'please', 'action', 'continued', 'thank you']</v>
      </c>
      <c r="D515" s="3">
        <v>3.0</v>
      </c>
    </row>
    <row r="516" ht="15.75" customHeight="1">
      <c r="A516" s="1">
        <v>533.0</v>
      </c>
      <c r="B516" s="3" t="s">
        <v>515</v>
      </c>
      <c r="C516" s="3" t="str">
        <f>IFERROR(__xludf.DUMMYFUNCTION("GOOGLETRANSLATE(B516,""id"",""en"")"),"['The application', 'good', 'really', 'help', 'subscribe', 'film', 'easy', 'features', 'complete', 'cool', 'really']")</f>
        <v>['The application', 'good', 'really', 'help', 'subscribe', 'film', 'easy', 'features', 'complete', 'cool', 'really']</v>
      </c>
      <c r="D516" s="3">
        <v>5.0</v>
      </c>
    </row>
    <row r="517" ht="15.75" customHeight="1">
      <c r="A517" s="1">
        <v>534.0</v>
      </c>
      <c r="B517" s="3" t="s">
        <v>516</v>
      </c>
      <c r="C517" s="3" t="str">
        <f>IFERROR(__xludf.DUMMYFUNCTION("GOOGLETRANSLATE(B517,""id"",""en"")"),"['while', 'home', 'Thinkening', 'pulse', 'application', 'resolved']")</f>
        <v>['while', 'home', 'Thinkening', 'pulse', 'application', 'resolved']</v>
      </c>
      <c r="D517" s="3">
        <v>4.0</v>
      </c>
    </row>
    <row r="518" ht="15.75" customHeight="1">
      <c r="A518" s="1">
        <v>535.0</v>
      </c>
      <c r="B518" s="3" t="s">
        <v>517</v>
      </c>
      <c r="C518" s="3" t="str">
        <f>IFERROR(__xludf.DUMMYFUNCTION("GOOGLETRANSLATE(B518,""id"",""en"")"),"['Simple', 'Simple', 'Easy', 'Understanding', 'Features',' Features', 'Available', 'User', 'Friendly', 'Lahh', 'Application', 'Light', ' Current ',' opened ',' Dihp ',' Potatoes', '']")</f>
        <v>['Simple', 'Simple', 'Easy', 'Understanding', 'Features',' Features', 'Available', 'User', 'Friendly', 'Lahh', 'Application', 'Light', ' Current ',' opened ',' Dihp ',' Potatoes', '']</v>
      </c>
      <c r="D518" s="3">
        <v>5.0</v>
      </c>
    </row>
    <row r="519" ht="15.75" customHeight="1">
      <c r="A519" s="1">
        <v>536.0</v>
      </c>
      <c r="B519" s="3" t="s">
        <v>518</v>
      </c>
      <c r="C519" s="3" t="str">
        <f>IFERROR(__xludf.DUMMYFUNCTION("GOOGLETRANSLATE(B519,""id"",""en"")"),"['Good', 'really', 'APK', 'check', 'bill', 'indihome', 'network', 'fast', 'anti', 'slow', 'slow', 'club', ' ',' recommended ',' really ',' deh ',' pokonya ']")</f>
        <v>['Good', 'really', 'APK', 'check', 'bill', 'indihome', 'network', 'fast', 'anti', 'slow', 'slow', 'club', ' ',' recommended ',' really ',' deh ',' pokonya ']</v>
      </c>
      <c r="D519" s="3">
        <v>5.0</v>
      </c>
    </row>
    <row r="520" ht="15.75" customHeight="1">
      <c r="A520" s="1">
        <v>537.0</v>
      </c>
      <c r="B520" s="3" t="s">
        <v>519</v>
      </c>
      <c r="C520" s="3" t="str">
        <f>IFERROR(__xludf.DUMMYFUNCTION("GOOGLETRANSLATE(B520,""id"",""en"")"),"['Help', 'payment', 'kouta', 'wifinya', 'application', 'perfectaaaaaaa']")</f>
        <v>['Help', 'payment', 'kouta', 'wifinya', 'application', 'perfectaaaaaaa']</v>
      </c>
      <c r="D520" s="3">
        <v>5.0</v>
      </c>
    </row>
    <row r="521" ht="15.75" customHeight="1">
      <c r="A521" s="1">
        <v>538.0</v>
      </c>
      <c r="B521" s="3" t="s">
        <v>520</v>
      </c>
      <c r="C521" s="3" t="str">
        <f>IFERROR(__xludf.DUMMYFUNCTION("GOOGLETRANSLATE(B521,""id"",""en"")"),"['Indihome', 'good', 'apmmk', 'myindihome', 'given', 'gau', 'promo', 'promo', 'checked', 'bill', 'cool']")</f>
        <v>['Indihome', 'good', 'apmmk', 'myindihome', 'given', 'gau', 'promo', 'promo', 'checked', 'bill', 'cool']</v>
      </c>
      <c r="D521" s="3">
        <v>5.0</v>
      </c>
    </row>
    <row r="522" ht="15.75" customHeight="1">
      <c r="A522" s="1">
        <v>539.0</v>
      </c>
      <c r="B522" s="3" t="s">
        <v>521</v>
      </c>
      <c r="C522" s="3" t="str">
        <f>IFERROR(__xludf.DUMMYFUNCTION("GOOGLETRANSLATE(B522,""id"",""en"")"),"['APK', 'Good', 'Bingiitss',' Bingitss', 'Bingiittss',' Gaes', 'Yuk', 'Download', 'APK', 'Guaranteed', 'Addiction', 'APK', ' Ryesel ',' deh ', ""]")</f>
        <v>['APK', 'Good', 'Bingiitss',' Bingitss', 'Bingiittss',' Gaes', 'Yuk', 'Download', 'APK', 'Guaranteed', 'Addiction', 'APK', ' Ryesel ',' deh ', "]</v>
      </c>
      <c r="D522" s="3">
        <v>5.0</v>
      </c>
    </row>
    <row r="523" ht="15.75" customHeight="1">
      <c r="A523" s="1">
        <v>540.0</v>
      </c>
      <c r="B523" s="3" t="s">
        <v>522</v>
      </c>
      <c r="C523" s="3" t="str">
        <f>IFERROR(__xludf.DUMMYFUNCTION("GOOGLETRANSLATE(B523,""id"",""en"")"),"['Cool', 'application', 'features', 'Help', 'really', 'update', 'promo', 'easy', 'accessed', '']")</f>
        <v>['Cool', 'application', 'features', 'Help', 'really', 'update', 'promo', 'easy', 'accessed', '']</v>
      </c>
      <c r="D523" s="3">
        <v>5.0</v>
      </c>
    </row>
    <row r="524" ht="15.75" customHeight="1">
      <c r="A524" s="1">
        <v>541.0</v>
      </c>
      <c r="B524" s="3" t="s">
        <v>523</v>
      </c>
      <c r="C524" s="3" t="str">
        <f>IFERROR(__xludf.DUMMYFUNCTION("GOOGLETRANSLATE(B524,""id"",""en"")"),"['IndiHome', 'best', 'handling', 'network', 'fast', 'employees', 'friendly', 'friendly', 'success', 'indihome']")</f>
        <v>['IndiHome', 'best', 'handling', 'network', 'fast', 'employees', 'friendly', 'friendly', 'success', 'indihome']</v>
      </c>
      <c r="D524" s="3">
        <v>5.0</v>
      </c>
    </row>
    <row r="525" ht="15.75" customHeight="1">
      <c r="A525" s="1">
        <v>542.0</v>
      </c>
      <c r="B525" s="3" t="s">
        <v>524</v>
      </c>
      <c r="C525" s="3" t="str">
        <f>IFERROR(__xludf.DUMMYFUNCTION("GOOGLETRANSLATE(B525,""id"",""en"")"),"['open', 'application', 'Indihome', 'super', 'slow', 'opened', 'loading', 'internet', 'slow', 'hub', 'info', 'skrg', ' Open ',' application ',' indihome ',' msh ',' blm ']")</f>
        <v>['open', 'application', 'Indihome', 'super', 'slow', 'opened', 'loading', 'internet', 'slow', 'hub', 'info', 'skrg', ' Open ',' application ',' indihome ',' msh ',' blm ']</v>
      </c>
      <c r="D525" s="3">
        <v>1.0</v>
      </c>
    </row>
    <row r="526" ht="15.75" customHeight="1">
      <c r="A526" s="1">
        <v>543.0</v>
      </c>
      <c r="B526" s="3" t="s">
        <v>525</v>
      </c>
      <c r="C526" s="3" t="str">
        <f>IFERROR(__xludf.DUMMYFUNCTION("GOOGLETRANSLATE(B526,""id"",""en"")"),"['Renew', 'Speed', 'details', 'appears', 'what', '']")</f>
        <v>['Renew', 'Speed', 'details', 'appears', 'what', '']</v>
      </c>
      <c r="D526" s="3">
        <v>3.0</v>
      </c>
    </row>
    <row r="527" ht="15.75" customHeight="1">
      <c r="A527" s="1">
        <v>544.0</v>
      </c>
      <c r="B527" s="3" t="s">
        <v>526</v>
      </c>
      <c r="C527" s="3" t="str">
        <f>IFERROR(__xludf.DUMMYFUNCTION("GOOGLETRANSLATE(B527,""id"",""en"")"),"['Good', 'features', 'it looks', 'easy', 'understandable', 'help', ""]")</f>
        <v>['Good', 'features', 'it looks', 'easy', 'understandable', 'help', "]</v>
      </c>
      <c r="D527" s="3">
        <v>5.0</v>
      </c>
    </row>
    <row r="528" ht="15.75" customHeight="1">
      <c r="A528" s="1">
        <v>545.0</v>
      </c>
      <c r="B528" s="3" t="s">
        <v>527</v>
      </c>
      <c r="C528" s="3" t="str">
        <f>IFERROR(__xludf.DUMMYFUNCTION("GOOGLETRANSLATE(B528,""id"",""en"")"),"['Good', 'neat', 'pepherice', '']")</f>
        <v>['Good', 'neat', 'pepherice', '']</v>
      </c>
      <c r="D528" s="3">
        <v>5.0</v>
      </c>
    </row>
    <row r="529" ht="15.75" customHeight="1">
      <c r="A529" s="1">
        <v>546.0</v>
      </c>
      <c r="B529" s="3" t="s">
        <v>528</v>
      </c>
      <c r="C529" s="3" t="str">
        <f>IFERROR(__xludf.DUMMYFUNCTION("GOOGLETRANSLATE(B529,""id"",""en"")"),"['application', 'informative', 'monitor', 'use', 'obstacle', '']")</f>
        <v>['application', 'informative', 'monitor', 'use', 'obstacle', '']</v>
      </c>
      <c r="D529" s="3">
        <v>5.0</v>
      </c>
    </row>
    <row r="530" ht="15.75" customHeight="1">
      <c r="A530" s="1">
        <v>547.0</v>
      </c>
      <c r="B530" s="3" t="s">
        <v>529</v>
      </c>
      <c r="C530" s="3" t="str">
        <f>IFERROR(__xludf.DUMMYFUNCTION("GOOGLETRANSLATE(B530,""id"",""en"")"),"['application', 'useful', 'functioning', 'meets',' need ',' control ',' status', 'usage', 'service', 'history', 'bill', 'subscribe', ' Upgrade ',' Service ',' Internet ',' Phone ',' Application ',' Myindihome ',' Points', 'Exchanged', 'Choice', 'Voucher',"&amp;" 'Interesting', ""]")</f>
        <v>['application', 'useful', 'functioning', 'meets',' need ',' control ',' status', 'usage', 'service', 'history', 'bill', 'subscribe', ' Upgrade ',' Service ',' Internet ',' Phone ',' Application ',' Myindihome ',' Points', 'Exchanged', 'Choice', 'Voucher', 'Interesting', "]</v>
      </c>
      <c r="D530" s="3">
        <v>5.0</v>
      </c>
    </row>
    <row r="531" ht="15.75" customHeight="1">
      <c r="A531" s="1">
        <v>548.0</v>
      </c>
      <c r="B531" s="3" t="s">
        <v>530</v>
      </c>
      <c r="C531" s="3" t="str">
        <f>IFERROR(__xludf.DUMMYFUNCTION("GOOGLETRANSLATE(B531,""id"",""en"")"),"['Cool', 'really', 'application', 'myindihome', 'subscription', 'catchplay', 'like', 'watch', 'xixi', 'spirit', 'giving', 'service', ' Best ',' Myindihome ']")</f>
        <v>['Cool', 'really', 'application', 'myindihome', 'subscription', 'catchplay', 'like', 'watch', 'xixi', 'spirit', 'giving', 'service', ' Best ',' Myindihome ']</v>
      </c>
      <c r="D531" s="3">
        <v>5.0</v>
      </c>
    </row>
    <row r="532" ht="15.75" customHeight="1">
      <c r="A532" s="1">
        <v>549.0</v>
      </c>
      <c r="B532" s="3" t="s">
        <v>531</v>
      </c>
      <c r="C532" s="3" t="str">
        <f>IFERROR(__xludf.DUMMYFUNCTION("GOOGLETRANSLATE(B532,""id"",""en"")"),"['easy', 'informative', '']")</f>
        <v>['easy', 'informative', '']</v>
      </c>
      <c r="D532" s="3">
        <v>5.0</v>
      </c>
    </row>
    <row r="533" ht="15.75" customHeight="1">
      <c r="A533" s="1">
        <v>550.0</v>
      </c>
      <c r="B533" s="3" t="s">
        <v>532</v>
      </c>
      <c r="C533" s="3" t="str">
        <f>IFERROR(__xludf.DUMMYFUNCTION("GOOGLETRANSLATE(B533,""id"",""en"")"),"['Experience', 'Application', 'Indihome', 'Asik', 'Menu', 'Good', 'Help', 'Very', 'Run', 'Activity', 'A Day', 'Menu', ' Complete ',' easy ',' confused ',' use it ',' hope ',' report ',' interference ',' indihome ',' fast ',' overlaugh ',' Haru ',' waiting"&amp;" ',' hour ' , 'thanks']")</f>
        <v>['Experience', 'Application', 'Indihome', 'Asik', 'Menu', 'Good', 'Help', 'Very', 'Run', 'Activity', 'A Day', 'Menu', ' Complete ',' easy ',' confused ',' use it ',' hope ',' report ',' interference ',' indihome ',' fast ',' overlaugh ',' Haru ',' waiting ',' hour ' , 'thanks']</v>
      </c>
      <c r="D533" s="3">
        <v>5.0</v>
      </c>
    </row>
    <row r="534" ht="15.75" customHeight="1">
      <c r="A534" s="1">
        <v>551.0</v>
      </c>
      <c r="B534" s="3" t="s">
        <v>533</v>
      </c>
      <c r="C534" s="3" t="str">
        <f>IFERROR(__xludf.DUMMYFUNCTION("GOOGLETRANSLATE(B534,""id"",""en"")"),"['Please', 'Indihome', 'wifi', 'home', 'slow', 'ngegame', 'buk', 'sosmed', 'please', 'repair', ""]")</f>
        <v>['Please', 'Indihome', 'wifi', 'home', 'slow', 'ngegame', 'buk', 'sosmed', 'please', 'repair', "]</v>
      </c>
      <c r="D534" s="3">
        <v>1.0</v>
      </c>
    </row>
    <row r="535" ht="15.75" customHeight="1">
      <c r="A535" s="1">
        <v>552.0</v>
      </c>
      <c r="B535" s="3" t="s">
        <v>534</v>
      </c>
      <c r="C535" s="3" t="str">
        <f>IFERROR(__xludf.DUMMYFUNCTION("GOOGLETRANSLATE(B535,""id"",""en"")"),"['Real', 'Features',' Registration ',' Report ',' Disruption ',' Point ',' Reward ',' Features', 'Advantages',' Myindihome ',' Facilitates', 'Customer', ' users', 'Indihome', 'emang', 'application', 'millions',' benefits', 'really']")</f>
        <v>['Real', 'Features',' Registration ',' Report ',' Disruption ',' Point ',' Reward ',' Features', 'Advantages',' Myindihome ',' Facilitates', 'Customer', ' users', 'Indihome', 'emang', 'application', 'millions',' benefits', 'really']</v>
      </c>
      <c r="D535" s="3">
        <v>5.0</v>
      </c>
    </row>
    <row r="536" ht="15.75" customHeight="1">
      <c r="A536" s="1">
        <v>553.0</v>
      </c>
      <c r="B536" s="3" t="s">
        <v>535</v>
      </c>
      <c r="C536" s="3" t="str">
        <f>IFERROR(__xludf.DUMMYFUNCTION("GOOGLETRANSLATE(B536,""id"",""en"")"),"['Help', 'Indihome', 'work', 'easy', 'regular', 'indihome', 'best', 'community', 'Thank you', 'Indihome', 'Hopefully', 'ahead' ']")</f>
        <v>['Help', 'Indihome', 'work', 'easy', 'regular', 'indihome', 'best', 'community', 'Thank you', 'Indihome', 'Hopefully', 'ahead' ']</v>
      </c>
      <c r="D536" s="3">
        <v>5.0</v>
      </c>
    </row>
    <row r="537" ht="15.75" customHeight="1">
      <c r="A537" s="1">
        <v>554.0</v>
      </c>
      <c r="B537" s="3" t="s">
        <v>536</v>
      </c>
      <c r="C537" s="3" t="str">
        <f>IFERROR(__xludf.DUMMYFUNCTION("GOOGLETRANSLATE(B537,""id"",""en"")"),"['application', 'features',' complete ',' user ',' friendly ',' make it easy ',' payment ',' bills', 'internet', 'benefits',' hope ',' indihome ',' Best ',' user ',' ']")</f>
        <v>['application', 'features',' complete ',' user ',' friendly ',' make it easy ',' payment ',' bills', 'internet', 'benefits',' hope ',' indihome ',' Best ',' user ',' ']</v>
      </c>
      <c r="D537" s="3">
        <v>5.0</v>
      </c>
    </row>
    <row r="538" ht="15.75" customHeight="1">
      <c r="A538" s="1">
        <v>555.0</v>
      </c>
      <c r="B538" s="3" t="s">
        <v>537</v>
      </c>
      <c r="C538" s="3" t="str">
        <f>IFERROR(__xludf.DUMMYFUNCTION("GOOGLETRANSLATE(B538,""id"",""en"")"),"['Myindihome', 'Connected', 'Service', 'Indihome', '']")</f>
        <v>['Myindihome', 'Connected', 'Service', 'Indihome', '']</v>
      </c>
      <c r="D538" s="3">
        <v>5.0</v>
      </c>
    </row>
    <row r="539" ht="15.75" customHeight="1">
      <c r="A539" s="1">
        <v>556.0</v>
      </c>
      <c r="B539" s="3" t="s">
        <v>441</v>
      </c>
      <c r="C539" s="3" t="str">
        <f>IFERROR(__xludf.DUMMYFUNCTION("GOOGLETRANSLATE(B539,""id"",""en"")"),"['', '']")</f>
        <v>['', '']</v>
      </c>
      <c r="D539" s="3">
        <v>5.0</v>
      </c>
    </row>
    <row r="540" ht="15.75" customHeight="1">
      <c r="A540" s="1">
        <v>557.0</v>
      </c>
      <c r="B540" s="3" t="s">
        <v>538</v>
      </c>
      <c r="C540" s="3" t="str">
        <f>IFERROR(__xludf.DUMMYFUNCTION("GOOGLETRANSLATE(B540,""id"",""en"")"),"['Steady', 'menu', 'simple', 'cool', 'complete', 'forward', 'indihome', 'tired', 'innovate', ""]")</f>
        <v>['Steady', 'menu', 'simple', 'cool', 'complete', 'forward', 'indihome', 'tired', 'innovate', "]</v>
      </c>
      <c r="D540" s="3">
        <v>5.0</v>
      </c>
    </row>
    <row r="541" ht="15.75" customHeight="1">
      <c r="A541" s="1">
        <v>558.0</v>
      </c>
      <c r="B541" s="3" t="s">
        <v>539</v>
      </c>
      <c r="C541" s="3" t="str">
        <f>IFERROR(__xludf.DUMMYFUNCTION("GOOGLETRANSLATE(B541,""id"",""en"")"),"['Sya', 'Student', 'WFH', 'Sya', 'Trbsu', 'Dangan', 'Application', 'Myindihome', '']")</f>
        <v>['Sya', 'Student', 'WFH', 'Sya', 'Trbsu', 'Dangan', 'Application', 'Myindihome', '']</v>
      </c>
      <c r="D541" s="3">
        <v>5.0</v>
      </c>
    </row>
    <row r="542" ht="15.75" customHeight="1">
      <c r="A542" s="1">
        <v>559.0</v>
      </c>
      <c r="B542" s="3" t="s">
        <v>540</v>
      </c>
      <c r="C542" s="3" t="str">
        <f>IFERROR(__xludf.DUMMYFUNCTION("GOOGLETRANSLATE(B542,""id"",""en"")"),"['gabisa', 'enter', 'account', 'woy', 'udh', 'call', 'tetep', 'gabisa', 'turn', 'late', 'pay', 'suspend', ' internet ',' disappointed ',' ama ',' provider ',' internet ',' kenceng ',' pay ',' expensive ',' provider ',' laen ',' city ',' me ',' udh ' , 'I'"&amp;", 'Change', 'Dri', 'Kli', ""]")</f>
        <v>['gabisa', 'enter', 'account', 'woy', 'udh', 'call', 'tetep', 'gabisa', 'turn', 'late', 'pay', 'suspend', ' internet ',' disappointed ',' ama ',' provider ',' internet ',' kenceng ',' pay ',' expensive ',' provider ',' laen ',' city ',' me ',' udh ' , 'I', 'Change', 'Dri', 'Kli', "]</v>
      </c>
      <c r="D542" s="3">
        <v>1.0</v>
      </c>
    </row>
    <row r="543" ht="15.75" customHeight="1">
      <c r="A543" s="1">
        <v>560.0</v>
      </c>
      <c r="B543" s="3" t="s">
        <v>541</v>
      </c>
      <c r="C543" s="3" t="str">
        <f>IFERROR(__xludf.DUMMYFUNCTION("GOOGLETRANSLATE(B543,""id"",""en"")"),"['', 'Kyk', 'Pro', 'Player', 'Network', 'Thanks', ""]")</f>
        <v>['', 'Kyk', 'Pro', 'Player', 'Network', 'Thanks', "]</v>
      </c>
      <c r="D543" s="3">
        <v>5.0</v>
      </c>
    </row>
    <row r="544" ht="15.75" customHeight="1">
      <c r="A544" s="1">
        <v>561.0</v>
      </c>
      <c r="B544" s="3" t="s">
        <v>542</v>
      </c>
      <c r="C544" s="3" t="str">
        <f>IFERROR(__xludf.DUMMYFUNCTION("GOOGLETRANSLATE(B544,""id"",""en"")"),"['Like', 'Display', 'Indihomex']")</f>
        <v>['Like', 'Display', 'Indihomex']</v>
      </c>
      <c r="D544" s="3">
        <v>2.0</v>
      </c>
    </row>
    <row r="545" ht="15.75" customHeight="1">
      <c r="A545" s="1">
        <v>562.0</v>
      </c>
      <c r="B545" s="3" t="s">
        <v>543</v>
      </c>
      <c r="C545" s="3" t="str">
        <f>IFERROR(__xludf.DUMMYFUNCTION("GOOGLETRANSLATE(B545,""id"",""en"")"),"['Ribet', 'NOT', 'Easy', 'Comfortable']")</f>
        <v>['Ribet', 'NOT', 'Easy', 'Comfortable']</v>
      </c>
      <c r="D545" s="3">
        <v>1.0</v>
      </c>
    </row>
    <row r="546" ht="15.75" customHeight="1">
      <c r="A546" s="1">
        <v>563.0</v>
      </c>
      <c r="B546" s="3" t="s">
        <v>544</v>
      </c>
      <c r="C546" s="3" t="str">
        <f>IFERROR(__xludf.DUMMYFUNCTION("GOOGLETRANSLATE(B546,""id"",""en"")"),"['Happy', 'really', 'use', 'Indihome', 'at home', 'choice', 'package', 'interesting', 'discount', 'response', 'chat', 'admin', ' Fast ',' wild ',' really ',' ngingetin ',' bill ',' thanks', ""]")</f>
        <v>['Happy', 'really', 'use', 'Indihome', 'at home', 'choice', 'package', 'interesting', 'discount', 'response', 'chat', 'admin', ' Fast ',' wild ',' really ',' ngingetin ',' bill ',' thanks', "]</v>
      </c>
      <c r="D546" s="3">
        <v>5.0</v>
      </c>
    </row>
    <row r="547" ht="15.75" customHeight="1">
      <c r="A547" s="1">
        <v>564.0</v>
      </c>
      <c r="B547" s="3" t="s">
        <v>545</v>
      </c>
      <c r="C547" s="3" t="str">
        <f>IFERROR(__xludf.DUMMYFUNCTION("GOOGLETRANSLATE(B547,""id"",""en"")"),"['Maintenance', 'continued', 'already', 'pay', 'turn', 'fall', 'tempo', 'already', 'reminding', 'payment']")</f>
        <v>['Maintenance', 'continued', 'already', 'pay', 'turn', 'fall', 'tempo', 'already', 'reminding', 'payment']</v>
      </c>
      <c r="D547" s="3">
        <v>1.0</v>
      </c>
    </row>
    <row r="548" ht="15.75" customHeight="1">
      <c r="A548" s="1">
        <v>565.0</v>
      </c>
      <c r="B548" s="3" t="s">
        <v>546</v>
      </c>
      <c r="C548" s="3" t="str">
        <f>IFERROR(__xludf.DUMMYFUNCTION("GOOGLETRANSLATE(B548,""id"",""en"")"),"['Makasi', 'idihome', 'details', 'price', 'easy', 'see', 'see', 'cost', 'per month', 'etc.']")</f>
        <v>['Makasi', 'idihome', 'details', 'price', 'easy', 'see', 'see', 'cost', 'per month', 'etc.']</v>
      </c>
      <c r="D548" s="3">
        <v>5.0</v>
      </c>
    </row>
    <row r="549" ht="15.75" customHeight="1">
      <c r="A549" s="1">
        <v>566.0</v>
      </c>
      <c r="B549" s="3" t="s">
        <v>547</v>
      </c>
      <c r="C549" s="3" t="str">
        <f>IFERROR(__xludf.DUMMYFUNCTION("GOOGLETRANSLATE(B549,""id"",""en"")"),"['Supports', 'really']")</f>
        <v>['Supports', 'really']</v>
      </c>
      <c r="D549" s="3">
        <v>5.0</v>
      </c>
    </row>
    <row r="550" ht="15.75" customHeight="1">
      <c r="A550" s="1">
        <v>567.0</v>
      </c>
      <c r="B550" s="3" t="s">
        <v>548</v>
      </c>
      <c r="C550" s="3" t="str">
        <f>IFERROR(__xludf.DUMMYFUNCTION("GOOGLETRANSLATE(B550,""id"",""en"")"),"['help', '']")</f>
        <v>['help', '']</v>
      </c>
      <c r="D550" s="3">
        <v>5.0</v>
      </c>
    </row>
    <row r="551" ht="15.75" customHeight="1">
      <c r="A551" s="1">
        <v>568.0</v>
      </c>
      <c r="B551" s="3" t="s">
        <v>549</v>
      </c>
      <c r="C551" s="3" t="str">
        <f>IFERROR(__xludf.DUMMYFUNCTION("GOOGLETRANSLATE(B551,""id"",""en"")"),"['features', 'confusing', 'see', 'usage', 'add', 'quota', 'love', 'star']")</f>
        <v>['features', 'confusing', 'see', 'usage', 'add', 'quota', 'love', 'star']</v>
      </c>
      <c r="D551" s="3">
        <v>1.0</v>
      </c>
    </row>
    <row r="552" ht="15.75" customHeight="1">
      <c r="A552" s="1">
        <v>569.0</v>
      </c>
      <c r="B552" s="3" t="s">
        <v>393</v>
      </c>
      <c r="C552" s="3" t="str">
        <f>IFERROR(__xludf.DUMMYFUNCTION("GOOGLETRANSLATE(B552,""id"",""en"")"),"['steady']")</f>
        <v>['steady']</v>
      </c>
      <c r="D552" s="3">
        <v>5.0</v>
      </c>
    </row>
    <row r="553" ht="15.75" customHeight="1">
      <c r="A553" s="1">
        <v>570.0</v>
      </c>
      <c r="B553" s="3" t="s">
        <v>550</v>
      </c>
      <c r="C553" s="3" t="str">
        <f>IFERROR(__xludf.DUMMYFUNCTION("GOOGLETRANSLATE(B553,""id"",""en"")"),"['GMN', 'Difficult', 'Login', 'Description', 'Please', 'MAF', 'Improved', 'Service', 'DCB', 'Bera', 'Times',' SLH ',' PASWRD ',' DCB ',' SRH ',' Wait ',' Hour ',' Hadehhh ']")</f>
        <v>['GMN', 'Difficult', 'Login', 'Description', 'Please', 'MAF', 'Improved', 'Service', 'DCB', 'Bera', 'Times',' SLH ',' PASWRD ',' DCB ',' SRH ',' Wait ',' Hour ',' Hadehhh ']</v>
      </c>
      <c r="D553" s="3">
        <v>3.0</v>
      </c>
    </row>
    <row r="554" ht="15.75" customHeight="1">
      <c r="A554" s="1">
        <v>571.0</v>
      </c>
      <c r="B554" s="3" t="s">
        <v>551</v>
      </c>
      <c r="C554" s="3" t="str">
        <f>IFERROR(__xludf.DUMMYFUNCTION("GOOGLETRANSLATE(B554,""id"",""en"")"),"['Anyway', 'good', 'deh', 'network', 'stable', '']")</f>
        <v>['Anyway', 'good', 'deh', 'network', 'stable', '']</v>
      </c>
      <c r="D554" s="3">
        <v>5.0</v>
      </c>
    </row>
    <row r="555" ht="15.75" customHeight="1">
      <c r="A555" s="1">
        <v>572.0</v>
      </c>
      <c r="B555" s="3" t="s">
        <v>552</v>
      </c>
      <c r="C555" s="3" t="str">
        <f>IFERROR(__xludf.DUMMYFUNCTION("GOOGLETRANSLATE(B555,""id"",""en"")"),"['Good', 'just', 'level', 'speed', 'application', 'Increase']")</f>
        <v>['Good', 'just', 'level', 'speed', 'application', 'Increase']</v>
      </c>
      <c r="D555" s="3">
        <v>5.0</v>
      </c>
    </row>
    <row r="556" ht="15.75" customHeight="1">
      <c r="A556" s="1">
        <v>573.0</v>
      </c>
      <c r="B556" s="3" t="s">
        <v>553</v>
      </c>
      <c r="C556" s="3" t="str">
        <f>IFERROR(__xludf.DUMMYFUNCTION("GOOGLETRANSLATE(B556,""id"",""en"")"),"['Indihome', 'service', 'satisfying', 'obstacles', 'fast', 'processed', 'thank', 'love', 'indihome', '']")</f>
        <v>['Indihome', 'service', 'satisfying', 'obstacles', 'fast', 'processed', 'thank', 'love', 'indihome', '']</v>
      </c>
      <c r="D556" s="3">
        <v>5.0</v>
      </c>
    </row>
    <row r="557" ht="15.75" customHeight="1">
      <c r="A557" s="1">
        <v>575.0</v>
      </c>
      <c r="B557" s="3" t="s">
        <v>554</v>
      </c>
      <c r="C557" s="3" t="str">
        <f>IFERROR(__xludf.DUMMYFUNCTION("GOOGLETRANSLATE(B557,""id"",""en"")"),"['Indihome', 'Help', 'Since', 'Child', 'Abak', 'Learning', 'Online', 'at home', ""]")</f>
        <v>['Indihome', 'Help', 'Since', 'Child', 'Abak', 'Learning', 'Online', 'at home', "]</v>
      </c>
      <c r="D557" s="3">
        <v>5.0</v>
      </c>
    </row>
    <row r="558" ht="15.75" customHeight="1">
      <c r="A558" s="1">
        <v>576.0</v>
      </c>
      <c r="B558" s="3" t="s">
        <v>555</v>
      </c>
      <c r="C558" s="3" t="str">
        <f>IFERROR(__xludf.DUMMYFUNCTION("GOOGLETRANSLATE(B558,""id"",""en"")"),"['error']")</f>
        <v>['error']</v>
      </c>
      <c r="D558" s="3">
        <v>4.0</v>
      </c>
    </row>
    <row r="559" ht="15.75" customHeight="1">
      <c r="A559" s="1">
        <v>577.0</v>
      </c>
      <c r="B559" s="3" t="s">
        <v>556</v>
      </c>
      <c r="C559" s="3" t="str">
        <f>IFERROR(__xludf.DUMMYFUNCTION("GOOGLETRANSLATE(B559,""id"",""en"")"),"['Helpful', 'Help', 'Information', 'Latest', 'Indihome', 'DAB', 'Details',' Use ',' Internet ',' Etc. ',' reporting ',' disorder ',' Easy ',' responsive ']")</f>
        <v>['Helpful', 'Help', 'Information', 'Latest', 'Indihome', 'DAB', 'Details',' Use ',' Internet ',' Etc. ',' reporting ',' disorder ',' Easy ',' responsive ']</v>
      </c>
      <c r="D559" s="3">
        <v>5.0</v>
      </c>
    </row>
    <row r="560" ht="15.75" customHeight="1">
      <c r="A560" s="1">
        <v>578.0</v>
      </c>
      <c r="B560" s="3" t="s">
        <v>557</v>
      </c>
      <c r="C560" s="3" t="str">
        <f>IFERROR(__xludf.DUMMYFUNCTION("GOOGLETRANSLATE(B560,""id"",""en"")"),"['Mantabbb']")</f>
        <v>['Mantabbb']</v>
      </c>
      <c r="D560" s="3">
        <v>5.0</v>
      </c>
    </row>
    <row r="561" ht="15.75" customHeight="1">
      <c r="A561" s="1">
        <v>579.0</v>
      </c>
      <c r="B561" s="3" t="s">
        <v>558</v>
      </c>
      <c r="C561" s="3" t="str">
        <f>IFERROR(__xludf.DUMMYFUNCTION("GOOGLETRANSLATE(B561,""id"",""en"")"),"['Upgrade', 'version', 'Latest', 'Indihome', 'Penihin', ""]")</f>
        <v>['Upgrade', 'version', 'Latest', 'Indihome', 'Penihin', "]</v>
      </c>
      <c r="D561" s="3">
        <v>1.0</v>
      </c>
    </row>
    <row r="562" ht="15.75" customHeight="1">
      <c r="A562" s="1">
        <v>580.0</v>
      </c>
      <c r="B562" s="3" t="s">
        <v>559</v>
      </c>
      <c r="C562" s="3" t="str">
        <f>IFERROR(__xludf.DUMMYFUNCTION("GOOGLETRANSLATE(B562,""id"",""en"")"),"['', 'area', 'good', 'connection', '']")</f>
        <v>['', 'area', 'good', 'connection', '']</v>
      </c>
      <c r="D562" s="3">
        <v>5.0</v>
      </c>
    </row>
    <row r="563" ht="15.75" customHeight="1">
      <c r="A563" s="1">
        <v>581.0</v>
      </c>
      <c r="B563" s="3" t="s">
        <v>560</v>
      </c>
      <c r="C563" s="3" t="str">
        <f>IFERROR(__xludf.DUMMYFUNCTION("GOOGLETRANSLATE(B563,""id"",""en"")"),"['Pay', 'Network', 'Indihome', 'Alhamdulillah', 'Lalod', 'Child', 'Watch', 'YouTube', 'Alhamdulillah', 'SDAH', 'TDAK', 'Kebuk', ' ']")</f>
        <v>['Pay', 'Network', 'Indihome', 'Alhamdulillah', 'Lalod', 'Child', 'Watch', 'YouTube', 'Alhamdulillah', 'SDAH', 'TDAK', 'Kebuk', ' ']</v>
      </c>
      <c r="D563" s="3">
        <v>1.0</v>
      </c>
    </row>
    <row r="564" ht="15.75" customHeight="1">
      <c r="A564" s="1">
        <v>582.0</v>
      </c>
      <c r="B564" s="3" t="s">
        <v>561</v>
      </c>
      <c r="C564" s="3" t="str">
        <f>IFERROR(__xludf.DUMMYFUNCTION("GOOGLETRANSLATE(B564,""id"",""en"")"),"['Change', 'slow', 'service', 'slow']")</f>
        <v>['Change', 'slow', 'service', 'slow']</v>
      </c>
      <c r="D564" s="3">
        <v>1.0</v>
      </c>
    </row>
    <row r="565" ht="15.75" customHeight="1">
      <c r="A565" s="1">
        <v>583.0</v>
      </c>
      <c r="B565" s="3" t="s">
        <v>562</v>
      </c>
      <c r="C565" s="3" t="str">
        <f>IFERROR(__xludf.DUMMYFUNCTION("GOOGLETRANSLATE(B565,""id"",""en"")"),"['version', 'newest', 'complaint', 'service', 'renew', 'speed', 'available', 'version', 'version', 'newest', 'bug', 'sometimes' Application ',' min ']")</f>
        <v>['version', 'newest', 'complaint', 'service', 'renew', 'speed', 'available', 'version', 'version', 'newest', 'bug', 'sometimes' Application ',' min ']</v>
      </c>
      <c r="D565" s="3">
        <v>2.0</v>
      </c>
    </row>
    <row r="566" ht="15.75" customHeight="1">
      <c r="A566" s="1">
        <v>584.0</v>
      </c>
      <c r="B566" s="3" t="s">
        <v>563</v>
      </c>
      <c r="C566" s="3" t="str">
        <f>IFERROR(__xludf.DUMMYFUNCTION("GOOGLETRANSLATE(B566,""id"",""en"")"),"['Very', 'Auto', 'Logout', 'Fix', 'pls']")</f>
        <v>['Very', 'Auto', 'Logout', 'Fix', 'pls']</v>
      </c>
      <c r="D566" s="3">
        <v>3.0</v>
      </c>
    </row>
    <row r="567" ht="15.75" customHeight="1">
      <c r="A567" s="1">
        <v>585.0</v>
      </c>
      <c r="B567" s="3" t="s">
        <v>564</v>
      </c>
      <c r="C567" s="3" t="str">
        <f>IFERROR(__xludf.DUMMYFUNCTION("GOOGLETRANSLATE(B567,""id"",""en"")"),"['BGoss', 'Network']")</f>
        <v>['BGoss', 'Network']</v>
      </c>
      <c r="D567" s="3">
        <v>5.0</v>
      </c>
    </row>
    <row r="568" ht="15.75" customHeight="1">
      <c r="A568" s="1">
        <v>586.0</v>
      </c>
      <c r="B568" s="3" t="s">
        <v>565</v>
      </c>
      <c r="C568" s="3" t="str">
        <f>IFERROR(__xludf.DUMMYFUNCTION("GOOGLETRANSLATE(B568,""id"",""en"")"),"['App', 'good', 'help', 'check', 'need', '']")</f>
        <v>['App', 'good', 'help', 'check', 'need', '']</v>
      </c>
      <c r="D568" s="3">
        <v>5.0</v>
      </c>
    </row>
    <row r="569" ht="15.75" customHeight="1">
      <c r="A569" s="1">
        <v>587.0</v>
      </c>
      <c r="B569" s="3" t="s">
        <v>566</v>
      </c>
      <c r="C569" s="3" t="str">
        <f>IFERROR(__xludf.DUMMYFUNCTION("GOOGLETRANSLATE(B569,""id"",""en"")"),"['Help', 'User', 'Indihome', 'Feature', 'Choose', 'Exchange', 'Points', 'Goodlah']")</f>
        <v>['Help', 'User', 'Indihome', 'Feature', 'Choose', 'Exchange', 'Points', 'Goodlah']</v>
      </c>
      <c r="D569" s="3">
        <v>5.0</v>
      </c>
    </row>
    <row r="570" ht="15.75" customHeight="1">
      <c r="A570" s="1">
        <v>588.0</v>
      </c>
      <c r="B570" s="3" t="s">
        <v>567</v>
      </c>
      <c r="C570" s="3" t="str">
        <f>IFERROR(__xludf.DUMMYFUNCTION("GOOGLETRANSLATE(B570,""id"",""en"")"),"['Application', 'complete']")</f>
        <v>['Application', 'complete']</v>
      </c>
      <c r="D570" s="3">
        <v>5.0</v>
      </c>
    </row>
    <row r="571" ht="15.75" customHeight="1">
      <c r="A571" s="1">
        <v>589.0</v>
      </c>
      <c r="B571" s="3" t="s">
        <v>568</v>
      </c>
      <c r="C571" s="3" t="str">
        <f>IFERROR(__xludf.DUMMYFUNCTION("GOOGLETRANSLATE(B571,""id"",""en"")"),"['application', 'version', 'the latest', 'easy', 'complete', 'contents', 'subscription', 'buy', 'voucher', 'game']")</f>
        <v>['application', 'version', 'the latest', 'easy', 'complete', 'contents', 'subscription', 'buy', 'voucher', 'game']</v>
      </c>
      <c r="D571" s="3">
        <v>5.0</v>
      </c>
    </row>
    <row r="572" ht="15.75" customHeight="1">
      <c r="A572" s="1">
        <v>590.0</v>
      </c>
      <c r="B572" s="3" t="s">
        <v>569</v>
      </c>
      <c r="C572" s="3" t="str">
        <f>IFERROR(__xludf.DUMMYFUNCTION("GOOGLETRANSLATE(B572,""id"",""en"")"),"['Pantes', 'complaints', 'application', 'Customers', 'Report', 'Disorders', 'Internet', 'at home', 'Application', 'Disruption', ""]")</f>
        <v>['Pantes', 'complaints', 'application', 'Customers', 'Report', 'Disorders', 'Internet', 'at home', 'Application', 'Disruption', "]</v>
      </c>
      <c r="D572" s="3">
        <v>1.0</v>
      </c>
    </row>
    <row r="573" ht="15.75" customHeight="1">
      <c r="A573" s="1">
        <v>592.0</v>
      </c>
      <c r="B573" s="3" t="s">
        <v>570</v>
      </c>
      <c r="C573" s="3" t="str">
        <f>IFERROR(__xludf.DUMMYFUNCTION("GOOGLETRANSLATE(B573,""id"",""en"")"),"['update', 'my APK', 'Meloading', 'then', 'bnyak', 'disorder', 'hope', 'indihome', 'service']")</f>
        <v>['update', 'my APK', 'Meloading', 'then', 'bnyak', 'disorder', 'hope', 'indihome', 'service']</v>
      </c>
      <c r="D573" s="3">
        <v>2.0</v>
      </c>
    </row>
    <row r="574" ht="15.75" customHeight="1">
      <c r="A574" s="1">
        <v>593.0</v>
      </c>
      <c r="B574" s="3" t="s">
        <v>571</v>
      </c>
      <c r="C574" s="3" t="str">
        <f>IFERROR(__xludf.DUMMYFUNCTION("GOOGLETRANSLATE(B574,""id"",""en"")"),"['The application', 'good', 'easy', 'accessed', 'where', 'help', 'in the past', 'pandemic', 'all-round', 'online', 'work', 'home', ' school ',' online ',' advanced ',' teru ',' myindihome ']")</f>
        <v>['The application', 'good', 'easy', 'accessed', 'where', 'help', 'in the past', 'pandemic', 'all-round', 'online', 'work', 'home', ' school ',' online ',' advanced ',' teru ',' myindihome ']</v>
      </c>
      <c r="D574" s="3">
        <v>5.0</v>
      </c>
    </row>
    <row r="575" ht="15.75" customHeight="1">
      <c r="A575" s="1">
        <v>594.0</v>
      </c>
      <c r="B575" s="3" t="s">
        <v>572</v>
      </c>
      <c r="C575" s="3" t="str">
        <f>IFERROR(__xludf.DUMMYFUNCTION("GOOGLETRANSLATE(B575,""id"",""en"")"),"['The application', 'Help', 'really', 'feature', 'features', 'riture', 'easy', 'really']")</f>
        <v>['The application', 'Help', 'really', 'feature', 'features', 'riture', 'easy', 'really']</v>
      </c>
      <c r="D575" s="3">
        <v>5.0</v>
      </c>
    </row>
    <row r="576" ht="15.75" customHeight="1">
      <c r="A576" s="1">
        <v>595.0</v>
      </c>
      <c r="B576" s="3" t="s">
        <v>573</v>
      </c>
      <c r="C576" s="3" t="str">
        <f>IFERROR(__xludf.DUMMYFUNCTION("GOOGLETRANSLATE(B576,""id"",""en"")"),"['Display', 'version', 'good', 'steady', 'Anyway', 'APL', 'Help']")</f>
        <v>['Display', 'version', 'good', 'steady', 'Anyway', 'APL', 'Help']</v>
      </c>
      <c r="D576" s="3">
        <v>5.0</v>
      </c>
    </row>
    <row r="577" ht="15.75" customHeight="1">
      <c r="A577" s="1">
        <v>596.0</v>
      </c>
      <c r="B577" s="3" t="s">
        <v>574</v>
      </c>
      <c r="C577" s="3" t="str">
        <f>IFERROR(__xludf.DUMMYFUNCTION("GOOGLETRANSLATE(B577,""id"",""en"")"),"['Network', 'smooth', 'Jaya', 'slow', 'internet', 'just', 'ilang', 'Embossed', 'Rain', 'Increases', 'Network']")</f>
        <v>['Network', 'smooth', 'Jaya', 'slow', 'internet', 'just', 'ilang', 'Embossed', 'Rain', 'Increases', 'Network']</v>
      </c>
      <c r="D577" s="3">
        <v>5.0</v>
      </c>
    </row>
    <row r="578" ht="15.75" customHeight="1">
      <c r="A578" s="1">
        <v>597.0</v>
      </c>
      <c r="B578" s="3" t="s">
        <v>575</v>
      </c>
      <c r="C578" s="3" t="str">
        <f>IFERROR(__xludf.DUMMYFUNCTION("GOOGLETRANSLATE(B578,""id"",""en"")"),"['application', 'help', 'people', 'Millennial', 'updated', 'promo', 'promo', 'complicated', 'transaction', '']")</f>
        <v>['application', 'help', 'people', 'Millennial', 'updated', 'promo', 'promo', 'complicated', 'transaction', '']</v>
      </c>
      <c r="D578" s="3">
        <v>5.0</v>
      </c>
    </row>
    <row r="579" ht="15.75" customHeight="1">
      <c r="A579" s="1">
        <v>598.0</v>
      </c>
      <c r="B579" s="3" t="s">
        <v>576</v>
      </c>
      <c r="C579" s="3" t="str">
        <f>IFERROR(__xludf.DUMMYFUNCTION("GOOGLETRANSLATE(B579,""id"",""en"")"),"['Good', 'update', '']")</f>
        <v>['Good', 'update', '']</v>
      </c>
      <c r="D579" s="3">
        <v>1.0</v>
      </c>
    </row>
    <row r="580" ht="15.75" customHeight="1">
      <c r="A580" s="1">
        <v>599.0</v>
      </c>
      <c r="B580" s="3" t="s">
        <v>577</v>
      </c>
      <c r="C580" s="3" t="str">
        <f>IFERROR(__xludf.DUMMYFUNCTION("GOOGLETRANSLATE(B580,""id"",""en"")"),"['Untung', 'Indihome', 'update', 'the latest', 'promo', 'etc.', 'application', 'pay', 'it seems',' difficult ',' difficult ',' office ',' closest to ',' goodjob ',' deh ']")</f>
        <v>['Untung', 'Indihome', 'update', 'the latest', 'promo', 'etc.', 'application', 'pay', 'it seems',' difficult ',' difficult ',' office ',' closest to ',' goodjob ',' deh ']</v>
      </c>
      <c r="D580" s="3">
        <v>5.0</v>
      </c>
    </row>
    <row r="581" ht="15.75" customHeight="1">
      <c r="A581" s="1">
        <v>600.0</v>
      </c>
      <c r="B581" s="3" t="s">
        <v>578</v>
      </c>
      <c r="C581" s="3" t="str">
        <f>IFERROR(__xludf.DUMMYFUNCTION("GOOGLETRANSLATE(B581,""id"",""en"")"),"['Alhamdulillah', 'download', 'disappointing', 'application', 'good', 'features',' cool ',' help ',' choice ',' package ',' data ',' in the future ',' Hopefully ',' Good ',' ']")</f>
        <v>['Alhamdulillah', 'download', 'disappointing', 'application', 'good', 'features',' cool ',' help ',' choice ',' package ',' data ',' in the future ',' Hopefully ',' Good ',' ']</v>
      </c>
      <c r="D581" s="3">
        <v>5.0</v>
      </c>
    </row>
    <row r="582" ht="15.75" customHeight="1">
      <c r="A582" s="1">
        <v>601.0</v>
      </c>
      <c r="B582" s="3" t="s">
        <v>579</v>
      </c>
      <c r="C582" s="3" t="str">
        <f>IFERROR(__xludf.DUMMYFUNCTION("GOOGLETRANSLATE(B582,""id"",""en"")"),"['Network', 'Leet', 'Troubled']")</f>
        <v>['Network', 'Leet', 'Troubled']</v>
      </c>
      <c r="D582" s="3">
        <v>1.0</v>
      </c>
    </row>
    <row r="583" ht="15.75" customHeight="1">
      <c r="A583" s="1">
        <v>602.0</v>
      </c>
      <c r="B583" s="3" t="s">
        <v>580</v>
      </c>
      <c r="C583" s="3" t="str">
        <f>IFERROR(__xludf.DUMMYFUNCTION("GOOGLETRANSLATE(B583,""id"",""en"")"),"['Indihome', 'signal', 'speeding', 'streaming', 'Drakor', 'Fear', 'quota', 'broken', 'yuk', 'pke', 'indihome', 'download', ' Appai ',' Myindihome ',' ']")</f>
        <v>['Indihome', 'signal', 'speeding', 'streaming', 'Drakor', 'Fear', 'quota', 'broken', 'yuk', 'pke', 'indihome', 'download', ' Appai ',' Myindihome ',' ']</v>
      </c>
      <c r="D583" s="3">
        <v>5.0</v>
      </c>
    </row>
    <row r="584" ht="15.75" customHeight="1">
      <c r="A584" s="1">
        <v>603.0</v>
      </c>
      <c r="B584" s="3" t="s">
        <v>581</v>
      </c>
      <c r="C584" s="3" t="str">
        <f>IFERROR(__xludf.DUMMYFUNCTION("GOOGLETRANSLATE(B584,""id"",""en"")"),"['updated', 'no', 'login']")</f>
        <v>['updated', 'no', 'login']</v>
      </c>
      <c r="D584" s="3">
        <v>1.0</v>
      </c>
    </row>
    <row r="585" ht="15.75" customHeight="1">
      <c r="A585" s="1">
        <v>604.0</v>
      </c>
      <c r="B585" s="3" t="s">
        <v>582</v>
      </c>
      <c r="C585" s="3" t="str">
        <f>IFERROR(__xludf.DUMMYFUNCTION("GOOGLETRANSLATE(B585,""id"",""en"")"),"['Alhamdulillah', 'thank', 'love', 'indihome', 'blessing', 'indihome', 'connection', 'internet', 'stable', 'smooth', 'play', 'game', ' Maintain ',' fluency ',' ']")</f>
        <v>['Alhamdulillah', 'thank', 'love', 'indihome', 'blessing', 'indihome', 'connection', 'internet', 'stable', 'smooth', 'play', 'game', ' Maintain ',' fluency ',' ']</v>
      </c>
      <c r="D585" s="3">
        <v>5.0</v>
      </c>
    </row>
    <row r="586" ht="15.75" customHeight="1">
      <c r="A586" s="1">
        <v>605.0</v>
      </c>
      <c r="B586" s="3" t="s">
        <v>583</v>
      </c>
      <c r="C586" s="3" t="str">
        <f>IFERROR(__xludf.DUMMYFUNCTION("GOOGLETRANSLATE(B586,""id"",""en"")"),"['Good', 'signal', 'strong', 'trusted', 'Come', 'Download', 'doubt', 'loss', 'download', ""]")</f>
        <v>['Good', 'signal', 'strong', 'trusted', 'Come', 'Download', 'doubt', 'loss', 'download', "]</v>
      </c>
      <c r="D586" s="3">
        <v>5.0</v>
      </c>
    </row>
    <row r="587" ht="15.75" customHeight="1">
      <c r="A587" s="1">
        <v>606.0</v>
      </c>
      <c r="B587" s="3" t="s">
        <v>584</v>
      </c>
      <c r="C587" s="3" t="str">
        <f>IFERROR(__xludf.DUMMYFUNCTION("GOOGLETRANSLATE(B587,""id"",""en"")"),"['Internet', 'really', 'trouble', 'disorder', 'skrng', 'disorder', '']")</f>
        <v>['Internet', 'really', 'trouble', 'disorder', 'skrng', 'disorder', '']</v>
      </c>
      <c r="D587" s="3">
        <v>1.0</v>
      </c>
    </row>
    <row r="588" ht="15.75" customHeight="1">
      <c r="A588" s="1">
        <v>607.0</v>
      </c>
      <c r="B588" s="3" t="s">
        <v>585</v>
      </c>
      <c r="C588" s="3" t="str">
        <f>IFERROR(__xludf.DUMMYFUNCTION("GOOGLETRANSLATE(B588,""id"",""en"")"),"['good', '']")</f>
        <v>['good', '']</v>
      </c>
      <c r="D588" s="3">
        <v>5.0</v>
      </c>
    </row>
    <row r="589" ht="15.75" customHeight="1">
      <c r="A589" s="1">
        <v>608.0</v>
      </c>
      <c r="B589" s="3" t="s">
        <v>586</v>
      </c>
      <c r="C589" s="3" t="str">
        <f>IFERROR(__xludf.DUMMYFUNCTION("GOOGLETRANSLATE(B589,""id"",""en"")"),"['Out', 'update', 'lag', 'severe', 'good', 'update', 'check', 'use', 'where', 'find', 'loading']")</f>
        <v>['Out', 'update', 'lag', 'severe', 'good', 'update', 'check', 'use', 'where', 'find', 'loading']</v>
      </c>
      <c r="D589" s="3">
        <v>2.0</v>
      </c>
    </row>
    <row r="590" ht="15.75" customHeight="1">
      <c r="A590" s="1">
        <v>609.0</v>
      </c>
      <c r="B590" s="3" t="s">
        <v>587</v>
      </c>
      <c r="C590" s="3" t="str">
        <f>IFERROR(__xludf.DUMMYFUNCTION("GOOGLETRANSLATE(B590,""id"",""en"")"),"['application', 'heavy', 'loading', 'display', 'good', 'liading', 'really']")</f>
        <v>['application', 'heavy', 'loading', 'display', 'good', 'liading', 'really']</v>
      </c>
      <c r="D590" s="3">
        <v>1.0</v>
      </c>
    </row>
    <row r="591" ht="15.75" customHeight="1">
      <c r="A591" s="1">
        <v>610.0</v>
      </c>
      <c r="B591" s="3" t="s">
        <v>588</v>
      </c>
      <c r="C591" s="3" t="str">
        <f>IFERROR(__xludf.DUMMYFUNCTION("GOOGLETRANSLATE(B591,""id"",""en"")"),"['update', 'application', 'add', 'heavy', 'alias',' lag ',' beg ',' fix ',' simple ',' content ',' image ',' light ',' Please ',' Use ',' Bot ',' Season ',' Thank ',' Love ']")</f>
        <v>['update', 'application', 'add', 'heavy', 'alias',' lag ',' beg ',' fix ',' simple ',' content ',' image ',' light ',' Please ',' Use ',' Bot ',' Season ',' Thank ',' Love ']</v>
      </c>
      <c r="D591" s="3">
        <v>2.0</v>
      </c>
    </row>
    <row r="592" ht="15.75" customHeight="1">
      <c r="A592" s="1">
        <v>611.0</v>
      </c>
      <c r="B592" s="3" t="s">
        <v>589</v>
      </c>
      <c r="C592" s="3" t="str">
        <f>IFERROR(__xludf.DUMMYFUNCTION("GOOGLETRANSLATE(B592,""id"",""en"")"),"['APK', 'slow']")</f>
        <v>['APK', 'slow']</v>
      </c>
      <c r="D592" s="3">
        <v>1.0</v>
      </c>
    </row>
    <row r="593" ht="15.75" customHeight="1">
      <c r="A593" s="1">
        <v>612.0</v>
      </c>
      <c r="B593" s="3" t="s">
        <v>590</v>
      </c>
      <c r="C593" s="3" t="str">
        <f>IFERROR(__xludf.DUMMYFUNCTION("GOOGLETRANSLATE(B593,""id"",""en"")"),"['Ripuhhh', 'Login']")</f>
        <v>['Ripuhhh', 'Login']</v>
      </c>
      <c r="D593" s="3">
        <v>1.0</v>
      </c>
    </row>
    <row r="594" ht="15.75" customHeight="1">
      <c r="A594" s="1">
        <v>613.0</v>
      </c>
      <c r="B594" s="3" t="s">
        <v>591</v>
      </c>
      <c r="C594" s="3" t="str">
        <f>IFERROR(__xludf.DUMMYFUNCTION("GOOGLETRANSLATE(B594,""id"",""en"")"),"['What', 'Story', 'Complaints',' Application ',' Conference ',' Finish ',' Pay ',' Open ',' Connect ',' How ',' Service ',' Remast ',' disappointed']")</f>
        <v>['What', 'Story', 'Complaints',' Application ',' Conference ',' Finish ',' Pay ',' Open ',' Connect ',' How ',' Service ',' Remast ',' disappointed']</v>
      </c>
      <c r="D594" s="3">
        <v>2.0</v>
      </c>
    </row>
    <row r="595" ht="15.75" customHeight="1">
      <c r="A595" s="1">
        <v>614.0</v>
      </c>
      <c r="B595" s="3" t="s">
        <v>592</v>
      </c>
      <c r="C595" s="3" t="str">
        <f>IFERROR(__xludf.DUMMYFUNCTION("GOOGLETRANSLATE(B595,""id"",""en"")"),"['Application', 'Satus',' Service ',' Internet ',' Terisolislr ',' Pay ',' Report ',' Service ',' isolated ',' then ',' Painting ',' App ',' Customers', 'complement', '']")</f>
        <v>['Application', 'Satus',' Service ',' Internet ',' Terisolislr ',' Pay ',' Report ',' Service ',' isolated ',' then ',' Painting ',' App ',' Customers', 'complement', '']</v>
      </c>
      <c r="D595" s="3">
        <v>2.0</v>
      </c>
    </row>
    <row r="596" ht="15.75" customHeight="1">
      <c r="A596" s="1">
        <v>615.0</v>
      </c>
      <c r="B596" s="3" t="s">
        <v>593</v>
      </c>
      <c r="C596" s="3" t="str">
        <f>IFERROR(__xludf.DUMMYFUNCTION("GOOGLETRANSLATE(B596,""id"",""en"")"),"['update', 'data', 'sync', 'information', 'customer', 'package', 'bill', 'number', 'indihome', 'sync', 'account', 'updated', ' good ',' bad ',' action ',' kah ',' update ',' newest ',' most ',' ads', 'traffic', 'the application', '']")</f>
        <v>['update', 'data', 'sync', 'information', 'customer', 'package', 'bill', 'number', 'indihome', 'sync', 'account', 'updated', ' good ',' bad ',' action ',' kah ',' update ',' newest ',' most ',' ads', 'traffic', 'the application', '']</v>
      </c>
      <c r="D596" s="3">
        <v>1.0</v>
      </c>
    </row>
    <row r="597" ht="15.75" customHeight="1">
      <c r="A597" s="1">
        <v>616.0</v>
      </c>
      <c r="B597" s="3" t="s">
        <v>594</v>
      </c>
      <c r="C597" s="3" t="str">
        <f>IFERROR(__xludf.DUMMYFUNCTION("GOOGLETRANSLATE(B597,""id"",""en"")"),"['out', 'update', 'no', 'login', 'muter', 'mutera', 'lllaammmaaaa', '']")</f>
        <v>['out', 'update', 'no', 'login', 'muter', 'mutera', 'lllaammmaaaa', '']</v>
      </c>
      <c r="D597" s="3">
        <v>1.0</v>
      </c>
    </row>
    <row r="598" ht="15.75" customHeight="1">
      <c r="A598" s="1">
        <v>617.0</v>
      </c>
      <c r="B598" s="3" t="s">
        <v>595</v>
      </c>
      <c r="C598" s="3" t="str">
        <f>IFERROR(__xludf.DUMMYFUNCTION("GOOGLETRANSLATE(B598,""id"",""en"")"),"['Severe', 'Loading', 'Loading', 'System', 'Network', 'Application', 'Bener', 'Dilapidated', 'Verification', 'Service', 'Activation', 'Failed', ' How ',' Gunain ',' features', 'server', 'poor', ""]")</f>
        <v>['Severe', 'Loading', 'Loading', 'System', 'Network', 'Application', 'Bener', 'Dilapidated', 'Verification', 'Service', 'Activation', 'Failed', ' How ',' Gunain ',' features', 'server', 'poor', "]</v>
      </c>
      <c r="D598" s="3">
        <v>1.0</v>
      </c>
    </row>
    <row r="599" ht="15.75" customHeight="1">
      <c r="A599" s="1">
        <v>618.0</v>
      </c>
      <c r="B599" s="3" t="s">
        <v>596</v>
      </c>
      <c r="C599" s="3" t="str">
        <f>IFERROR(__xludf.DUMMYFUNCTION("GOOGLETRANSLATE(B599,""id"",""en"")"),"['enter']")</f>
        <v>['enter']</v>
      </c>
      <c r="D599" s="3">
        <v>1.0</v>
      </c>
    </row>
    <row r="600" ht="15.75" customHeight="1">
      <c r="A600" s="1">
        <v>619.0</v>
      </c>
      <c r="B600" s="3" t="s">
        <v>597</v>
      </c>
      <c r="C600" s="3" t="str">
        <f>IFERROR(__xludf.DUMMYFUNCTION("GOOGLETRANSLATE(B600,""id"",""en"")"),"['entry', 'right', 'enter', 'number', 'email', 'writing', 'Please', 'sorry', 'improvement', 'service', 'please', 'fix', ' Rich ',' version ',' accessed ']")</f>
        <v>['entry', 'right', 'enter', 'number', 'email', 'writing', 'Please', 'sorry', 'improvement', 'service', 'please', 'fix', ' Rich ',' version ',' accessed ']</v>
      </c>
      <c r="D600" s="3">
        <v>1.0</v>
      </c>
    </row>
    <row r="601" ht="15.75" customHeight="1">
      <c r="A601" s="1">
        <v>620.0</v>
      </c>
      <c r="B601" s="3" t="s">
        <v>598</v>
      </c>
      <c r="C601" s="3" t="str">
        <f>IFERROR(__xludf.DUMMYFUNCTION("GOOGLETRANSLATE(B601,""id"",""en"")"),"['', 'update', 'ugly']")</f>
        <v>['', 'update', 'ugly']</v>
      </c>
      <c r="D601" s="3">
        <v>1.0</v>
      </c>
    </row>
    <row r="602" ht="15.75" customHeight="1">
      <c r="A602" s="1">
        <v>621.0</v>
      </c>
      <c r="B602" s="3" t="s">
        <v>599</v>
      </c>
      <c r="C602" s="3" t="str">
        <f>IFERROR(__xludf.DUMMYFUNCTION("GOOGLETRANSLATE(B602,""id"",""en"")"),"['code', 'verification', 'visits', 'sent mmm', 'login', 'password', 'mash', 'code', 'verification', 'visits', 'sent', '']")</f>
        <v>['code', 'verification', 'visits', 'sent mmm', 'login', 'password', 'mash', 'code', 'verification', 'visits', 'sent', '']</v>
      </c>
      <c r="D602" s="3">
        <v>1.0</v>
      </c>
    </row>
    <row r="603" ht="15.75" customHeight="1">
      <c r="A603" s="1">
        <v>622.0</v>
      </c>
      <c r="B603" s="3" t="s">
        <v>600</v>
      </c>
      <c r="C603" s="3" t="str">
        <f>IFERROR(__xludf.DUMMYFUNCTION("GOOGLETRANSLATE(B603,""id"",""en"")"),"['Duhh', 'changed', 'update', 'the application', 'function', 'report', 'disorder', 'tip', 'end', 'command', 'restart', 'modem', ' taught ',' already ',' understand ',' call ',' technician ',' already ',' complain ',' slowwwww ',' response ',' alliiiiiiiii"&amp;"ii ',' complicated ',' mulu ',' rich ' , 'Interview', 'finished', 'reverse', 'Ajalah', 'Application', 'Modelan', 'Ribet', 'Practical', 'Functionable', 'Style', 'Sok', 'Sok', ' modern ',' functionable ']")</f>
        <v>['Duhh', 'changed', 'update', 'the application', 'function', 'report', 'disorder', 'tip', 'end', 'command', 'restart', 'modem', ' taught ',' already ',' understand ',' call ',' technician ',' already ',' complain ',' slowwwww ',' response ',' alliiiiiiiiiii ',' complicated ',' mulu ',' rich ' , 'Interview', 'finished', 'reverse', 'Ajalah', 'Application', 'Modelan', 'Ribet', 'Practical', 'Functionable', 'Style', 'Sok', 'Sok', ' modern ',' functionable ']</v>
      </c>
      <c r="D603" s="3">
        <v>1.0</v>
      </c>
    </row>
    <row r="604" ht="15.75" customHeight="1">
      <c r="A604" s="1">
        <v>623.0</v>
      </c>
      <c r="B604" s="3" t="s">
        <v>601</v>
      </c>
      <c r="C604" s="3" t="str">
        <f>IFERROR(__xludf.DUMMYFUNCTION("GOOGLETRANSLATE(B604,""id"",""en"")"),"['', 'apk', 'indihome', 'slow', 'brain', 'developer', 'apk', 'eat', 'salary', 'blind', ""]")</f>
        <v>['', 'apk', 'indihome', 'slow', 'brain', 'developer', 'apk', 'eat', 'salary', 'blind', "]</v>
      </c>
      <c r="D604" s="3">
        <v>1.0</v>
      </c>
    </row>
    <row r="605" ht="15.75" customHeight="1">
      <c r="A605" s="1">
        <v>624.0</v>
      </c>
      <c r="B605" s="3" t="s">
        <v>602</v>
      </c>
      <c r="C605" s="3" t="str">
        <f>IFERROR(__xludf.DUMMYFUNCTION("GOOGLETRANSLATE(B605,""id"",""en"")"),"['slow', '']")</f>
        <v>['slow', '']</v>
      </c>
      <c r="D605" s="3">
        <v>1.0</v>
      </c>
    </row>
    <row r="606" ht="15.75" customHeight="1">
      <c r="A606" s="1">
        <v>625.0</v>
      </c>
      <c r="B606" s="3" t="s">
        <v>603</v>
      </c>
      <c r="C606" s="3" t="str">
        <f>IFERROR(__xludf.DUMMYFUNCTION("GOOGLETRANSLATE(B606,""id"",""en"")"),"['Update', 'Reset', 'Fup', 'How', 'Link', 'NOT', 'CUSTOMER', 'HARD']")</f>
        <v>['Update', 'Reset', 'Fup', 'How', 'Link', 'NOT', 'CUSTOMER', 'HARD']</v>
      </c>
      <c r="D606" s="3">
        <v>4.0</v>
      </c>
    </row>
    <row r="607" ht="15.75" customHeight="1">
      <c r="A607" s="1">
        <v>626.0</v>
      </c>
      <c r="B607" s="3" t="s">
        <v>604</v>
      </c>
      <c r="C607" s="3" t="str">
        <f>IFERROR(__xludf.DUMMYFUNCTION("GOOGLETRANSLATE(B607,""id"",""en"")"),"['Loading', 'Ribet', 'Use', 'Version']")</f>
        <v>['Loading', 'Ribet', 'Use', 'Version']</v>
      </c>
      <c r="D607" s="3">
        <v>1.0</v>
      </c>
    </row>
    <row r="608" ht="15.75" customHeight="1">
      <c r="A608" s="1">
        <v>627.0</v>
      </c>
      <c r="B608" s="3" t="s">
        <v>605</v>
      </c>
      <c r="C608" s="3" t="str">
        <f>IFERROR(__xludf.DUMMYFUNCTION("GOOGLETRANSLATE(B608,""id"",""en"")"),"['Profit', 'Telkom', 'reach', 'application', 'qualified', 'slow', 'really', 'habit', 'application', 'BUMN', 'Gini', 'Yuk', ' Lost ',' Private ',' ']")</f>
        <v>['Profit', 'Telkom', 'reach', 'application', 'qualified', 'slow', 'really', 'habit', 'application', 'BUMN', 'Gini', 'Yuk', ' Lost ',' Private ',' ']</v>
      </c>
      <c r="D608" s="3">
        <v>1.0</v>
      </c>
    </row>
    <row r="609" ht="15.75" customHeight="1">
      <c r="A609" s="1">
        <v>628.0</v>
      </c>
      <c r="B609" s="3" t="s">
        <v>606</v>
      </c>
      <c r="C609" s="3" t="str">
        <f>IFERROR(__xludf.DUMMYFUNCTION("GOOGLETRANSLATE(B609,""id"",""en"")"),"['enter', 'account', 'update', 'update']")</f>
        <v>['enter', 'account', 'update', 'update']</v>
      </c>
      <c r="D609" s="3">
        <v>1.0</v>
      </c>
    </row>
    <row r="610" ht="15.75" customHeight="1">
      <c r="A610" s="1">
        <v>629.0</v>
      </c>
      <c r="B610" s="3" t="s">
        <v>607</v>
      </c>
      <c r="C610" s="3" t="str">
        <f>IFERROR(__xludf.DUMMYFUNCTION("GOOGLETRANSLATE(B610,""id"",""en"")"),"['The application', 'forget', 'password', 'list', 'Tetep', 'fix', 'apply', 'application', 'abal', ""]")</f>
        <v>['The application', 'forget', 'password', 'list', 'Tetep', 'fix', 'apply', 'application', 'abal', "]</v>
      </c>
      <c r="D610" s="3">
        <v>1.0</v>
      </c>
    </row>
    <row r="611" ht="15.75" customHeight="1">
      <c r="A611" s="1">
        <v>630.0</v>
      </c>
      <c r="B611" s="3" t="s">
        <v>608</v>
      </c>
      <c r="C611" s="3" t="str">
        <f>IFERROR(__xludf.DUMMYFUNCTION("GOOGLETRANSLATE(B611,""id"",""en"")"),"['update', 'newest', 'fast', 'response', 'tired', 'alternating', 'install', 'reset', 'update', 'profile', 'increase', 'service', ' Indihome ',' Love ',' You ',' Much ',' ']")</f>
        <v>['update', 'newest', 'fast', 'response', 'tired', 'alternating', 'install', 'reset', 'update', 'profile', 'increase', 'service', ' Indihome ',' Love ',' You ',' Much ',' ']</v>
      </c>
      <c r="D611" s="3">
        <v>5.0</v>
      </c>
    </row>
    <row r="612" ht="15.75" customHeight="1">
      <c r="A612" s="1">
        <v>631.0</v>
      </c>
      <c r="B612" s="3" t="s">
        <v>609</v>
      </c>
      <c r="C612" s="3" t="str">
        <f>IFERROR(__xludf.DUMMYFUNCTION("GOOGLETRANSLATE(B612,""id"",""en"")"),"['slow', 'really', 'the application', 'turning back', 'look', 'good', 'slow', 'really', ""]")</f>
        <v>['slow', 'really', 'the application', 'turning back', 'look', 'good', 'slow', 'really', "]</v>
      </c>
      <c r="D612" s="3">
        <v>1.0</v>
      </c>
    </row>
    <row r="613" ht="15.75" customHeight="1">
      <c r="A613" s="1">
        <v>632.0</v>
      </c>
      <c r="B613" s="3" t="s">
        <v>610</v>
      </c>
      <c r="C613" s="3" t="str">
        <f>IFERROR(__xludf.DUMMYFUNCTION("GOOGLETRANSLATE(B613,""id"",""en"")"),"['internet', 'disruption', 'usee', 'access',' technician ',' replace ',' indihome ',' solution ',' times', 'disorder', 'pulse', 'call', ' How ',' no ',' internet ',' disorder ',' trussss', 'poor']")</f>
        <v>['internet', 'disruption', 'usee', 'access',' technician ',' replace ',' indihome ',' solution ',' times', 'disorder', 'pulse', 'call', ' How ',' no ',' internet ',' disorder ',' trussss', 'poor']</v>
      </c>
      <c r="D613" s="3">
        <v>2.0</v>
      </c>
    </row>
    <row r="614" ht="15.75" customHeight="1">
      <c r="A614" s="1">
        <v>634.0</v>
      </c>
      <c r="B614" s="3" t="s">
        <v>611</v>
      </c>
      <c r="C614" s="3" t="str">
        <f>IFERROR(__xludf.DUMMYFUNCTION("GOOGLETRANSLATE(B614,""id"",""en"")"),"['Abis', 'update', 'slow', 'really', ""]")</f>
        <v>['Abis', 'update', 'slow', 'really', "]</v>
      </c>
      <c r="D614" s="3">
        <v>1.0</v>
      </c>
    </row>
    <row r="615" ht="15.75" customHeight="1">
      <c r="A615" s="1">
        <v>635.0</v>
      </c>
      <c r="B615" s="3" t="s">
        <v>612</v>
      </c>
      <c r="C615" s="3" t="str">
        <f>IFERROR(__xludf.DUMMYFUNCTION("GOOGLETRANSLATE(B615,""id"",""en"")"),"['blood', 'cholesterol', 'naek', 'desperate', 'pairs', 'indihome', 'good', 'shari', 'broken', 'a week', 'bgtu', 'then' SMPE ',' Dego ',' Hmpir ',' STN ',' Pairs', 'Prnh', 'Loss']")</f>
        <v>['blood', 'cholesterol', 'naek', 'desperate', 'pairs', 'indihome', 'good', 'shari', 'broken', 'a week', 'bgtu', 'then' SMPE ',' Dego ',' Hmpir ',' STN ',' Pairs', 'Prnh', 'Loss']</v>
      </c>
      <c r="D615" s="3">
        <v>1.0</v>
      </c>
    </row>
    <row r="616" ht="15.75" customHeight="1">
      <c r="A616" s="1">
        <v>636.0</v>
      </c>
      <c r="B616" s="3" t="s">
        <v>613</v>
      </c>
      <c r="C616" s="3" t="str">
        <f>IFERROR(__xludf.DUMMYFUNCTION("GOOGLETRANSLATE(B616,""id"",""en"")"),"['waooo', 'cool', 'application', 'myindihhome', 'newest', 'greetings', 'success', 'hope', 'SLU', 'Jaya']")</f>
        <v>['waooo', 'cool', 'application', 'myindihhome', 'newest', 'greetings', 'success', 'hope', 'SLU', 'Jaya']</v>
      </c>
      <c r="D616" s="3">
        <v>5.0</v>
      </c>
    </row>
    <row r="617" ht="15.75" customHeight="1">
      <c r="A617" s="1">
        <v>637.0</v>
      </c>
      <c r="B617" s="3" t="s">
        <v>614</v>
      </c>
      <c r="C617" s="3" t="str">
        <f>IFERROR(__xludf.DUMMYFUNCTION("GOOGLETRANSLATE(B617,""id"",""en"")"),"['slow']")</f>
        <v>['slow']</v>
      </c>
      <c r="D617" s="3">
        <v>2.0</v>
      </c>
    </row>
    <row r="618" ht="15.75" customHeight="1">
      <c r="A618" s="1">
        <v>638.0</v>
      </c>
      <c r="B618" s="3" t="s">
        <v>615</v>
      </c>
      <c r="C618" s="3" t="str">
        <f>IFERROR(__xludf.DUMMYFUNCTION("GOOGLETRANSLATE(B618,""id"",""en"")"),"['versy', 'slow', 'difficult']")</f>
        <v>['versy', 'slow', 'difficult']</v>
      </c>
      <c r="D618" s="3">
        <v>1.0</v>
      </c>
    </row>
    <row r="619" ht="15.75" customHeight="1">
      <c r="A619" s="1">
        <v>639.0</v>
      </c>
      <c r="B619" s="3" t="s">
        <v>616</v>
      </c>
      <c r="C619" s="3" t="str">
        <f>IFERROR(__xludf.DUMMYFUNCTION("GOOGLETRANSLATE(B619,""id"",""en"")"),"['Fix', 'Application', 'Keburu', 'Upload', '']")</f>
        <v>['Fix', 'Application', 'Keburu', 'Upload', '']</v>
      </c>
      <c r="D619" s="3">
        <v>1.0</v>
      </c>
    </row>
    <row r="620" ht="15.75" customHeight="1">
      <c r="A620" s="1">
        <v>641.0</v>
      </c>
      <c r="B620" s="3" t="s">
        <v>617</v>
      </c>
      <c r="C620" s="3" t="str">
        <f>IFERROR(__xludf.DUMMYFUNCTION("GOOGLETRANSLATE(B620,""id"",""en"")"),"['check', 'usage', 'quota']")</f>
        <v>['check', 'usage', 'quota']</v>
      </c>
      <c r="D620" s="3">
        <v>2.0</v>
      </c>
    </row>
    <row r="621" ht="15.75" customHeight="1">
      <c r="A621" s="1">
        <v>642.0</v>
      </c>
      <c r="B621" s="3" t="s">
        <v>618</v>
      </c>
      <c r="C621" s="3" t="str">
        <f>IFERROR(__xludf.DUMMYFUNCTION("GOOGLETRANSLATE(B621,""id"",""en"")"),"['ADD', 'Dikemanain', 'no']")</f>
        <v>['ADD', 'Dikemanain', 'no']</v>
      </c>
      <c r="D621" s="3">
        <v>1.0</v>
      </c>
    </row>
    <row r="622" ht="15.75" customHeight="1">
      <c r="A622" s="1">
        <v>643.0</v>
      </c>
      <c r="B622" s="3" t="s">
        <v>619</v>
      </c>
      <c r="C622" s="3" t="str">
        <f>IFERROR(__xludf.DUMMYFUNCTION("GOOGLETRANSLATE(B622,""id"",""en"")"),"['Update', 'APK', 'Newest', 'Disappointed', 'APKNY', 'LOLA', 'SIMPEL', 'APK', 'Cook', 'Profile', 'NGK', 'BSA', ' SOD ',' Sok ',' shokan ',' update ',' NOT ',' EASY ',' HANGE ',' ']")</f>
        <v>['Update', 'APK', 'Newest', 'Disappointed', 'APKNY', 'LOLA', 'SIMPEL', 'APK', 'Cook', 'Profile', 'NGK', 'BSA', ' SOD ',' Sok ',' shokan ',' update ',' NOT ',' EASY ',' HANGE ',' ']</v>
      </c>
      <c r="D622" s="3">
        <v>1.0</v>
      </c>
    </row>
    <row r="623" ht="15.75" customHeight="1">
      <c r="A623" s="1">
        <v>644.0</v>
      </c>
      <c r="B623" s="3" t="s">
        <v>620</v>
      </c>
      <c r="C623" s="3" t="str">
        <f>IFERROR(__xludf.DUMMYFUNCTION("GOOGLETRANSLATE(B623,""id"",""en"")"),"['Hadehhh', 'results', 'update', 'kayak', 'garbage', 'see', 'user', 'active', 'network', 'wifi', 'indihome', ""]")</f>
        <v>['Hadehhh', 'results', 'update', 'kayak', 'garbage', 'see', 'user', 'active', 'network', 'wifi', 'indihome', "]</v>
      </c>
      <c r="D623" s="3">
        <v>1.0</v>
      </c>
    </row>
    <row r="624" ht="15.75" customHeight="1">
      <c r="A624" s="1">
        <v>645.0</v>
      </c>
      <c r="B624" s="3" t="s">
        <v>621</v>
      </c>
      <c r="C624" s="3" t="str">
        <f>IFERROR(__xludf.DUMMYFUNCTION("GOOGLETRANSLATE(B624,""id"",""en"")"),"['ugly', 'service', 'service']")</f>
        <v>['ugly', 'service', 'service']</v>
      </c>
      <c r="D624" s="3">
        <v>1.0</v>
      </c>
    </row>
    <row r="625" ht="15.75" customHeight="1">
      <c r="A625" s="1">
        <v>646.0</v>
      </c>
      <c r="B625" s="3" t="s">
        <v>622</v>
      </c>
      <c r="C625" s="3" t="str">
        <f>IFERROR(__xludf.DUMMYFUNCTION("GOOGLETRANSLATE(B625,""id"",""en"")"),"['Application', 'Useless']")</f>
        <v>['Application', 'Useless']</v>
      </c>
      <c r="D625" s="3">
        <v>1.0</v>
      </c>
    </row>
    <row r="626" ht="15.75" customHeight="1">
      <c r="A626" s="1">
        <v>647.0</v>
      </c>
      <c r="B626" s="3" t="s">
        <v>623</v>
      </c>
      <c r="C626" s="3" t="str">
        <f>IFERROR(__xludf.DUMMYFUNCTION("GOOGLETRANSLATE(B626,""id"",""en"")"),"['Application', 'Service']")</f>
        <v>['Application', 'Service']</v>
      </c>
      <c r="D626" s="3">
        <v>1.0</v>
      </c>
    </row>
    <row r="627" ht="15.75" customHeight="1">
      <c r="A627" s="1">
        <v>648.0</v>
      </c>
      <c r="B627" s="3" t="s">
        <v>624</v>
      </c>
      <c r="C627" s="3" t="str">
        <f>IFERROR(__xludf.DUMMYFUNCTION("GOOGLETRANSLATE(B627,""id"",""en"")"),"['expensive', 'lemmot', 'service', 'minus', 'deadline', 'payment', 'error', 'hadehh']")</f>
        <v>['expensive', 'lemmot', 'service', 'minus', 'deadline', 'payment', 'error', 'hadehh']</v>
      </c>
      <c r="D627" s="3">
        <v>1.0</v>
      </c>
    </row>
    <row r="628" ht="15.75" customHeight="1">
      <c r="A628" s="1">
        <v>649.0</v>
      </c>
      <c r="B628" s="3" t="s">
        <v>625</v>
      </c>
      <c r="C628" s="3" t="str">
        <f>IFERROR(__xludf.DUMMYFUNCTION("GOOGLETRANSLATE(B628,""id"",""en"")"),"['application', 'sangut', 'update', 'complicated', 'please', 'times', 'think', 'update', 'bother', 'customer', 'work']")</f>
        <v>['application', 'sangut', 'update', 'complicated', 'please', 'times', 'think', 'update', 'bother', 'customer', 'work']</v>
      </c>
      <c r="D628" s="3">
        <v>1.0</v>
      </c>
    </row>
    <row r="629" ht="15.75" customHeight="1">
      <c r="A629" s="1">
        <v>650.0</v>
      </c>
      <c r="B629" s="3" t="s">
        <v>626</v>
      </c>
      <c r="C629" s="3" t="str">
        <f>IFERROR(__xludf.DUMMYFUNCTION("GOOGLETRANSLATE(B629,""id"",""en"")"),"['application', 'garbage', 'Feed', 'features',' complaint ',' service ',' restart ',' modem ',' restart ',' continuation ',' complaint ',' shame ',' Indihome ',' Country ',' Quality ',' zero ',' ']")</f>
        <v>['application', 'garbage', 'Feed', 'features',' complaint ',' service ',' restart ',' modem ',' restart ',' continuation ',' complaint ',' shame ',' Indihome ',' Country ',' Quality ',' zero ',' ']</v>
      </c>
      <c r="D629" s="3">
        <v>1.0</v>
      </c>
    </row>
    <row r="630" ht="15.75" customHeight="1">
      <c r="A630" s="1">
        <v>651.0</v>
      </c>
      <c r="B630" s="3" t="s">
        <v>627</v>
      </c>
      <c r="C630" s="3" t="str">
        <f>IFERROR(__xludf.DUMMYFUNCTION("GOOGLETRANSLATE(B630,""id"",""en"")"),"['version', 'the latest', 'slow', 'loading', 'nyolot', 'application']")</f>
        <v>['version', 'the latest', 'slow', 'loading', 'nyolot', 'application']</v>
      </c>
      <c r="D630" s="3">
        <v>1.0</v>
      </c>
    </row>
    <row r="631" ht="15.75" customHeight="1">
      <c r="A631" s="1">
        <v>652.0</v>
      </c>
      <c r="B631" s="3" t="s">
        <v>628</v>
      </c>
      <c r="C631" s="3" t="str">
        <f>IFERROR(__xludf.DUMMYFUNCTION("GOOGLETRANSLATE(B631,""id"",""en"")"),"['Dipertitan', 'Service', 'Mnanya', 'Call', 'Indihome', 'WIFI', 'WASHII', 'Gemes', 'Dih']")</f>
        <v>['Dipertitan', 'Service', 'Mnanya', 'Call', 'Indihome', 'WIFI', 'WASHII', 'Gemes', 'Dih']</v>
      </c>
      <c r="D631" s="3">
        <v>1.0</v>
      </c>
    </row>
    <row r="632" ht="15.75" customHeight="1">
      <c r="A632" s="1">
        <v>653.0</v>
      </c>
      <c r="B632" s="3" t="s">
        <v>629</v>
      </c>
      <c r="C632" s="3" t="str">
        <f>IFERROR(__xludf.DUMMYFUNCTION("GOOGLETRANSLATE(B632,""id"",""en"")"),"['Apdet', 'Fersi', 'enter', 'list', 'Mending', 'Fersi', 'Ribet', 'Fersi', 'newest', 'disappointed']")</f>
        <v>['Apdet', 'Fersi', 'enter', 'list', 'Mending', 'Fersi', 'Ribet', 'Fersi', 'newest', 'disappointed']</v>
      </c>
      <c r="D632" s="3">
        <v>1.0</v>
      </c>
    </row>
    <row r="633" ht="15.75" customHeight="1">
      <c r="A633" s="1">
        <v>654.0</v>
      </c>
      <c r="B633" s="3" t="s">
        <v>630</v>
      </c>
      <c r="C633" s="3" t="str">
        <f>IFERROR(__xludf.DUMMYFUNCTION("GOOGLETRANSLATE(B633,""id"",""en"")"),"['What', 'Caskek', 'FUP', 'Use', 'Internet', 'Myindihome']")</f>
        <v>['What', 'Caskek', 'FUP', 'Use', 'Internet', 'Myindihome']</v>
      </c>
      <c r="D633" s="3">
        <v>5.0</v>
      </c>
    </row>
    <row r="634" ht="15.75" customHeight="1">
      <c r="A634" s="1">
        <v>655.0</v>
      </c>
      <c r="B634" s="3" t="s">
        <v>631</v>
      </c>
      <c r="C634" s="3" t="str">
        <f>IFERROR(__xludf.DUMMYFUNCTION("GOOGLETRANSLATE(B634,""id"",""en"")"),"['Application', 'Help', 'Constrained', 'Login', 'Karna', 'Description', 'Password', 'Wrong', 'Try', 'Reset', 'Return', 'Help']")</f>
        <v>['Application', 'Help', 'Constrained', 'Login', 'Karna', 'Description', 'Password', 'Wrong', 'Try', 'Reset', 'Return', 'Help']</v>
      </c>
      <c r="D634" s="3">
        <v>1.0</v>
      </c>
    </row>
    <row r="635" ht="15.75" customHeight="1">
      <c r="A635" s="1">
        <v>656.0</v>
      </c>
      <c r="B635" s="3" t="s">
        <v>632</v>
      </c>
      <c r="C635" s="3" t="str">
        <f>IFERROR(__xludf.DUMMYFUNCTION("GOOGLETRANSLATE(B635,""id"",""en"")"),"['application', 'link', 'email']")</f>
        <v>['application', 'link', 'email']</v>
      </c>
      <c r="D635" s="3">
        <v>3.0</v>
      </c>
    </row>
    <row r="636" ht="15.75" customHeight="1">
      <c r="A636" s="1">
        <v>657.0</v>
      </c>
      <c r="B636" s="3" t="s">
        <v>633</v>
      </c>
      <c r="C636" s="3" t="str">
        <f>IFERROR(__xludf.DUMMYFUNCTION("GOOGLETRANSLATE(B636,""id"",""en"")"),"['Upgrade', 'Display', 'Lemot', 'Opened', 'Severe']")</f>
        <v>['Upgrade', 'Display', 'Lemot', 'Opened', 'Severe']</v>
      </c>
      <c r="D636" s="3">
        <v>1.0</v>
      </c>
    </row>
    <row r="637" ht="15.75" customHeight="1">
      <c r="A637" s="1">
        <v>658.0</v>
      </c>
      <c r="B637" s="3" t="s">
        <v>634</v>
      </c>
      <c r="C637" s="3" t="str">
        <f>IFERROR(__xludf.DUMMYFUNCTION("GOOGLETRANSLATE(B637,""id"",""en"")"),"['updated', 'slow']")</f>
        <v>['updated', 'slow']</v>
      </c>
      <c r="D637" s="3">
        <v>1.0</v>
      </c>
    </row>
    <row r="638" ht="15.75" customHeight="1">
      <c r="A638" s="1">
        <v>659.0</v>
      </c>
      <c r="B638" s="3" t="s">
        <v>635</v>
      </c>
      <c r="C638" s="3" t="str">
        <f>IFERROR(__xludf.DUMMYFUNCTION("GOOGLETRANSLATE(B638,""id"",""en"")"),"['chaotic', 'JWBANE', 'JDWALAKN', 'then', 'KPN', 'Benerin', 'SMTRA', 'Kene', 'Pay', 'Mending', 'Ngk', 'Ksh', ' JWBNA ',' Schedule ',' Wait ',' Middle ',' Ora ',' Krja ', ""]")</f>
        <v>['chaotic', 'JWBANE', 'JDWALAKN', 'then', 'KPN', 'Benerin', 'SMTRA', 'Kene', 'Pay', 'Mending', 'Ngk', 'Ksh', ' JWBNA ',' Schedule ',' Wait ',' Middle ',' Ora ',' Krja ', "]</v>
      </c>
      <c r="D638" s="3">
        <v>1.0</v>
      </c>
    </row>
    <row r="639" ht="15.75" customHeight="1">
      <c r="A639" s="1">
        <v>660.0</v>
      </c>
      <c r="B639" s="3" t="s">
        <v>636</v>
      </c>
      <c r="C639" s="3" t="str">
        <f>IFERROR(__xludf.DUMMYFUNCTION("GOOGLETRANSLATE(B639,""id"",""en"")"),"['Severe', 'the application', 'must be', 'klw', 'update', 'jdi', 'features', 'missing', 'mostly', 'ads', 'dri', 'service']")</f>
        <v>['Severe', 'the application', 'must be', 'klw', 'update', 'jdi', 'features', 'missing', 'mostly', 'ads', 'dri', 'service']</v>
      </c>
      <c r="D639" s="3">
        <v>1.0</v>
      </c>
    </row>
    <row r="640" ht="15.75" customHeight="1">
      <c r="A640" s="1">
        <v>661.0</v>
      </c>
      <c r="B640" s="3" t="s">
        <v>637</v>
      </c>
      <c r="C640" s="3" t="str">
        <f>IFERROR(__xludf.DUMMYFUNCTION("GOOGLETRANSLATE(B640,""id"",""en"")"),"['', 'Berjajate', 'enter', 'data', 'palid', 'Sue']")</f>
        <v>['', 'Berjajate', 'enter', 'data', 'palid', 'Sue']</v>
      </c>
      <c r="D640" s="3">
        <v>1.0</v>
      </c>
    </row>
    <row r="641" ht="15.75" customHeight="1">
      <c r="A641" s="1">
        <v>662.0</v>
      </c>
      <c r="B641" s="3" t="s">
        <v>638</v>
      </c>
      <c r="C641" s="3" t="str">
        <f>IFERROR(__xludf.DUMMYFUNCTION("GOOGLETRANSLATE(B641,""id"",""en"")"),"['Tmbah', 'Lola', 'bother', 'disorder', 'complicated']")</f>
        <v>['Tmbah', 'Lola', 'bother', 'disorder', 'complicated']</v>
      </c>
      <c r="D641" s="3">
        <v>2.0</v>
      </c>
    </row>
    <row r="642" ht="15.75" customHeight="1">
      <c r="A642" s="1">
        <v>663.0</v>
      </c>
      <c r="B642" s="3" t="s">
        <v>639</v>
      </c>
      <c r="C642" s="3" t="str">
        <f>IFERROR(__xludf.DUMMYFUNCTION("GOOGLETRANSLATE(B642,""id"",""en"")"),"['GMANA', 'Enter', 'How', 'Change', 'TLP', 'Enter', '']")</f>
        <v>['GMANA', 'Enter', 'How', 'Change', 'TLP', 'Enter', '']</v>
      </c>
      <c r="D642" s="3">
        <v>1.0</v>
      </c>
    </row>
    <row r="643" ht="15.75" customHeight="1">
      <c r="A643" s="1">
        <v>664.0</v>
      </c>
      <c r="B643" s="3" t="s">
        <v>640</v>
      </c>
      <c r="C643" s="3" t="str">
        <f>IFERROR(__xludf.DUMMYFUNCTION("GOOGLETRANSLATE(B643,""id"",""en"")"),"['Good', 'smooth', 'verification', 'email', 'sent']")</f>
        <v>['Good', 'smooth', 'verification', 'email', 'sent']</v>
      </c>
      <c r="D643" s="3">
        <v>2.0</v>
      </c>
    </row>
    <row r="644" ht="15.75" customHeight="1">
      <c r="A644" s="1">
        <v>665.0</v>
      </c>
      <c r="B644" s="3" t="s">
        <v>641</v>
      </c>
      <c r="C644" s="3" t="str">
        <f>IFERROR(__xludf.DUMMYFUNCTION("GOOGLETRANSLATE(B644,""id"",""en"")"),"['network', 'slow', 'application', 'mobile', 'slow', 'poor', ""]")</f>
        <v>['network', 'slow', 'application', 'mobile', 'slow', 'poor', "]</v>
      </c>
      <c r="D644" s="3">
        <v>1.0</v>
      </c>
    </row>
    <row r="645" ht="15.75" customHeight="1">
      <c r="A645" s="1">
        <v>666.0</v>
      </c>
      <c r="B645" s="3" t="s">
        <v>642</v>
      </c>
      <c r="C645" s="3" t="str">
        <f>IFERROR(__xludf.DUMMYFUNCTION("GOOGLETRANSLATE(B645,""id"",""en"")"),"['What is', 'Different', 'number', 'registered']")</f>
        <v>['What is', 'Different', 'number', 'registered']</v>
      </c>
      <c r="D645" s="3">
        <v>1.0</v>
      </c>
    </row>
    <row r="646" ht="15.75" customHeight="1">
      <c r="A646" s="1">
        <v>667.0</v>
      </c>
      <c r="B646" s="3" t="s">
        <v>643</v>
      </c>
      <c r="C646" s="3" t="str">
        <f>IFERROR(__xludf.DUMMYFUNCTION("GOOGLETRANSLATE(B646,""id"",""en"")"),"['Price', 'Different', 'Offered', 'Disappointed', '']")</f>
        <v>['Price', 'Different', 'Offered', 'Disappointed', '']</v>
      </c>
      <c r="D646" s="3">
        <v>1.0</v>
      </c>
    </row>
    <row r="647" ht="15.75" customHeight="1">
      <c r="A647" s="1">
        <v>668.0</v>
      </c>
      <c r="B647" s="3" t="s">
        <v>644</v>
      </c>
      <c r="C647" s="3" t="str">
        <f>IFERROR(__xludf.DUMMYFUNCTION("GOOGLETRANSLATE(B647,""id"",""en"")"),"['slow connection', '']")</f>
        <v>['slow connection', '']</v>
      </c>
      <c r="D647" s="3">
        <v>2.0</v>
      </c>
    </row>
    <row r="648" ht="15.75" customHeight="1">
      <c r="A648" s="1">
        <v>669.0</v>
      </c>
      <c r="B648" s="3" t="s">
        <v>645</v>
      </c>
      <c r="C648" s="3" t="str">
        <f>IFERROR(__xludf.DUMMYFUNCTION("GOOGLETRANSLATE(B648,""id"",""en"")"),"['mounting', 'already', 'dead', 'a month', 'escalation', 'application', 'TLP', 'ignore', 'dead', 'total', 'technician', 'pay', ' the date ',' application ',' used ',' report ',' Solution ',' TLP ',' Send ',' name ',' technician ',' gini ',' mah ',' Ogah '"&amp;",' pakek ' , 'ISP', '']")</f>
        <v>['mounting', 'already', 'dead', 'a month', 'escalation', 'application', 'TLP', 'ignore', 'dead', 'total', 'technician', 'pay', ' the date ',' application ',' used ',' report ',' Solution ',' TLP ',' Send ',' name ',' technician ',' gini ',' mah ',' Ogah ',' pakek ' , 'ISP', '']</v>
      </c>
      <c r="D648" s="3">
        <v>1.0</v>
      </c>
    </row>
    <row r="649" ht="15.75" customHeight="1">
      <c r="A649" s="1">
        <v>670.0</v>
      </c>
      <c r="B649" s="3" t="s">
        <v>646</v>
      </c>
      <c r="C649" s="3" t="str">
        <f>IFERROR(__xludf.DUMMYFUNCTION("GOOGLETRANSLATE(B649,""id"",""en"")"),"['Complaints',' because ',' Loss', 'Loss',' Easy ',' Sudab ',' Pay ',' The writing ',' internet ',' isolated ',' Mohin ',' paid up ',' Payment ',' Karna ',' Lights', 'Loss',' On ',' Modem ',' Please ',' Fix ',' Application ',' User ',' Complaint ',' Easy "&amp;"']")</f>
        <v>['Complaints',' because ',' Loss', 'Loss',' Easy ',' Sudab ',' Pay ',' The writing ',' internet ',' isolated ',' Mohin ',' paid up ',' Payment ',' Karna ',' Lights', 'Loss',' On ',' Modem ',' Please ',' Fix ',' Application ',' User ',' Complaint ',' Easy ']</v>
      </c>
      <c r="D649" s="3">
        <v>1.0</v>
      </c>
    </row>
    <row r="650" ht="15.75" customHeight="1">
      <c r="A650" s="1">
        <v>671.0</v>
      </c>
      <c r="B650" s="3" t="s">
        <v>647</v>
      </c>
      <c r="C650" s="3" t="str">
        <f>IFERROR(__xludf.DUMMYFUNCTION("GOOGLETRANSLATE(B650,""id"",""en"")"),"['Indihome', 'Help', 'Pandemic', 'SERBA', 'Online', 'Easy', 'Access', 'Internet', 'Task', 'Online']")</f>
        <v>['Indihome', 'Help', 'Pandemic', 'SERBA', 'Online', 'Easy', 'Access', 'Internet', 'Task', 'Online']</v>
      </c>
      <c r="D650" s="3">
        <v>5.0</v>
      </c>
    </row>
    <row r="651" ht="15.75" customHeight="1">
      <c r="A651" s="1">
        <v>672.0</v>
      </c>
      <c r="B651" s="3" t="s">
        <v>648</v>
      </c>
      <c r="C651" s="3" t="str">
        <f>IFERROR(__xludf.DUMMYFUNCTION("GOOGLETRANSLATE(B651,""id"",""en"")"),"['application', 'good', 'useful', 'personal', 'indihome', 'at home', 'cost', 'minimal', 'internet', 'boundary']")</f>
        <v>['application', 'good', 'useful', 'personal', 'indihome', 'at home', 'cost', 'minimal', 'internet', 'boundary']</v>
      </c>
      <c r="D651" s="3">
        <v>5.0</v>
      </c>
    </row>
    <row r="652" ht="15.75" customHeight="1">
      <c r="A652" s="1">
        <v>673.0</v>
      </c>
      <c r="B652" s="3" t="s">
        <v>649</v>
      </c>
      <c r="C652" s="3" t="str">
        <f>IFERROR(__xludf.DUMMYFUNCTION("GOOGLETRANSLATE(B652,""id"",""en"")"),"['Good', 'APK', 'Feature', 'Feature', 'Easy to', 'User', 'Indihome', 'Voucher', 'Bguss', 'Sihh']")</f>
        <v>['Good', 'APK', 'Feature', 'Feature', 'Easy to', 'User', 'Indihome', 'Voucher', 'Bguss', 'Sihh']</v>
      </c>
      <c r="D652" s="3">
        <v>5.0</v>
      </c>
    </row>
    <row r="653" ht="15.75" customHeight="1">
      <c r="A653" s="1">
        <v>674.0</v>
      </c>
      <c r="B653" s="3" t="s">
        <v>650</v>
      </c>
      <c r="C653" s="3" t="str">
        <f>IFERROR(__xludf.DUMMYFUNCTION("GOOGLETRANSLATE(B653,""id"",""en"")"),"['The name', 'people', 'getting', 'struk', 'anjeeng', 'severe', 'really', 'slow', '']")</f>
        <v>['The name', 'people', 'getting', 'struk', 'anjeeng', 'severe', 'really', 'slow', '']</v>
      </c>
      <c r="D653" s="3">
        <v>1.0</v>
      </c>
    </row>
    <row r="654" ht="15.75" customHeight="1">
      <c r="A654" s="1">
        <v>675.0</v>
      </c>
      <c r="B654" s="3" t="s">
        <v>651</v>
      </c>
      <c r="C654" s="3" t="str">
        <f>IFERROR(__xludf.DUMMYFUNCTION("GOOGLETRANSLATE(B654,""id"",""en"")"),"['Update', 'Application', 'Lemot', 'App', 'Delevop', 'App', 'Cheap', 'Kbykn', 'Corrupted', 'Budget', ""]")</f>
        <v>['Update', 'Application', 'Lemot', 'App', 'Delevop', 'App', 'Cheap', 'Kbykn', 'Corrupted', 'Budget', "]</v>
      </c>
      <c r="D654" s="3">
        <v>1.0</v>
      </c>
    </row>
    <row r="655" ht="15.75" customHeight="1">
      <c r="A655" s="1">
        <v>676.0</v>
      </c>
      <c r="B655" s="3" t="s">
        <v>652</v>
      </c>
      <c r="C655" s="3" t="str">
        <f>IFERROR(__xludf.DUMMYFUNCTION("GOOGLETRANSLATE(B655,""id"",""en"")"),"['Help', 'features', 'complete', 'easy', 'accessible', 'hope', 'developing', 'comfort', 'ber', 'internet', 'customer', 'trims']")</f>
        <v>['Help', 'features', 'complete', 'easy', 'accessible', 'hope', 'developing', 'comfort', 'ber', 'internet', 'customer', 'trims']</v>
      </c>
      <c r="D655" s="3">
        <v>5.0</v>
      </c>
    </row>
    <row r="656" ht="15.75" customHeight="1">
      <c r="A656" s="1">
        <v>677.0</v>
      </c>
      <c r="B656" s="3" t="s">
        <v>653</v>
      </c>
      <c r="C656" s="3" t="str">
        <f>IFERROR(__xludf.DUMMYFUNCTION("GOOGLETRANSLATE(B656,""id"",""en"")"),"['The application', 'it's easy', 'customers', 'bills', 'bills', 'monthly', '']")</f>
        <v>['The application', 'it's easy', 'customers', 'bills', 'bills', 'monthly', '']</v>
      </c>
      <c r="D656" s="3">
        <v>5.0</v>
      </c>
    </row>
    <row r="657" ht="15.75" customHeight="1">
      <c r="A657" s="1">
        <v>678.0</v>
      </c>
      <c r="B657" s="3" t="s">
        <v>654</v>
      </c>
      <c r="C657" s="3" t="str">
        <f>IFERROR(__xludf.DUMMYFUNCTION("GOOGLETRANSLATE(B657,""id"",""en"")"),"['The application', 'Help', 'really', 'user', 'Indihome', 'features', 'complete', 'bill', 'kit', 'consultation', 'application', 'obstacle']")</f>
        <v>['The application', 'Help', 'really', 'user', 'Indihome', 'features', 'complete', 'bill', 'kit', 'consultation', 'application', 'obstacle']</v>
      </c>
      <c r="D657" s="3">
        <v>5.0</v>
      </c>
    </row>
    <row r="658" ht="15.75" customHeight="1">
      <c r="A658" s="1">
        <v>679.0</v>
      </c>
      <c r="B658" s="3" t="s">
        <v>655</v>
      </c>
      <c r="C658" s="3" t="str">
        <f>IFERROR(__xludf.DUMMYFUNCTION("GOOGLETRANSLATE(B658,""id"",""en"")"),"['application', 'good', 'addressed', 'features', 'features', 'plusin', 'good', 'then', 'it looks', 'good', 'really', '']")</f>
        <v>['application', 'good', 'addressed', 'features', 'features', 'plusin', 'good', 'then', 'it looks', 'good', 'really', '']</v>
      </c>
      <c r="D658" s="3">
        <v>5.0</v>
      </c>
    </row>
    <row r="659" ht="15.75" customHeight="1">
      <c r="A659" s="1">
        <v>680.0</v>
      </c>
      <c r="B659" s="3" t="s">
        <v>656</v>
      </c>
      <c r="C659" s="3" t="str">
        <f>IFERROR(__xludf.DUMMYFUNCTION("GOOGLETRANSLATE(B659,""id"",""en"")"),"['Like', 'APK', 'Easy', 'Practical', 'Features', 'Help', 'Points', 'Fast', 'Response', ""]")</f>
        <v>['Like', 'APK', 'Easy', 'Practical', 'Features', 'Help', 'Points', 'Fast', 'Response', "]</v>
      </c>
      <c r="D659" s="3">
        <v>5.0</v>
      </c>
    </row>
    <row r="660" ht="15.75" customHeight="1">
      <c r="A660" s="1">
        <v>681.0</v>
      </c>
      <c r="B660" s="3" t="s">
        <v>657</v>
      </c>
      <c r="C660" s="3" t="str">
        <f>IFERROR(__xludf.DUMMYFUNCTION("GOOGLETRANSLATE(B660,""id"",""en"")"),"['Application', 'meek', 'forget', 'password', 'prcuma', 'update']")</f>
        <v>['Application', 'meek', 'forget', 'password', 'prcuma', 'update']</v>
      </c>
      <c r="D660" s="3">
        <v>1.0</v>
      </c>
    </row>
    <row r="661" ht="15.75" customHeight="1">
      <c r="A661" s="1">
        <v>682.0</v>
      </c>
      <c r="B661" s="3" t="s">
        <v>658</v>
      </c>
      <c r="C661" s="3" t="str">
        <f>IFERROR(__xludf.DUMMYFUNCTION("GOOGLETRANSLATE(B661,""id"",""en"")"),"['updated', 'slow', 'opened', 'service', 'money', 'bill', 'tolerance', 'service', 'very', 'bad', '']")</f>
        <v>['updated', 'slow', 'opened', 'service', 'money', 'bill', 'tolerance', 'service', 'very', 'bad', '']</v>
      </c>
      <c r="D661" s="3">
        <v>1.0</v>
      </c>
    </row>
    <row r="662" ht="15.75" customHeight="1">
      <c r="A662" s="1">
        <v>683.0</v>
      </c>
      <c r="B662" s="3" t="s">
        <v>659</v>
      </c>
      <c r="C662" s="3" t="str">
        <f>IFERROR(__xludf.DUMMYFUNCTION("GOOGLETRANSLATE(B662,""id"",""en"")"),"['Application', 'Indihome', 'Helpful', 'Fast', 'Response', 'Yesterday', 'Genesis',' Banned ',' Game ',' Mass', 'Complaint', 'Change', ' Direct ',' Fast ',' Response ',' Change ',' Gamers', 'Main', 'Safe', 'Comfortable', 'Speed', 'Thanks',' Indihome ']")</f>
        <v>['Application', 'Indihome', 'Helpful', 'Fast', 'Response', 'Yesterday', 'Genesis',' Banned ',' Game ',' Mass', 'Complaint', 'Change', ' Direct ',' Fast ',' Response ',' Change ',' Gamers', 'Main', 'Safe', 'Comfortable', 'Speed', 'Thanks',' Indihome ']</v>
      </c>
      <c r="D662" s="3">
        <v>5.0</v>
      </c>
    </row>
    <row r="663" ht="15.75" customHeight="1">
      <c r="A663" s="1">
        <v>684.0</v>
      </c>
      <c r="B663" s="3" t="s">
        <v>660</v>
      </c>
      <c r="C663" s="3" t="str">
        <f>IFERROR(__xludf.DUMMYFUNCTION("GOOGLETRANSLATE(B663,""id"",""en"")"),"['Kirain', 'bug', 'missing', 'pay', 'app', 'pay', 'pay', 'email', 'sms',' appear ',' woi ',' indihome ',' ']")</f>
        <v>['Kirain', 'bug', 'missing', 'pay', 'app', 'pay', 'pay', 'email', 'sms',' appear ',' woi ',' indihome ',' ']</v>
      </c>
      <c r="D663" s="3">
        <v>1.0</v>
      </c>
    </row>
    <row r="664" ht="15.75" customHeight="1">
      <c r="A664" s="1">
        <v>685.0</v>
      </c>
      <c r="B664" s="3" t="s">
        <v>661</v>
      </c>
      <c r="C664" s="3" t="str">
        <f>IFERROR(__xludf.DUMMYFUNCTION("GOOGLETRANSLATE(B664,""id"",""en"")"),"['Myindihome', 'Useful', 'Needs',' Need ',' Internet ',' Feature ',' Feature ',' Application ',' Help ',' Display ',' Application ',' Simple ',' easy to understand', '']")</f>
        <v>['Myindihome', 'Useful', 'Needs',' Need ',' Internet ',' Feature ',' Feature ',' Application ',' Help ',' Display ',' Application ',' Simple ',' easy to understand', '']</v>
      </c>
      <c r="D664" s="3">
        <v>5.0</v>
      </c>
    </row>
    <row r="665" ht="15.75" customHeight="1">
      <c r="A665" s="1">
        <v>686.0</v>
      </c>
      <c r="B665" s="3" t="s">
        <v>662</v>
      </c>
      <c r="C665" s="3" t="str">
        <f>IFERROR(__xludf.DUMMYFUNCTION("GOOGLETRANSLATE(B665,""id"",""en"")"),"['update', 'NOT', 'Good', 'Badkk', 'already', 'Yesterday', 'Jangn', 'update', 'updte']")</f>
        <v>['update', 'NOT', 'Good', 'Badkk', 'already', 'Yesterday', 'Jangn', 'update', 'updte']</v>
      </c>
      <c r="D665" s="3">
        <v>1.0</v>
      </c>
    </row>
    <row r="666" ht="15.75" customHeight="1">
      <c r="A666" s="1">
        <v>687.0</v>
      </c>
      <c r="B666" s="3" t="s">
        <v>663</v>
      </c>
      <c r="C666" s="3" t="str">
        <f>IFERROR(__xludf.DUMMYFUNCTION("GOOGLETRANSLATE(B666,""id"",""en"")"),"['Cool', 'really', 'myindihome', 'features', 'features', 'complete', 'really', 'mantapp']")</f>
        <v>['Cool', 'really', 'myindihome', 'features', 'features', 'complete', 'really', 'mantapp']</v>
      </c>
      <c r="D666" s="3">
        <v>5.0</v>
      </c>
    </row>
    <row r="667" ht="15.75" customHeight="1">
      <c r="A667" s="1">
        <v>688.0</v>
      </c>
      <c r="B667" s="3" t="s">
        <v>664</v>
      </c>
      <c r="C667" s="3" t="str">
        <f>IFERROR(__xludf.DUMMYFUNCTION("GOOGLETRANSLATE(B667,""id"",""en"")"),"['SDAH', 'Update', 'Application', 'Lola', 'Process', 'Verif', 'Identity', 'Muter', 'Doang', 'Do', ""]")</f>
        <v>['SDAH', 'Update', 'Application', 'Lola', 'Process', 'Verif', 'Identity', 'Muter', 'Doang', 'Do', "]</v>
      </c>
      <c r="D667" s="3">
        <v>1.0</v>
      </c>
    </row>
    <row r="668" ht="15.75" customHeight="1">
      <c r="A668" s="1">
        <v>689.0</v>
      </c>
      <c r="B668" s="3" t="s">
        <v>665</v>
      </c>
      <c r="C668" s="3" t="str">
        <f>IFERROR(__xludf.DUMMYFUNCTION("GOOGLETRANSLATE(B668,""id"",""en"")"),"['Cool', 'application', 'makes it easy', 'user', 'indihome', 'feature', 'features',' complete ',' check ',' bill ',' complain ',' network ',' Indihome ',' good ',' help ']")</f>
        <v>['Cool', 'application', 'makes it easy', 'user', 'indihome', 'feature', 'features',' complete ',' check ',' bill ',' complain ',' network ',' Indihome ',' good ',' help ']</v>
      </c>
      <c r="D668" s="3">
        <v>5.0</v>
      </c>
    </row>
    <row r="669" ht="15.75" customHeight="1">
      <c r="A669" s="1">
        <v>690.0</v>
      </c>
      <c r="B669" s="3" t="s">
        <v>666</v>
      </c>
      <c r="C669" s="3" t="str">
        <f>IFERROR(__xludf.DUMMYFUNCTION("GOOGLETRANSLATE(B669,""id"",""en"")"),"['Good', 'already', 'Indihome', 'a year', 'smooth', 'smooth', 'look', 'interesting', 'The', 'Best', 'deh']")</f>
        <v>['Good', 'already', 'Indihome', 'a year', 'smooth', 'smooth', 'look', 'interesting', 'The', 'Best', 'deh']</v>
      </c>
      <c r="D669" s="3">
        <v>5.0</v>
      </c>
    </row>
    <row r="670" ht="15.75" customHeight="1">
      <c r="A670" s="1">
        <v>691.0</v>
      </c>
      <c r="B670" s="3" t="s">
        <v>667</v>
      </c>
      <c r="C670" s="3" t="str">
        <f>IFERROR(__xludf.DUMMYFUNCTION("GOOGLETRANSLATE(B670,""id"",""en"")"),"['Application', 'Myindihome', 'Help', 'Really', 'Caskek', 'Costs', 'Bill', 'Quality', 'Network', 'Good', 'Cool', 'Deh']")</f>
        <v>['Application', 'Myindihome', 'Help', 'Really', 'Caskek', 'Costs', 'Bill', 'Quality', 'Network', 'Good', 'Cool', 'Deh']</v>
      </c>
      <c r="D670" s="3">
        <v>5.0</v>
      </c>
    </row>
    <row r="671" ht="15.75" customHeight="1">
      <c r="A671" s="1">
        <v>692.0</v>
      </c>
      <c r="B671" s="3" t="s">
        <v>668</v>
      </c>
      <c r="C671" s="3" t="str">
        <f>IFERROR(__xludf.DUMMYFUNCTION("GOOGLETRANSLATE(B671,""id"",""en"")"),"['Hopefully', 'Indihome', 'advanced', 'promo', 'improve', 'quality', 'network', 'oghey', 'hope', 'indihome', 'improve', 'performance', ' ']")</f>
        <v>['Hopefully', 'Indihome', 'advanced', 'promo', 'improve', 'quality', 'network', 'oghey', 'hope', 'indihome', 'improve', 'performance', ' ']</v>
      </c>
      <c r="D671" s="3">
        <v>5.0</v>
      </c>
    </row>
    <row r="672" ht="15.75" customHeight="1">
      <c r="A672" s="1">
        <v>693.0</v>
      </c>
      <c r="B672" s="3" t="s">
        <v>669</v>
      </c>
      <c r="C672" s="3" t="str">
        <f>IFERROR(__xludf.DUMMYFUNCTION("GOOGLETRANSLATE(B672,""id"",""en"")"),"['application', 'Myindihome', 'Help', 'really', 'offer', 'service', 'best', 'customer', 'updated', 'Gaes',' get ',' service ',' Best ',' Latest ',' Terupgrade ',' Myindihome ',' ']")</f>
        <v>['application', 'Myindihome', 'Help', 'really', 'offer', 'service', 'best', 'customer', 'updated', 'Gaes',' get ',' service ',' Best ',' Latest ',' Terupgrade ',' Myindihome ',' ']</v>
      </c>
      <c r="D672" s="3">
        <v>5.0</v>
      </c>
    </row>
    <row r="673" ht="15.75" customHeight="1">
      <c r="A673" s="1">
        <v>694.0</v>
      </c>
      <c r="B673" s="3" t="s">
        <v>670</v>
      </c>
      <c r="C673" s="3" t="str">
        <f>IFERROR(__xludf.DUMMYFUNCTION("GOOGLETRANSLATE(B673,""id"",""en"")"),"['Application', 'Indihome', 'TopPP', 'Very', 'Easy', 'Constraints',' Features', 'Application', 'Easy', 'Understand', 'Yuk', 'Download', ' Application ',' Myindihome ']")</f>
        <v>['Application', 'Indihome', 'TopPP', 'Very', 'Easy', 'Constraints',' Features', 'Application', 'Easy', 'Understand', 'Yuk', 'Download', ' Application ',' Myindihome ']</v>
      </c>
      <c r="D673" s="3">
        <v>5.0</v>
      </c>
    </row>
    <row r="674" ht="15.75" customHeight="1">
      <c r="A674" s="1">
        <v>695.0</v>
      </c>
      <c r="B674" s="3" t="s">
        <v>671</v>
      </c>
      <c r="C674" s="3" t="str">
        <f>IFERROR(__xludf.DUMMYFUNCTION("GOOGLETRANSLATE(B674,""id"",""en"")"),"['The application', 'good', 'bngt', 'provider', 'broad', 'reach', 'yuk', 'download', 'pairs', 'wifi']")</f>
        <v>['The application', 'good', 'bngt', 'provider', 'broad', 'reach', 'yuk', 'download', 'pairs', 'wifi']</v>
      </c>
      <c r="D674" s="3">
        <v>5.0</v>
      </c>
    </row>
    <row r="675" ht="15.75" customHeight="1">
      <c r="A675" s="1">
        <v>696.0</v>
      </c>
      <c r="B675" s="3" t="s">
        <v>672</v>
      </c>
      <c r="C675" s="3" t="str">
        <f>IFERROR(__xludf.DUMMYFUNCTION("GOOGLETRANSLATE(B675,""id"",""en"")"),"['Good', 'Application', 'Helpful', 'Confused', 'Nyari', 'Info', 'complement', 'thank', 'love']")</f>
        <v>['Good', 'Application', 'Helpful', 'Confused', 'Nyari', 'Info', 'complement', 'thank', 'love']</v>
      </c>
      <c r="D675" s="3">
        <v>5.0</v>
      </c>
    </row>
    <row r="676" ht="15.75" customHeight="1">
      <c r="A676" s="1">
        <v>697.0</v>
      </c>
      <c r="B676" s="3" t="s">
        <v>673</v>
      </c>
      <c r="C676" s="3" t="str">
        <f>IFERROR(__xludf.DUMMYFUNCTION("GOOGLETRANSLATE(B676,""id"",""en"")"),"['use', 'Indihome', 'Internet', 'Easy', 'Easy', 'Network', 'Leet']")</f>
        <v>['use', 'Indihome', 'Internet', 'Easy', 'Easy', 'Network', 'Leet']</v>
      </c>
      <c r="D676" s="3">
        <v>5.0</v>
      </c>
    </row>
    <row r="677" ht="15.75" customHeight="1">
      <c r="A677" s="1">
        <v>698.0</v>
      </c>
      <c r="B677" s="3" t="s">
        <v>674</v>
      </c>
      <c r="C677" s="3" t="str">
        <f>IFERROR(__xludf.DUMMYFUNCTION("GOOGLETRANSLATE(B677,""id"",""en"")"),"['Help', 'really', 'Application', 'Indihome', 'Features', 'Features', 'Help', 'Constraints', 'Okay', 'Really', ""]")</f>
        <v>['Help', 'really', 'Application', 'Indihome', 'Features', 'Features', 'Help', 'Constraints', 'Okay', 'Really', "]</v>
      </c>
      <c r="D677" s="3">
        <v>5.0</v>
      </c>
    </row>
    <row r="678" ht="15.75" customHeight="1">
      <c r="A678" s="1">
        <v>699.0</v>
      </c>
      <c r="B678" s="3" t="s">
        <v>675</v>
      </c>
      <c r="C678" s="3" t="str">
        <f>IFERROR(__xludf.DUMMYFUNCTION("GOOGLETRANSLATE(B678,""id"",""en"")"),"['The application', 'help', 'easy', 'subscribe', 'Indihome', 'features', 'complete', 'easy', 'understand']")</f>
        <v>['The application', 'help', 'easy', 'subscribe', 'Indihome', 'features', 'complete', 'easy', 'understand']</v>
      </c>
      <c r="D678" s="3">
        <v>5.0</v>
      </c>
    </row>
    <row r="679" ht="15.75" customHeight="1">
      <c r="A679" s="1">
        <v>700.0</v>
      </c>
      <c r="B679" s="3" t="s">
        <v>676</v>
      </c>
      <c r="C679" s="3" t="str">
        <f>IFERROR(__xludf.DUMMYFUNCTION("GOOGLETRANSLATE(B679,""id"",""en"")"),"['Update', 'The application', 'slow', 'Loading', 'Severe']")</f>
        <v>['Update', 'The application', 'slow', 'Loading', 'Severe']</v>
      </c>
      <c r="D679" s="3">
        <v>1.0</v>
      </c>
    </row>
    <row r="680" ht="15.75" customHeight="1">
      <c r="A680" s="1">
        <v>701.0</v>
      </c>
      <c r="B680" s="3" t="s">
        <v>677</v>
      </c>
      <c r="C680" s="3" t="str">
        <f>IFERROR(__xludf.DUMMYFUNCTION("GOOGLETRANSLATE(B680,""id"",""en"")"),"['application', 'Myindihome', 'Help', 'Features',' Feature ',' Complete ',' Make Easy ',' Dlm ',' Payment ',' Melek ',' Bill ',' Hopefully ',' Success', 'Myindihome', '']")</f>
        <v>['application', 'Myindihome', 'Help', 'Features',' Feature ',' Complete ',' Make Easy ',' Dlm ',' Payment ',' Melek ',' Bill ',' Hopefully ',' Success', 'Myindihome', '']</v>
      </c>
      <c r="D680" s="3">
        <v>5.0</v>
      </c>
    </row>
    <row r="681" ht="15.75" customHeight="1">
      <c r="A681" s="1">
        <v>702.0</v>
      </c>
      <c r="B681" s="3" t="s">
        <v>678</v>
      </c>
      <c r="C681" s="3" t="str">
        <f>IFERROR(__xludf.DUMMYFUNCTION("GOOGLETRANSLATE(B681,""id"",""en"")"),"['Display', 'application', 'good', 'easy', 'good', 'really', 'management', 'data', 'network', 'developing', 'features',' interesting ',' ']")</f>
        <v>['Display', 'application', 'good', 'easy', 'good', 'really', 'management', 'data', 'network', 'developing', 'features',' interesting ',' ']</v>
      </c>
      <c r="D681" s="3">
        <v>5.0</v>
      </c>
    </row>
    <row r="682" ht="15.75" customHeight="1">
      <c r="A682" s="1">
        <v>703.0</v>
      </c>
      <c r="B682" s="3" t="s">
        <v>679</v>
      </c>
      <c r="C682" s="3" t="str">
        <f>IFERROR(__xludf.DUMMYFUNCTION("GOOGLETRANSLATE(B682,""id"",""en"")"),"['Alhamdulillah', 'Indihome', 'work', 'easy', 'access',' Internet ',' TOP ',' Hopefully ',' In the future ',' Indihome ',' Success', 'Indihome', ' society service', '']")</f>
        <v>['Alhamdulillah', 'Indihome', 'work', 'easy', 'access',' Internet ',' TOP ',' Hopefully ',' In the future ',' Indihome ',' Success', 'Indihome', ' society service', '']</v>
      </c>
      <c r="D682" s="3">
        <v>5.0</v>
      </c>
    </row>
    <row r="683" ht="15.75" customHeight="1">
      <c r="A683" s="1">
        <v>704.0</v>
      </c>
      <c r="B683" s="3" t="s">
        <v>680</v>
      </c>
      <c r="C683" s="3" t="str">
        <f>IFERROR(__xludf.DUMMYFUNCTION("GOOGLETRANSLATE(B683,""id"",""en"")"),"['Display', 'menu', 'good', 'user', 'friendly', 'open', 'application', 'menu', 'menu', 'ram', 'GB', 'loading', ' Just ',' input ',' User ',' Indihome ',' Thank you ',' Please ',' Sorry ', ""]")</f>
        <v>['Display', 'menu', 'good', 'user', 'friendly', 'open', 'application', 'menu', 'menu', 'ram', 'GB', 'loading', ' Just ',' input ',' User ',' Indihome ',' Thank you ',' Please ',' Sorry ', "]</v>
      </c>
      <c r="D683" s="3">
        <v>1.0</v>
      </c>
    </row>
    <row r="684" ht="15.75" customHeight="1">
      <c r="A684" s="1">
        <v>705.0</v>
      </c>
      <c r="B684" s="3" t="s">
        <v>681</v>
      </c>
      <c r="C684" s="3" t="str">
        <f>IFERROR(__xludf.DUMMYFUNCTION("GOOGLETRANSLATE(B684,""id"",""en"")"),"['Indihome', 'good', 'deh', 'internet', 'as much as', 'worry', 'open', 'sosmed', 'scroll', 'tiktok']")</f>
        <v>['Indihome', 'good', 'deh', 'internet', 'as much as', 'worry', 'open', 'sosmed', 'scroll', 'tiktok']</v>
      </c>
      <c r="D684" s="3">
        <v>5.0</v>
      </c>
    </row>
    <row r="685" ht="15.75" customHeight="1">
      <c r="A685" s="1">
        <v>706.0</v>
      </c>
      <c r="B685" s="3" t="s">
        <v>682</v>
      </c>
      <c r="C685" s="3" t="str">
        <f>IFERROR(__xludf.DUMMYFUNCTION("GOOGLETRANSLATE(B685,""id"",""en"")"),"['Update', 'Persulit', 'report', 'damage']")</f>
        <v>['Update', 'Persulit', 'report', 'damage']</v>
      </c>
      <c r="D685" s="3">
        <v>1.0</v>
      </c>
    </row>
    <row r="686" ht="15.75" customHeight="1">
      <c r="A686" s="1">
        <v>707.0</v>
      </c>
      <c r="B686" s="3" t="s">
        <v>683</v>
      </c>
      <c r="C686" s="3" t="str">
        <f>IFERROR(__xludf.DUMMYFUNCTION("GOOGLETRANSLATE(B686,""id"",""en"")"),"['Application', 'Good', 'Easy', 'Use', 'Network', 'Leet', 'Lowding', 'Fast', 'Good', 'Anyway']")</f>
        <v>['Application', 'Good', 'Easy', 'Use', 'Network', 'Leet', 'Lowding', 'Fast', 'Good', 'Anyway']</v>
      </c>
      <c r="D686" s="3">
        <v>5.0</v>
      </c>
    </row>
    <row r="687" ht="15.75" customHeight="1">
      <c r="A687" s="1">
        <v>708.0</v>
      </c>
      <c r="B687" s="3" t="s">
        <v>684</v>
      </c>
      <c r="C687" s="3" t="str">
        <f>IFERROR(__xludf.DUMMYFUNCTION("GOOGLETRANSLATE(B687,""id"",""en"")"),"['Tools', 'complete', 'features', 'qualified', 'application', 'steady', 'really', 'contact', 'constraints', 'experienced', 'user', 'help']")</f>
        <v>['Tools', 'complete', 'features', 'qualified', 'application', 'steady', 'really', 'contact', 'constraints', 'experienced', 'user', 'help']</v>
      </c>
      <c r="D687" s="3">
        <v>5.0</v>
      </c>
    </row>
    <row r="688" ht="15.75" customHeight="1">
      <c r="A688" s="1">
        <v>709.0</v>
      </c>
      <c r="B688" s="3" t="s">
        <v>685</v>
      </c>
      <c r="C688" s="3" t="str">
        <f>IFERROR(__xludf.DUMMYFUNCTION("GOOGLETRANSLATE(B688,""id"",""en"")"),"['Complain', 'Loading', 'Loading', 'Severe', 'sincere', 'Complained', 'Customer']")</f>
        <v>['Complain', 'Loading', 'Loading', 'Severe', 'sincere', 'Complained', 'Customer']</v>
      </c>
      <c r="D688" s="3">
        <v>1.0</v>
      </c>
    </row>
    <row r="689" ht="15.75" customHeight="1">
      <c r="A689" s="1">
        <v>710.0</v>
      </c>
      <c r="B689" s="3" t="s">
        <v>686</v>
      </c>
      <c r="C689" s="3" t="str">
        <f>IFERROR(__xludf.DUMMYFUNCTION("GOOGLETRANSLATE(B689,""id"",""en"")"),"['APK', 'Good', 'Gaess',' Yukk ',' Download ',' APK ',' Nggk ',' Download ',' Nyesell ',' Lho ',' Ayok ',' Hurry ',' Friend ',' APK ',' Good ',' Bangettt ',' addicted ',' Download ',' APK ',' Gaes']")</f>
        <v>['APK', 'Good', 'Gaess',' Yukk ',' Download ',' APK ',' Nggk ',' Download ',' Nyesell ',' Lho ',' Ayok ',' Hurry ',' Friend ',' APK ',' Good ',' Bangettt ',' addicted ',' Download ',' APK ',' Gaes']</v>
      </c>
      <c r="D689" s="3">
        <v>5.0</v>
      </c>
    </row>
    <row r="690" ht="15.75" customHeight="1">
      <c r="A690" s="1">
        <v>711.0</v>
      </c>
      <c r="B690" s="3" t="s">
        <v>687</v>
      </c>
      <c r="C690" s="3" t="str">
        <f>IFERROR(__xludf.DUMMYFUNCTION("GOOGLETRANSLATE(B690,""id"",""en"")"),"['Leet', 'signal']")</f>
        <v>['Leet', 'signal']</v>
      </c>
      <c r="D690" s="3">
        <v>1.0</v>
      </c>
    </row>
    <row r="691" ht="15.75" customHeight="1">
      <c r="A691" s="1">
        <v>712.0</v>
      </c>
      <c r="B691" s="3" t="s">
        <v>688</v>
      </c>
      <c r="C691" s="3" t="str">
        <f>IFERROR(__xludf.DUMMYFUNCTION("GOOGLETRANSLATE(B691,""id"",""en"")"),"['application', 'makes it easy', 'set', 'Indihome', 'TTG', 'bills', 'etc.', '']")</f>
        <v>['application', 'makes it easy', 'set', 'Indihome', 'TTG', 'bills', 'etc.', '']</v>
      </c>
      <c r="D691" s="3">
        <v>5.0</v>
      </c>
    </row>
    <row r="692" ht="15.75" customHeight="1">
      <c r="A692" s="1">
        <v>713.0</v>
      </c>
      <c r="B692" s="3" t="s">
        <v>689</v>
      </c>
      <c r="C692" s="3" t="str">
        <f>IFERROR(__xludf.DUMMYFUNCTION("GOOGLETRANSLATE(B692,""id"",""en"")"),"['Feature', 'complete', 'helped', 'bills',' monthly ',' complaints', 'complaints',' hope ',' in the future ',' indiehome ',' improve ',' quality ',' ']")</f>
        <v>['Feature', 'complete', 'helped', 'bills',' monthly ',' complaints', 'complaints',' hope ',' in the future ',' indiehome ',' improve ',' quality ',' ']</v>
      </c>
      <c r="D692" s="3">
        <v>5.0</v>
      </c>
    </row>
    <row r="693" ht="15.75" customHeight="1">
      <c r="A693" s="1">
        <v>715.0</v>
      </c>
      <c r="B693" s="3" t="s">
        <v>690</v>
      </c>
      <c r="C693" s="3" t="str">
        <f>IFERROR(__xludf.DUMMYFUNCTION("GOOGLETRANSLATE(B693,""id"",""en"")"),"['Hopefully', 'Indihome', 'developed', 'features', 'Uda', 'complete', 'help', 'really', 'wfh']")</f>
        <v>['Hopefully', 'Indihome', 'developed', 'features', 'Uda', 'complete', 'help', 'really', 'wfh']</v>
      </c>
      <c r="D693" s="3">
        <v>5.0</v>
      </c>
    </row>
    <row r="694" ht="15.75" customHeight="1">
      <c r="A694" s="1">
        <v>716.0</v>
      </c>
      <c r="B694" s="3" t="s">
        <v>691</v>
      </c>
      <c r="C694" s="3" t="str">
        <f>IFERROR(__xludf.DUMMYFUNCTION("GOOGLETRANSLATE(B694,""id"",""en"")"),"['Indihome', 'Please', 'Rates', 'Glooms', 'Donk', 'BUMN', 'Next to', 'Cheap', 'Inet', 'Rates', '']")</f>
        <v>['Indihome', 'Please', 'Rates', 'Glooms', 'Donk', 'BUMN', 'Next to', 'Cheap', 'Inet', 'Rates', '']</v>
      </c>
      <c r="D694" s="3">
        <v>5.0</v>
      </c>
    </row>
    <row r="695" ht="15.75" customHeight="1">
      <c r="A695" s="1">
        <v>718.0</v>
      </c>
      <c r="B695" s="3" t="s">
        <v>692</v>
      </c>
      <c r="C695" s="3" t="str">
        <f>IFERROR(__xludf.DUMMYFUNCTION("GOOGLETRANSLATE(B695,""id"",""en"")"),"['Version', 'heavy', 'complicated']")</f>
        <v>['Version', 'heavy', 'complicated']</v>
      </c>
      <c r="D695" s="3">
        <v>1.0</v>
      </c>
    </row>
    <row r="696" ht="15.75" customHeight="1">
      <c r="A696" s="1">
        <v>719.0</v>
      </c>
      <c r="B696" s="3" t="s">
        <v>693</v>
      </c>
      <c r="C696" s="3" t="str">
        <f>IFERROR(__xludf.DUMMYFUNCTION("GOOGLETRANSLATE(B696,""id"",""en"")"),"['access', 'data', 'server', 'slow', 'really', 'use', 'network', 'anything', 'tetep', 'slow', ""]")</f>
        <v>['access', 'data', 'server', 'slow', 'really', 'use', 'network', 'anything', 'tetep', 'slow', "]</v>
      </c>
      <c r="D696" s="3">
        <v>1.0</v>
      </c>
    </row>
    <row r="697" ht="15.75" customHeight="1">
      <c r="A697" s="1">
        <v>721.0</v>
      </c>
      <c r="B697" s="3" t="s">
        <v>694</v>
      </c>
      <c r="C697" s="3" t="str">
        <f>IFERROR(__xludf.DUMMYFUNCTION("GOOGLETRANSLATE(B697,""id"",""en"")"),"['company', 'class',' Telkom ',' application ',' comfortable ',' responsive ',' slow ',' update ',' data ',' menu ',' administration ',' customer ',' difficult ',' understand ',' highlighted ',' advertising ',' package ',' product ',' access', 'wrbsite', "&amp;"'official', 'telkom', 'hope', 'future', 'improvement' , 'Telkom', ""]")</f>
        <v>['company', 'class',' Telkom ',' application ',' comfortable ',' responsive ',' slow ',' update ',' data ',' menu ',' administration ',' customer ',' difficult ',' understand ',' highlighted ',' advertising ',' package ',' product ',' access', 'wrbsite', 'official', 'telkom', 'hope', 'future', 'improvement' , 'Telkom', "]</v>
      </c>
      <c r="D697" s="3">
        <v>2.0</v>
      </c>
    </row>
    <row r="698" ht="15.75" customHeight="1">
      <c r="A698" s="1">
        <v>722.0</v>
      </c>
      <c r="B698" s="3" t="s">
        <v>695</v>
      </c>
      <c r="C698" s="3" t="str">
        <f>IFERROR(__xludf.DUMMYFUNCTION("GOOGLETRANSLATE(B698,""id"",""en"")"),"['The application', 'help', 'application', 'complete', 'cool', 'quota', 'left', 'shown', 'trims', 'myindihome']")</f>
        <v>['The application', 'help', 'application', 'complete', 'cool', 'quota', 'left', 'shown', 'trims', 'myindihome']</v>
      </c>
      <c r="D698" s="3">
        <v>5.0</v>
      </c>
    </row>
    <row r="699" ht="15.75" customHeight="1">
      <c r="A699" s="1">
        <v>723.0</v>
      </c>
      <c r="B699" s="3" t="s">
        <v>696</v>
      </c>
      <c r="C699" s="3" t="str">
        <f>IFERROR(__xludf.DUMMYFUNCTION("GOOGLETRANSLATE(B699,""id"",""en"")"),"['', 'update', 'lemotttttt']")</f>
        <v>['', 'update', 'lemotttttt']</v>
      </c>
      <c r="D699" s="3">
        <v>1.0</v>
      </c>
    </row>
    <row r="700" ht="15.75" customHeight="1">
      <c r="A700" s="1">
        <v>724.0</v>
      </c>
      <c r="B700" s="3" t="s">
        <v>697</v>
      </c>
      <c r="C700" s="3" t="str">
        <f>IFERROR(__xludf.DUMMYFUNCTION("GOOGLETRANSLATE(B700,""id"",""en"")"),"['Lemot', 'Please', 'FIRE', 'VERSION']")</f>
        <v>['Lemot', 'Please', 'FIRE', 'VERSION']</v>
      </c>
      <c r="D700" s="3">
        <v>1.0</v>
      </c>
    </row>
    <row r="701" ht="15.75" customHeight="1">
      <c r="A701" s="1">
        <v>725.0</v>
      </c>
      <c r="B701" s="3" t="s">
        <v>698</v>
      </c>
      <c r="C701" s="3" t="str">
        <f>IFERROR(__xludf.DUMMYFUNCTION("GOOGLETRANSLATE(B701,""id"",""en"")"),"['expensive', 'slow', 'move']")</f>
        <v>['expensive', 'slow', 'move']</v>
      </c>
      <c r="D701" s="3">
        <v>1.0</v>
      </c>
    </row>
    <row r="702" ht="15.75" customHeight="1">
      <c r="A702" s="1">
        <v>726.0</v>
      </c>
      <c r="B702" s="3" t="s">
        <v>699</v>
      </c>
      <c r="C702" s="3" t="str">
        <f>IFERROR(__xludf.DUMMYFUNCTION("GOOGLETRANSLATE(B702,""id"",""en"")"),"['Oiyah', 'Discuss', 'Application', 'Display', 'Quality', 'Application', 'Good', 'Like', 'Look', ""]")</f>
        <v>['Oiyah', 'Discuss', 'Application', 'Display', 'Quality', 'Application', 'Good', 'Like', 'Look', "]</v>
      </c>
      <c r="D702" s="3">
        <v>5.0</v>
      </c>
    </row>
    <row r="703" ht="15.75" customHeight="1">
      <c r="A703" s="1">
        <v>727.0</v>
      </c>
      <c r="B703" s="3" t="s">
        <v>700</v>
      </c>
      <c r="C703" s="3" t="str">
        <f>IFERROR(__xludf.DUMMYFUNCTION("GOOGLETRANSLATE(B703,""id"",""en"")"),"['Helping', 'Details', 'Indihome', 'Make Easy', 'Constraints', 'Stay', 'Complain', 'Application', '']")</f>
        <v>['Helping', 'Details', 'Indihome', 'Make Easy', 'Constraints', 'Stay', 'Complain', 'Application', '']</v>
      </c>
      <c r="D703" s="3">
        <v>5.0</v>
      </c>
    </row>
    <row r="704" ht="15.75" customHeight="1">
      <c r="A704" s="1">
        <v>728.0</v>
      </c>
      <c r="B704" s="3" t="s">
        <v>701</v>
      </c>
      <c r="C704" s="3" t="str">
        <f>IFERROR(__xludf.DUMMYFUNCTION("GOOGLETRANSLATE(B704,""id"",""en"")"),"['Service', 'good', 'hope', 'in the future', 'good']")</f>
        <v>['Service', 'good', 'hope', 'in the future', 'good']</v>
      </c>
      <c r="D704" s="3">
        <v>5.0</v>
      </c>
    </row>
    <row r="705" ht="15.75" customHeight="1">
      <c r="A705" s="1">
        <v>729.0</v>
      </c>
      <c r="B705" s="3" t="s">
        <v>702</v>
      </c>
      <c r="C705" s="3" t="str">
        <f>IFERROR(__xludf.DUMMYFUNCTION("GOOGLETRANSLATE(B705,""id"",""en"")"),"['Interface', 'good', 'jdi', 'slow', 'loading', 'content', 'menu', 'then', 'gabisa', 'renew', 'speed', 'told', ' Activate ',' Package ',' subscription ',' ']")</f>
        <v>['Interface', 'good', 'jdi', 'slow', 'loading', 'content', 'menu', 'then', 'gabisa', 'renew', 'speed', 'told', ' Activate ',' Package ',' subscription ',' ']</v>
      </c>
      <c r="D705" s="3">
        <v>2.0</v>
      </c>
    </row>
    <row r="706" ht="15.75" customHeight="1">
      <c r="A706" s="1">
        <v>730.0</v>
      </c>
      <c r="B706" s="3" t="s">
        <v>703</v>
      </c>
      <c r="C706" s="3" t="str">
        <f>IFERROR(__xludf.DUMMYFUNCTION("GOOGLETRANSLATE(B706,""id"",""en"")"),"['features', 'good', 'makes it easy', 'subscribe', 'level', 'sometimes', 'close', 'slow']")</f>
        <v>['features', 'good', 'makes it easy', 'subscribe', 'level', 'sometimes', 'close', 'slow']</v>
      </c>
      <c r="D706" s="3">
        <v>5.0</v>
      </c>
    </row>
    <row r="707" ht="15.75" customHeight="1">
      <c r="A707" s="1">
        <v>731.0</v>
      </c>
      <c r="B707" s="3" t="s">
        <v>704</v>
      </c>
      <c r="C707" s="3" t="str">
        <f>IFERROR(__xludf.DUMMYFUNCTION("GOOGLETRANSLATE(B707,""id"",""en"")"),"['Service', 'improvement', 'network', 'fast', 'steady', '']")</f>
        <v>['Service', 'improvement', 'network', 'fast', 'steady', '']</v>
      </c>
      <c r="D707" s="3">
        <v>5.0</v>
      </c>
    </row>
    <row r="708" ht="15.75" customHeight="1">
      <c r="A708" s="1">
        <v>732.0</v>
      </c>
      <c r="B708" s="3" t="s">
        <v>705</v>
      </c>
      <c r="C708" s="3" t="str">
        <f>IFERROR(__xludf.DUMMYFUNCTION("GOOGLETRANSLATE(B708,""id"",""en"")"),"['update', 'yaa', 'update', 'that's',' min ',' synchronization ',' data ',' entry ',' mintain ',' code ',' verification ',' number ',' Lost ',' update ',' number ',' TLP ',' solution ',' what ',' min ',' uninstall ',' application ',' yaa ',' salespeople '"&amp;",' ngliat ',' application ' , 'gada', 'benefits', 'user', 'friendly', 'love', 'star', 'yaa', 'love', ""]")</f>
        <v>['update', 'yaa', 'update', 'that's',' min ',' synchronization ',' data ',' entry ',' mintain ',' code ',' verification ',' number ',' Lost ',' update ',' number ',' TLP ',' solution ',' what ',' min ',' uninstall ',' application ',' yaa ',' salespeople ',' ngliat ',' application ' , 'gada', 'benefits', 'user', 'friendly', 'love', 'star', 'yaa', 'love', "]</v>
      </c>
      <c r="D708" s="3">
        <v>1.0</v>
      </c>
    </row>
    <row r="709" ht="15.75" customHeight="1">
      <c r="A709" s="1">
        <v>733.0</v>
      </c>
      <c r="B709" s="3" t="s">
        <v>706</v>
      </c>
      <c r="C709" s="3" t="str">
        <f>IFERROR(__xludf.DUMMYFUNCTION("GOOGLETRANSLATE(B709,""id"",""en"")"),"['Good', 'application', 'communication', 'bad', 'Indihome', 'Most', 'robot', 'operator', 'stupid', 'application', 'most', 'application', ' complicated ',' application ',' confirm ',' reset ',' repeated ',' comfortable ',' repeat ',' reset ',' work ',' vai"&amp;"n ',' was', 'wasted', 'waste' , 'Practical', 'Teparted', 'Tele', 'Lumin', 'Disappointing', ""]")</f>
        <v>['Good', 'application', 'communication', 'bad', 'Indihome', 'Most', 'robot', 'operator', 'stupid', 'application', 'most', 'application', ' complicated ',' application ',' confirm ',' reset ',' repeated ',' comfortable ',' repeat ',' reset ',' work ',' vain ',' was', 'wasted', 'waste' , 'Practical', 'Teparted', 'Tele', 'Lumin', 'Disappointing', "]</v>
      </c>
      <c r="D709" s="3">
        <v>1.0</v>
      </c>
    </row>
    <row r="710" ht="15.75" customHeight="1">
      <c r="A710" s="1">
        <v>734.0</v>
      </c>
      <c r="B710" s="3" t="s">
        <v>707</v>
      </c>
      <c r="C710" s="3" t="str">
        <f>IFERROR(__xludf.DUMMYFUNCTION("GOOGLETRANSLATE(B710,""id"",""en"")"),"['delicious', 'update', 'light', 'easy', 'understand', 'update', 'heavy', 'application']")</f>
        <v>['delicious', 'update', 'light', 'easy', 'understand', 'update', 'heavy', 'application']</v>
      </c>
      <c r="D710" s="3">
        <v>2.0</v>
      </c>
    </row>
    <row r="711" ht="15.75" customHeight="1">
      <c r="A711" s="1">
        <v>735.0</v>
      </c>
      <c r="B711" s="3" t="s">
        <v>708</v>
      </c>
      <c r="C711" s="3" t="str">
        <f>IFERROR(__xludf.DUMMYFUNCTION("GOOGLETRANSLATE(B711,""id"",""en"")"),"['After', 'update', 'application', 'slow', 'bad', 'compared to', 'app', 'comfortable', 'used', 'check', 'user', 'Makai', ' Gabisa ',' please ',' developer ',' app ',' fixed ']")</f>
        <v>['After', 'update', 'application', 'slow', 'bad', 'compared to', 'app', 'comfortable', 'used', 'check', 'user', 'Makai', ' Gabisa ',' please ',' developer ',' app ',' fixed ']</v>
      </c>
      <c r="D711" s="3">
        <v>1.0</v>
      </c>
    </row>
    <row r="712" ht="15.75" customHeight="1">
      <c r="A712" s="1">
        <v>736.0</v>
      </c>
      <c r="B712" s="3" t="s">
        <v>709</v>
      </c>
      <c r="C712" s="3" t="str">
        <f>IFERROR(__xludf.DUMMYFUNCTION("GOOGLETRANSLATE(B712,""id"",""en"")"),"['happy', 'application', 'indihome', '']")</f>
        <v>['happy', 'application', 'indihome', '']</v>
      </c>
      <c r="D712" s="3">
        <v>5.0</v>
      </c>
    </row>
    <row r="713" ht="15.75" customHeight="1">
      <c r="A713" s="1">
        <v>738.0</v>
      </c>
      <c r="B713" s="3" t="s">
        <v>710</v>
      </c>
      <c r="C713" s="3" t="str">
        <f>IFERROR(__xludf.DUMMYFUNCTION("GOOGLETRANSLATE(B713,""id"",""en"")"),"['Out', 'Upgrade', 'Login']")</f>
        <v>['Out', 'Upgrade', 'Login']</v>
      </c>
      <c r="D713" s="3">
        <v>1.0</v>
      </c>
    </row>
    <row r="714" ht="15.75" customHeight="1">
      <c r="A714" s="1">
        <v>739.0</v>
      </c>
      <c r="B714" s="3" t="s">
        <v>711</v>
      </c>
      <c r="C714" s="3" t="str">
        <f>IFERROR(__xludf.DUMMYFUNCTION("GOOGLETRANSLATE(B714,""id"",""en"")"),"['Ngak', 'submit', 'complaint', 'APK', 'newest', 'damage', 'system', 'wifi', 'ket', 'network', 'Los',' report ',' APK ',' button ',' Submission ',' haduhh ',' expensive ',' expensive ',' pairs', 'TPI', 'service']")</f>
        <v>['Ngak', 'submit', 'complaint', 'APK', 'newest', 'damage', 'system', 'wifi', 'ket', 'network', 'Los',' report ',' APK ',' button ',' Submission ',' haduhh ',' expensive ',' expensive ',' pairs', 'TPI', 'service']</v>
      </c>
      <c r="D714" s="3">
        <v>1.0</v>
      </c>
    </row>
    <row r="715" ht="15.75" customHeight="1">
      <c r="A715" s="1">
        <v>740.0</v>
      </c>
      <c r="B715" s="3" t="s">
        <v>712</v>
      </c>
      <c r="C715" s="3" t="str">
        <f>IFERROR(__xludf.DUMMYFUNCTION("GOOGLETRANSLATE(B715,""id"",""en"")"),"['What', 'Ujan', 'Ujan', 'Problem', 'Please', 'Repaired', 'Signal', 'Ujan', 'Ngeleg']")</f>
        <v>['What', 'Ujan', 'Ujan', 'Problem', 'Please', 'Repaired', 'Signal', 'Ujan', 'Ngeleg']</v>
      </c>
      <c r="D715" s="3">
        <v>1.0</v>
      </c>
    </row>
    <row r="716" ht="15.75" customHeight="1">
      <c r="A716" s="1">
        <v>741.0</v>
      </c>
      <c r="B716" s="3" t="s">
        <v>713</v>
      </c>
      <c r="C716" s="3" t="str">
        <f>IFERROR(__xludf.DUMMYFUNCTION("GOOGLETRANSLATE(B716,""id"",""en"")"),"['Update', 'Hadehhhh', 'Check', 'History', 'Bill', 'Open', '']")</f>
        <v>['Update', 'Hadehhhh', 'Check', 'History', 'Bill', 'Open', '']</v>
      </c>
      <c r="D716" s="3">
        <v>1.0</v>
      </c>
    </row>
    <row r="717" ht="15.75" customHeight="1">
      <c r="A717" s="1">
        <v>742.0</v>
      </c>
      <c r="B717" s="3" t="s">
        <v>714</v>
      </c>
      <c r="C717" s="3" t="str">
        <f>IFERROR(__xludf.DUMMYFUNCTION("GOOGLETRANSLATE(B717,""id"",""en"")"),"['It's easy', 'service', 'brp', 'bills', 'spend', 'brp', 'package']")</f>
        <v>['It's easy', 'service', 'brp', 'bills', 'spend', 'brp', 'package']</v>
      </c>
      <c r="D717" s="3">
        <v>5.0</v>
      </c>
    </row>
    <row r="718" ht="15.75" customHeight="1">
      <c r="A718" s="1">
        <v>743.0</v>
      </c>
      <c r="B718" s="3" t="s">
        <v>715</v>
      </c>
      <c r="C718" s="3" t="str">
        <f>IFERROR(__xludf.DUMMYFUNCTION("GOOGLETRANSLATE(B718,""id"",""en"")"),"['really good', '']")</f>
        <v>['really good', '']</v>
      </c>
      <c r="D718" s="3">
        <v>5.0</v>
      </c>
    </row>
    <row r="719" ht="15.75" customHeight="1">
      <c r="A719" s="1">
        <v>744.0</v>
      </c>
      <c r="B719" s="3" t="s">
        <v>716</v>
      </c>
      <c r="C719" s="3" t="str">
        <f>IFERROR(__xludf.DUMMYFUNCTION("GOOGLETRANSLATE(B719,""id"",""en"")"),"['Please', 'gmn', 'yaa', 'stlh', 'updated', 'mlh', 'check', 'user', 'kliatan', 'before', 'update', 'column', ' users', 'Wife', 'skrg', 'gkda', 'udh', 'check', 'gktw', 'dmnnya', 'admin', 'tlg', 'info', 'gmn']")</f>
        <v>['Please', 'gmn', 'yaa', 'stlh', 'updated', 'mlh', 'check', 'user', 'kliatan', 'before', 'update', 'column', ' users', 'Wife', 'skrg', 'gkda', 'udh', 'check', 'gktw', 'dmnnya', 'admin', 'tlg', 'info', 'gmn']</v>
      </c>
      <c r="D719" s="3">
        <v>2.0</v>
      </c>
    </row>
    <row r="720" ht="15.75" customHeight="1">
      <c r="A720" s="1">
        <v>745.0</v>
      </c>
      <c r="B720" s="3" t="s">
        <v>717</v>
      </c>
      <c r="C720" s="3" t="str">
        <f>IFERROR(__xludf.DUMMYFUNCTION("GOOGLETRANSLATE(B720,""id"",""en"")"),"['really', 'disorders',' like ',' features', 'service', 'nya', 'bnyk', 'choice', 'bnyk', 'recommended', 'hopefully', 'future', ' maybe ',' yaa ',' no ',' bnyk ',' disorder ',' amin ',' success', 'basically', ""]")</f>
        <v>['really', 'disorders',' like ',' features', 'service', 'nya', 'bnyk', 'choice', 'bnyk', 'recommended', 'hopefully', 'future', ' maybe ',' yaa ',' no ',' bnyk ',' disorder ',' amin ',' success', 'basically', "]</v>
      </c>
      <c r="D720" s="3">
        <v>5.0</v>
      </c>
    </row>
    <row r="721" ht="15.75" customHeight="1">
      <c r="A721" s="1">
        <v>746.0</v>
      </c>
      <c r="B721" s="3" t="s">
        <v>718</v>
      </c>
      <c r="C721" s="3" t="str">
        <f>IFERROR(__xludf.DUMMYFUNCTION("GOOGLETRANSLATE(B721,""id"",""en"")"),"['klw', 'Jang', 'release', 'app', 'app', 'bill', 'the rest', 'verification', 'email', 'code', 'send', '']")</f>
        <v>['klw', 'Jang', 'release', 'app', 'app', 'bill', 'the rest', 'verification', 'email', 'code', 'send', '']</v>
      </c>
      <c r="D721" s="3">
        <v>1.0</v>
      </c>
    </row>
    <row r="722" ht="15.75" customHeight="1">
      <c r="A722" s="1">
        <v>747.0</v>
      </c>
      <c r="B722" s="3" t="s">
        <v>719</v>
      </c>
      <c r="C722" s="3" t="str">
        <f>IFERROR(__xludf.DUMMYFUNCTION("GOOGLETRANSLATE(B722,""id"",""en"")"),"['Gini', 'yak', 'yes', 'gini', ""]")</f>
        <v>['Gini', 'yak', 'yes', 'gini', "]</v>
      </c>
      <c r="D722" s="3">
        <v>1.0</v>
      </c>
    </row>
    <row r="723" ht="15.75" customHeight="1">
      <c r="A723" s="1">
        <v>748.0</v>
      </c>
      <c r="B723" s="3" t="s">
        <v>720</v>
      </c>
      <c r="C723" s="3" t="str">
        <f>IFERROR(__xludf.DUMMYFUNCTION("GOOGLETRANSLATE(B723,""id"",""en"")"),"['Good', 'service']")</f>
        <v>['Good', 'service']</v>
      </c>
      <c r="D723" s="3">
        <v>5.0</v>
      </c>
    </row>
    <row r="724" ht="15.75" customHeight="1">
      <c r="A724" s="1">
        <v>749.0</v>
      </c>
      <c r="B724" s="3" t="s">
        <v>14</v>
      </c>
      <c r="C724" s="3" t="str">
        <f>IFERROR(__xludf.DUMMYFUNCTION("GOOGLETRANSLATE(B724,""id"",""en"")"),"Of course")</f>
        <v>Of course</v>
      </c>
      <c r="D724" s="3">
        <v>1.0</v>
      </c>
    </row>
    <row r="725" ht="15.75" customHeight="1">
      <c r="A725" s="1">
        <v>750.0</v>
      </c>
      <c r="B725" s="3" t="s">
        <v>721</v>
      </c>
      <c r="C725" s="3" t="str">
        <f>IFERROR(__xludf.DUMMYFUNCTION("GOOGLETRANSLATE(B725,""id"",""en"")"),"['Complete', 'msh', 'bug']")</f>
        <v>['Complete', 'msh', 'bug']</v>
      </c>
      <c r="D725" s="3">
        <v>4.0</v>
      </c>
    </row>
    <row r="726" ht="15.75" customHeight="1">
      <c r="A726" s="1">
        <v>751.0</v>
      </c>
      <c r="B726" s="3" t="s">
        <v>722</v>
      </c>
      <c r="C726" s="3" t="str">
        <f>IFERROR(__xludf.DUMMYFUNCTION("GOOGLETRANSLATE(B726,""id"",""en"")"),"['Indihome', 'Difficult', 'Update', 'Google', 'Play', 'Store', 'Yaaaaa', 'pepayhh']")</f>
        <v>['Indihome', 'Difficult', 'Update', 'Google', 'Play', 'Store', 'Yaaaaa', 'pepayhh']</v>
      </c>
      <c r="D726" s="3">
        <v>1.0</v>
      </c>
    </row>
    <row r="727" ht="15.75" customHeight="1">
      <c r="A727" s="1">
        <v>752.0</v>
      </c>
      <c r="B727" s="3" t="s">
        <v>723</v>
      </c>
      <c r="C727" s="3" t="str">
        <f>IFERROR(__xludf.DUMMYFUNCTION("GOOGLETRANSLATE(B727,""id"",""en"")"),"['Upgrade', 'difficult', 'entry', '']")</f>
        <v>['Upgrade', 'difficult', 'entry', '']</v>
      </c>
      <c r="D727" s="3">
        <v>1.0</v>
      </c>
    </row>
    <row r="728" ht="15.75" customHeight="1">
      <c r="A728" s="1">
        <v>753.0</v>
      </c>
      <c r="B728" s="3" t="s">
        <v>724</v>
      </c>
      <c r="C728" s="3" t="str">
        <f>IFERROR(__xludf.DUMMYFUNCTION("GOOGLETRANSLATE(B728,""id"",""en"")"),"['Update', 'Latest', 'App', 'Indihome', 'Maintain', 'Quality', 'Network', 'Internet']")</f>
        <v>['Update', 'Latest', 'App', 'Indihome', 'Maintain', 'Quality', 'Network', 'Internet']</v>
      </c>
      <c r="D728" s="3">
        <v>5.0</v>
      </c>
    </row>
    <row r="729" ht="15.75" customHeight="1">
      <c r="A729" s="1">
        <v>754.0</v>
      </c>
      <c r="B729" s="3" t="s">
        <v>725</v>
      </c>
      <c r="C729" s="3" t="str">
        <f>IFERROR(__xludf.DUMMYFUNCTION("GOOGLETRANSLATE(B729,""id"",""en"")"),"['Good', 'help']")</f>
        <v>['Good', 'help']</v>
      </c>
      <c r="D729" s="3">
        <v>5.0</v>
      </c>
    </row>
    <row r="730" ht="15.75" customHeight="1">
      <c r="A730" s="1">
        <v>755.0</v>
      </c>
      <c r="B730" s="3" t="s">
        <v>726</v>
      </c>
      <c r="C730" s="3" t="str">
        <f>IFERROR(__xludf.DUMMYFUNCTION("GOOGLETRANSLATE(B730,""id"",""en"")"),"['application', 'good']")</f>
        <v>['application', 'good']</v>
      </c>
      <c r="D730" s="3">
        <v>5.0</v>
      </c>
    </row>
    <row r="731" ht="15.75" customHeight="1">
      <c r="A731" s="1">
        <v>757.0</v>
      </c>
      <c r="B731" s="3" t="s">
        <v>727</v>
      </c>
      <c r="C731" s="3" t="str">
        <f>IFERROR(__xludf.DUMMYFUNCTION("GOOGLETRANSLATE(B731,""id"",""en"")"),"['internet', 'the application', 'slow', 'access',' application ',' myindihome ',' crazy ',' first ',' access', 'internet', 'Mbps',' watch ',' YouTube ',' Blessed ',' Quality ',' Sorry ',' tired ',' complement ',' application ',' hypertension ',' first ','"&amp;" access', 'slow', '']")</f>
        <v>['internet', 'the application', 'slow', 'access',' application ',' myindihome ',' crazy ',' first ',' access', 'internet', 'Mbps',' watch ',' YouTube ',' Blessed ',' Quality ',' Sorry ',' tired ',' complement ',' application ',' hypertension ',' first ',' access', 'slow', '']</v>
      </c>
      <c r="D731" s="3">
        <v>1.0</v>
      </c>
    </row>
    <row r="732" ht="15.75" customHeight="1">
      <c r="A732" s="1">
        <v>758.0</v>
      </c>
      <c r="B732" s="3" t="s">
        <v>728</v>
      </c>
      <c r="C732" s="3" t="str">
        <f>IFERROR(__xludf.DUMMYFUNCTION("GOOGLETRANSLATE(B732,""id"",""en"")"),"['update', 'ugly', 'good', 'dlu', 'slow', 'most', 'promotion']")</f>
        <v>['update', 'ugly', 'good', 'dlu', 'slow', 'most', 'promotion']</v>
      </c>
      <c r="D732" s="3">
        <v>2.0</v>
      </c>
    </row>
    <row r="733" ht="15.75" customHeight="1">
      <c r="A733" s="1">
        <v>759.0</v>
      </c>
      <c r="B733" s="3" t="s">
        <v>729</v>
      </c>
      <c r="C733" s="3" t="str">
        <f>IFERROR(__xludf.DUMMYFUNCTION("GOOGLETRANSLATE(B733,""id"",""en"")"),"['Helpful', 'response', 'fast', 'overcome', 'fast', 'thanks', 'indihome', '']")</f>
        <v>['Helpful', 'response', 'fast', 'overcome', 'fast', 'thanks', 'indihome', '']</v>
      </c>
      <c r="D733" s="3">
        <v>5.0</v>
      </c>
    </row>
    <row r="734" ht="15.75" customHeight="1">
      <c r="A734" s="1">
        <v>760.0</v>
      </c>
      <c r="B734" s="3" t="s">
        <v>730</v>
      </c>
      <c r="C734" s="3" t="str">
        <f>IFERROR(__xludf.DUMMYFUNCTION("GOOGLETRANSLATE(B734,""id"",""en"")"),"['update', 'application', 'heavy', 'logout', 'features', 'in it', 'complete', 'make it easy', ""]")</f>
        <v>['update', 'application', 'heavy', 'logout', 'features', 'in it', 'complete', 'make it easy', "]</v>
      </c>
      <c r="D734" s="3">
        <v>2.0</v>
      </c>
    </row>
    <row r="735" ht="15.75" customHeight="1">
      <c r="A735" s="1">
        <v>761.0</v>
      </c>
      <c r="B735" s="3" t="s">
        <v>731</v>
      </c>
      <c r="C735" s="3" t="str">
        <f>IFERROR(__xludf.DUMMYFUNCTION("GOOGLETRANSLATE(B735,""id"",""en"")"),"['friend', 'friend', 'upgrade', 'slow', 'in', 'improvement', 'service', 'vitur', 'confused', 'example', 'exchange', 'Voint', ' Kyk ',' Easy ',' Anyway ',' Upgrade ',' Ribet ',' Bet ',' Trims', 'Sorry', ""]")</f>
        <v>['friend', 'friend', 'upgrade', 'slow', 'in', 'improvement', 'service', 'vitur', 'confused', 'example', 'exchange', 'Voint', ' Kyk ',' Easy ',' Anyway ',' Upgrade ',' Ribet ',' Bet ',' Trims', 'Sorry', "]</v>
      </c>
      <c r="D735" s="3">
        <v>1.0</v>
      </c>
    </row>
    <row r="736" ht="15.75" customHeight="1">
      <c r="A736" s="1">
        <v>762.0</v>
      </c>
      <c r="B736" s="3" t="s">
        <v>732</v>
      </c>
      <c r="C736" s="3" t="str">
        <f>IFERROR(__xludf.DUMMYFUNCTION("GOOGLETRANSLATE(B736,""id"",""en"")"),"['See', 'use', 'internet', 'per month', '']")</f>
        <v>['See', 'use', 'internet', 'per month', '']</v>
      </c>
      <c r="D736" s="3">
        <v>5.0</v>
      </c>
    </row>
    <row r="737" ht="15.75" customHeight="1">
      <c r="A737" s="1">
        <v>764.0</v>
      </c>
      <c r="B737" s="3" t="s">
        <v>733</v>
      </c>
      <c r="C737" s="3" t="str">
        <f>IFERROR(__xludf.DUMMYFUNCTION("GOOGLETRANSLATE(B737,""id"",""en"")"),"['Application', 'ugly', 'loading', 'PLN', 'Telkom', 'application', 'ugly', 'emotion', 'open', 'application', ""]")</f>
        <v>['Application', 'ugly', 'loading', 'PLN', 'Telkom', 'application', 'ugly', 'emotion', 'open', 'application', "]</v>
      </c>
      <c r="D737" s="3">
        <v>1.0</v>
      </c>
    </row>
    <row r="738" ht="15.75" customHeight="1">
      <c r="A738" s="1">
        <v>765.0</v>
      </c>
      <c r="B738" s="3" t="s">
        <v>734</v>
      </c>
      <c r="C738" s="3" t="str">
        <f>IFERROR(__xludf.DUMMYFUNCTION("GOOGLETRANSLATE(B738,""id"",""en"")"),"['Application', 'Not bad', 'Menbanti', 'check', 'bills',' internet ',' use ',' data ',' a month ',' drawback ',' server ',' like ',' Down ',' ']")</f>
        <v>['Application', 'Not bad', 'Menbanti', 'check', 'bills',' internet ',' use ',' data ',' a month ',' drawback ',' server ',' like ',' Down ',' ']</v>
      </c>
      <c r="D738" s="3">
        <v>5.0</v>
      </c>
    </row>
    <row r="739" ht="15.75" customHeight="1">
      <c r="A739" s="1">
        <v>766.0</v>
      </c>
      <c r="B739" s="3" t="s">
        <v>735</v>
      </c>
      <c r="C739" s="3" t="str">
        <f>IFERROR(__xludf.DUMMYFUNCTION("GOOGLETRANSLATE(B739,""id"",""en"")"),"['tragic', 'internet', 'Indonesia', 'country', 'neighbor', 'have', 'service', 'best', 'stability', 'internet', 'wifi', 'Behh', ' touching ',' operator ',' wifi ',' slow ',' stable ',' response ',' technical ',' blablabla ',' wifi ',' suggested ',' interne"&amp;"t ',' hours', 'stable' , 'Loving', 'products', 'country', '']")</f>
        <v>['tragic', 'internet', 'Indonesia', 'country', 'neighbor', 'have', 'service', 'best', 'stability', 'internet', 'wifi', 'Behh', ' touching ',' operator ',' wifi ',' slow ',' stable ',' response ',' technical ',' blablabla ',' wifi ',' suggested ',' internet ',' hours', 'stable' , 'Loving', 'products', 'country', '']</v>
      </c>
      <c r="D739" s="3">
        <v>1.0</v>
      </c>
    </row>
    <row r="740" ht="15.75" customHeight="1">
      <c r="A740" s="1">
        <v>767.0</v>
      </c>
      <c r="B740" s="3" t="s">
        <v>736</v>
      </c>
      <c r="C740" s="3" t="str">
        <f>IFERROR(__xludf.DUMMYFUNCTION("GOOGLETRANSLATE(B740,""id"",""en"")"),"['thank', 'love', 'Indihome', 'free', 'internet', 'as much as',' at home ',' network ',' Anyway ',' Indihome ',' steady ',' Deh ',' ']")</f>
        <v>['thank', 'love', 'Indihome', 'free', 'internet', 'as much as',' at home ',' network ',' Anyway ',' Indihome ',' steady ',' Deh ',' ']</v>
      </c>
      <c r="D740" s="3">
        <v>5.0</v>
      </c>
    </row>
    <row r="741" ht="15.75" customHeight="1">
      <c r="A741" s="1">
        <v>769.0</v>
      </c>
      <c r="B741" s="3" t="s">
        <v>737</v>
      </c>
      <c r="C741" s="3" t="str">
        <f>IFERROR(__xludf.DUMMYFUNCTION("GOOGLETRANSLATE(B741,""id"",""en"")"),"['apk', 'error', 'sometimes', 'logout', 'sndiri', 'payment', 'slow']")</f>
        <v>['apk', 'error', 'sometimes', 'logout', 'sndiri', 'payment', 'slow']</v>
      </c>
      <c r="D741" s="3">
        <v>1.0</v>
      </c>
    </row>
    <row r="742" ht="15.75" customHeight="1">
      <c r="A742" s="1">
        <v>770.0</v>
      </c>
      <c r="B742" s="3" t="s">
        <v>738</v>
      </c>
      <c r="C742" s="3" t="str">
        <f>IFERROR(__xludf.DUMMYFUNCTION("GOOGLETRANSLATE(B742,""id"",""en"")"),"['renewal', 'log', 'out', 'already', 'input', 'pass', ""]")</f>
        <v>['renewal', 'log', 'out', 'already', 'input', 'pass', "]</v>
      </c>
      <c r="D742" s="3">
        <v>1.0</v>
      </c>
    </row>
    <row r="743" ht="15.75" customHeight="1">
      <c r="A743" s="1">
        <v>771.0</v>
      </c>
      <c r="B743" s="3" t="s">
        <v>739</v>
      </c>
      <c r="C743" s="3" t="str">
        <f>IFERROR(__xludf.DUMMYFUNCTION("GOOGLETRANSLATE(B743,""id"",""en"")"),"['Informative']")</f>
        <v>['Informative']</v>
      </c>
      <c r="D743" s="3">
        <v>5.0</v>
      </c>
    </row>
    <row r="744" ht="15.75" customHeight="1">
      <c r="A744" s="1">
        <v>772.0</v>
      </c>
      <c r="B744" s="3" t="s">
        <v>740</v>
      </c>
      <c r="C744" s="3" t="str">
        <f>IFERROR(__xludf.DUMMYFUNCTION("GOOGLETRANSLATE(B744,""id"",""en"")"),"['It's easy', 'user', 'information', 'complete', 'speed', 'stable', 'match', 'user', 'internet', 'cheap', 'fast', 'fix', ' system ',' thank you ']")</f>
        <v>['It's easy', 'user', 'information', 'complete', 'speed', 'stable', 'match', 'user', 'internet', 'cheap', 'fast', 'fix', ' system ',' thank you ']</v>
      </c>
      <c r="D744" s="3">
        <v>5.0</v>
      </c>
    </row>
    <row r="745" ht="15.75" customHeight="1">
      <c r="A745" s="1">
        <v>773.0</v>
      </c>
      <c r="B745" s="3" t="s">
        <v>741</v>
      </c>
      <c r="C745" s="3" t="str">
        <f>IFERROR(__xludf.DUMMYFUNCTION("GOOGLETRANSLATE(B745,""id"",""en"")"),"['Application', 'Abis',' updated ',' Bener ',' Severe ',' already ',' logout ',' slow ',' bug ',' adehh ',' what ',' love ',' star', '']")</f>
        <v>['Application', 'Abis',' updated ',' Bener ',' Severe ',' already ',' logout ',' slow ',' bug ',' adehh ',' what ',' love ',' star', '']</v>
      </c>
      <c r="D745" s="3">
        <v>1.0</v>
      </c>
    </row>
    <row r="746" ht="15.75" customHeight="1">
      <c r="A746" s="1">
        <v>774.0</v>
      </c>
      <c r="B746" s="3" t="s">
        <v>742</v>
      </c>
      <c r="C746" s="3" t="str">
        <f>IFERROR(__xludf.DUMMYFUNCTION("GOOGLETRANSLATE(B746,""id"",""en"")"),"['Update', 'menu', 'functions']")</f>
        <v>['Update', 'menu', 'functions']</v>
      </c>
      <c r="D746" s="3">
        <v>5.0</v>
      </c>
    </row>
    <row r="747" ht="15.75" customHeight="1">
      <c r="A747" s="1">
        <v>775.0</v>
      </c>
      <c r="B747" s="3" t="s">
        <v>743</v>
      </c>
      <c r="C747" s="3" t="str">
        <f>IFERROR(__xludf.DUMMYFUNCTION("GOOGLETRANSLATE(B747,""id"",""en"")"),"['Kerenn']")</f>
        <v>['Kerenn']</v>
      </c>
      <c r="D747" s="3">
        <v>5.0</v>
      </c>
    </row>
    <row r="748" ht="15.75" customHeight="1">
      <c r="A748" s="1">
        <v>776.0</v>
      </c>
      <c r="B748" s="3" t="s">
        <v>744</v>
      </c>
      <c r="C748" s="3" t="str">
        <f>IFERROR(__xludf.DUMMYFUNCTION("GOOGLETRANSLATE(B748,""id"",""en"")"),"['connection', 'stable', 'minimal', 'trouble', 'the weather', 'ngabretzzzz', '']")</f>
        <v>['connection', 'stable', 'minimal', 'trouble', 'the weather', 'ngabretzzzz', '']</v>
      </c>
      <c r="D748" s="3">
        <v>5.0</v>
      </c>
    </row>
    <row r="749" ht="15.75" customHeight="1">
      <c r="A749" s="1">
        <v>777.0</v>
      </c>
      <c r="B749" s="3" t="s">
        <v>745</v>
      </c>
      <c r="C749" s="3" t="str">
        <f>IFERROR(__xludf.DUMMYFUNCTION("GOOGLETRANSLATE(B749,""id"",""en"")"),"['Wow', 'Happy', 'really', 'Application', 'Indihome', 'Latest', 'Easy', 'Help', 'Love', ""]")</f>
        <v>['Wow', 'Happy', 'really', 'Application', 'Indihome', 'Latest', 'Easy', 'Help', 'Love', "]</v>
      </c>
      <c r="D749" s="3">
        <v>5.0</v>
      </c>
    </row>
    <row r="750" ht="15.75" customHeight="1">
      <c r="A750" s="1">
        <v>778.0</v>
      </c>
      <c r="B750" s="3" t="s">
        <v>746</v>
      </c>
      <c r="C750" s="3" t="str">
        <f>IFERROR(__xludf.DUMMYFUNCTION("GOOGLETRANSLATE(B750,""id"",""en"")"),"['Interface', 'comfortable', 'easy', 'difficulty', 'login']")</f>
        <v>['Interface', 'comfortable', 'easy', 'difficulty', 'login']</v>
      </c>
      <c r="D750" s="3">
        <v>5.0</v>
      </c>
    </row>
    <row r="751" ht="15.75" customHeight="1">
      <c r="A751" s="1">
        <v>779.0</v>
      </c>
      <c r="B751" s="3" t="s">
        <v>747</v>
      </c>
      <c r="C751" s="3" t="str">
        <f>IFERROR(__xludf.DUMMYFUNCTION("GOOGLETRANSLATE(B751,""id"",""en"")"),"['mantaaaaplah']")</f>
        <v>['mantaaaaplah']</v>
      </c>
      <c r="D751" s="3">
        <v>5.0</v>
      </c>
    </row>
    <row r="752" ht="15.75" customHeight="1">
      <c r="A752" s="1">
        <v>780.0</v>
      </c>
      <c r="B752" s="3" t="s">
        <v>748</v>
      </c>
      <c r="C752" s="3" t="str">
        <f>IFERROR(__xludf.DUMMYFUNCTION("GOOGLETRANSLATE(B752,""id"",""en"")"),"['Help', 'thank', 'love']")</f>
        <v>['Help', 'thank', 'love']</v>
      </c>
      <c r="D752" s="3">
        <v>5.0</v>
      </c>
    </row>
    <row r="753" ht="15.75" customHeight="1">
      <c r="A753" s="1">
        <v>781.0</v>
      </c>
      <c r="B753" s="3" t="s">
        <v>749</v>
      </c>
      <c r="C753" s="3" t="str">
        <f>IFERROR(__xludf.DUMMYFUNCTION("GOOGLETRANSLATE(B753,""id"",""en"")"),"['update', 'good', 'pay attention', 'focus', 'forget']")</f>
        <v>['update', 'good', 'pay attention', 'focus', 'forget']</v>
      </c>
      <c r="D753" s="3">
        <v>5.0</v>
      </c>
    </row>
    <row r="754" ht="15.75" customHeight="1">
      <c r="A754" s="1">
        <v>782.0</v>
      </c>
      <c r="B754" s="3" t="s">
        <v>750</v>
      </c>
      <c r="C754" s="3" t="str">
        <f>IFERROR(__xludf.DUMMYFUNCTION("GOOGLETRANSLATE(B754,""id"",""en"")"),"['Application', '']")</f>
        <v>['Application', '']</v>
      </c>
      <c r="D754" s="3">
        <v>5.0</v>
      </c>
    </row>
    <row r="755" ht="15.75" customHeight="1">
      <c r="A755" s="1">
        <v>783.0</v>
      </c>
      <c r="B755" s="3" t="s">
        <v>751</v>
      </c>
      <c r="C755" s="3" t="str">
        <f>IFERROR(__xludf.DUMMYFUNCTION("GOOGLETRANSLATE(B755,""id"",""en"")"),"['best', '']")</f>
        <v>['best', '']</v>
      </c>
      <c r="D755" s="3">
        <v>5.0</v>
      </c>
    </row>
    <row r="756" ht="15.75" customHeight="1">
      <c r="A756" s="1">
        <v>785.0</v>
      </c>
      <c r="B756" s="3" t="s">
        <v>752</v>
      </c>
      <c r="C756" s="3" t="str">
        <f>IFERROR(__xludf.DUMMYFUNCTION("GOOGLETRANSLATE(B756,""id"",""en"")"),"['The application', 'Cool', 'LGI', 'Update', 'Teebaru', 'Joss', ""]")</f>
        <v>['The application', 'Cool', 'LGI', 'Update', 'Teebaru', 'Joss', "]</v>
      </c>
      <c r="D756" s="3">
        <v>5.0</v>
      </c>
    </row>
    <row r="757" ht="15.75" customHeight="1">
      <c r="A757" s="1">
        <v>786.0</v>
      </c>
      <c r="B757" s="3" t="s">
        <v>753</v>
      </c>
      <c r="C757" s="3" t="str">
        <f>IFERROR(__xludf.DUMMYFUNCTION("GOOGLETRANSLATE(B757,""id"",""en"")"),"['signal', 'ugly', 'like', 'nge', 'lag', 'lol', 'pay', 'expensive', 'block']")</f>
        <v>['signal', 'ugly', 'like', 'nge', 'lag', 'lol', 'pay', 'expensive', 'block']</v>
      </c>
      <c r="D757" s="3">
        <v>1.0</v>
      </c>
    </row>
    <row r="758" ht="15.75" customHeight="1">
      <c r="A758" s="1">
        <v>787.0</v>
      </c>
      <c r="B758" s="3" t="s">
        <v>754</v>
      </c>
      <c r="C758" s="3" t="str">
        <f>IFERROR(__xludf.DUMMYFUNCTION("GOOGLETRANSLATE(B758,""id"",""en"")"),"['pulse', 'Gausah', 'balance', 'Linkaja', ""]")</f>
        <v>['pulse', 'Gausah', 'balance', 'Linkaja', "]</v>
      </c>
      <c r="D758" s="3">
        <v>5.0</v>
      </c>
    </row>
    <row r="759" ht="15.75" customHeight="1">
      <c r="A759" s="1">
        <v>788.0</v>
      </c>
      <c r="B759" s="3" t="s">
        <v>755</v>
      </c>
      <c r="C759" s="3" t="str">
        <f>IFERROR(__xludf.DUMMYFUNCTION("GOOGLETRANSLATE(B759,""id"",""en"")"),"['So good', 'Good', 'Point', 'Useful', 'Njir', 'Exchange', 'Point', 'Useful', 'Gabisa', 'Shared', 'Money', 'Vocher', ' Bill ',' Indihome ',' Severe ']")</f>
        <v>['So good', 'Good', 'Point', 'Useful', 'Njir', 'Exchange', 'Point', 'Useful', 'Gabisa', 'Shared', 'Money', 'Vocher', ' Bill ',' Indihome ',' Severe ']</v>
      </c>
      <c r="D759" s="3">
        <v>1.0</v>
      </c>
    </row>
    <row r="760" ht="15.75" customHeight="1">
      <c r="A760" s="1">
        <v>789.0</v>
      </c>
      <c r="B760" s="3" t="s">
        <v>756</v>
      </c>
      <c r="C760" s="3" t="str">
        <f>IFERROR(__xludf.DUMMYFUNCTION("GOOGLETRANSLATE(B760,""id"",""en"")"),"['Updated', 'Loading', 'Heavy', 'The Application', 'Try', 'Light']")</f>
        <v>['Updated', 'Loading', 'Heavy', 'The Application', 'Try', 'Light']</v>
      </c>
      <c r="D760" s="3">
        <v>3.0</v>
      </c>
    </row>
    <row r="761" ht="15.75" customHeight="1">
      <c r="A761" s="1">
        <v>790.0</v>
      </c>
      <c r="B761" s="3" t="s">
        <v>757</v>
      </c>
      <c r="C761" s="3" t="str">
        <f>IFERROR(__xludf.DUMMYFUNCTION("GOOGLETRANSLATE(B761,""id"",""en"")"),"['easy', 'easy', 'use', 'look', 'present']")</f>
        <v>['easy', 'easy', 'use', 'look', 'present']</v>
      </c>
      <c r="D761" s="3">
        <v>5.0</v>
      </c>
    </row>
    <row r="762" ht="15.75" customHeight="1">
      <c r="A762" s="1">
        <v>791.0</v>
      </c>
      <c r="B762" s="3" t="s">
        <v>758</v>
      </c>
      <c r="C762" s="3" t="str">
        <f>IFERROR(__xludf.DUMMYFUNCTION("GOOGLETRANSLATE(B762,""id"",""en"")"),"['Update', 'Not bad', 'Most important', 'Increases', 'Service', ""]")</f>
        <v>['Update', 'Not bad', 'Most important', 'Increases', 'Service', "]</v>
      </c>
      <c r="D762" s="3">
        <v>5.0</v>
      </c>
    </row>
    <row r="763" ht="15.75" customHeight="1">
      <c r="A763" s="1">
        <v>792.0</v>
      </c>
      <c r="B763" s="3" t="s">
        <v>441</v>
      </c>
      <c r="C763" s="3" t="str">
        <f>IFERROR(__xludf.DUMMYFUNCTION("GOOGLETRANSLATE(B763,""id"",""en"")"),"['', '']")</f>
        <v>['', '']</v>
      </c>
      <c r="D763" s="3">
        <v>5.0</v>
      </c>
    </row>
    <row r="764" ht="15.75" customHeight="1">
      <c r="A764" s="1">
        <v>793.0</v>
      </c>
      <c r="B764" s="3" t="s">
        <v>759</v>
      </c>
      <c r="C764" s="3" t="str">
        <f>IFERROR(__xludf.DUMMYFUNCTION("GOOGLETRANSLATE(B764,""id"",""en"")"),"['update', 'update', 'data', 'customer', 'sync', 'me', 'login', 'verification', 'number', 'cellphone', 'updated', 'number', ' The cellphone ',' bother ',' customer ']")</f>
        <v>['update', 'update', 'data', 'customer', 'sync', 'me', 'login', 'verification', 'number', 'cellphone', 'updated', 'number', ' The cellphone ',' bother ',' customer ']</v>
      </c>
      <c r="D764" s="3">
        <v>1.0</v>
      </c>
    </row>
    <row r="765" ht="15.75" customHeight="1">
      <c r="A765" s="1">
        <v>794.0</v>
      </c>
      <c r="B765" s="3" t="s">
        <v>760</v>
      </c>
      <c r="C765" s="3" t="str">
        <f>IFERROR(__xludf.DUMMYFUNCTION("GOOGLETRANSLATE(B765,""id"",""en"")"),"['Look', 'wide', 'bar', 'bar', 'polishing', 'history', 'usage', 'quota', 'detail', 'payment', 'Show']")</f>
        <v>['Look', 'wide', 'bar', 'bar', 'polishing', 'history', 'usage', 'quota', 'detail', 'payment', 'Show']</v>
      </c>
      <c r="D765" s="3">
        <v>5.0</v>
      </c>
    </row>
    <row r="766" ht="15.75" customHeight="1">
      <c r="A766" s="1">
        <v>795.0</v>
      </c>
      <c r="B766" s="3" t="s">
        <v>761</v>
      </c>
      <c r="C766" s="3" t="str">
        <f>IFERROR(__xludf.DUMMYFUNCTION("GOOGLETRANSLATE(B766,""id"",""en"")"),"['Good', 'ngak', 'login', 'reset', 'application', 'ngak', 'account', 'good', 'job', '']")</f>
        <v>['Good', 'ngak', 'login', 'reset', 'application', 'ngak', 'account', 'good', 'job', '']</v>
      </c>
      <c r="D766" s="3">
        <v>5.0</v>
      </c>
    </row>
    <row r="767" ht="15.75" customHeight="1">
      <c r="A767" s="1">
        <v>796.0</v>
      </c>
      <c r="B767" s="3" t="s">
        <v>762</v>
      </c>
      <c r="C767" s="3" t="str">
        <f>IFERROR(__xludf.DUMMYFUNCTION("GOOGLETRANSLATE(B767,""id"",""en"")"),"['Wow', 'Display', 'Amazing']")</f>
        <v>['Wow', 'Display', 'Amazing']</v>
      </c>
      <c r="D767" s="3">
        <v>5.0</v>
      </c>
    </row>
    <row r="768" ht="15.75" customHeight="1">
      <c r="A768" s="1">
        <v>798.0</v>
      </c>
      <c r="B768" s="3" t="s">
        <v>763</v>
      </c>
      <c r="C768" s="3" t="str">
        <f>IFERROR(__xludf.DUMMYFUNCTION("GOOGLETRANSLATE(B768,""id"",""en"")"),"['Dech', 'Dech', 'Star', 'Worth', 'Star', 'Feature', 'Complete', 'Application', 'Myindihome', 'MantaaApp', 'Keep', 'innovate', ' Society ',' Indonesia ',' proud ', ""]")</f>
        <v>['Dech', 'Dech', 'Star', 'Worth', 'Star', 'Feature', 'Complete', 'Application', 'Myindihome', 'MantaaApp', 'Keep', 'innovate', ' Society ',' Indonesia ',' proud ', "]</v>
      </c>
      <c r="D768" s="3">
        <v>5.0</v>
      </c>
    </row>
    <row r="769" ht="15.75" customHeight="1">
      <c r="A769" s="1">
        <v>799.0</v>
      </c>
      <c r="B769" s="3" t="s">
        <v>764</v>
      </c>
      <c r="C769" s="3" t="str">
        <f>IFERROR(__xludf.DUMMYFUNCTION("GOOGLETRANSLATE(B769,""id"",""en"")"),"['Update', 'disappointing']")</f>
        <v>['Update', 'disappointing']</v>
      </c>
      <c r="D769" s="3">
        <v>1.0</v>
      </c>
    </row>
    <row r="770" ht="15.75" customHeight="1">
      <c r="A770" s="1">
        <v>800.0</v>
      </c>
      <c r="B770" s="3" t="s">
        <v>765</v>
      </c>
      <c r="C770" s="3" t="str">
        <f>IFERROR(__xludf.DUMMYFUNCTION("GOOGLETRANSLATE(B770,""id"",""en"")"),"['help', 'check', 'bill', 'package']")</f>
        <v>['help', 'check', 'bill', 'package']</v>
      </c>
      <c r="D770" s="3">
        <v>5.0</v>
      </c>
    </row>
    <row r="771" ht="15.75" customHeight="1">
      <c r="A771" s="1">
        <v>803.0</v>
      </c>
      <c r="B771" s="3" t="s">
        <v>460</v>
      </c>
      <c r="C771" s="3" t="str">
        <f>IFERROR(__xludf.DUMMYFUNCTION("GOOGLETRANSLATE(B771,""id"",""en"")"),"['steady', '']")</f>
        <v>['steady', '']</v>
      </c>
      <c r="D771" s="3">
        <v>5.0</v>
      </c>
    </row>
    <row r="772" ht="15.75" customHeight="1">
      <c r="A772" s="1">
        <v>804.0</v>
      </c>
      <c r="B772" s="3" t="s">
        <v>766</v>
      </c>
      <c r="C772" s="3" t="str">
        <f>IFERROR(__xludf.DUMMYFUNCTION("GOOGLETRANSLATE(B772,""id"",""en"")"),"['Star', 'love', 'star', 'ugly', 'really', 'the application', 'update', 'bad', ""]")</f>
        <v>['Star', 'love', 'star', 'ugly', 'really', 'the application', 'update', 'bad', "]</v>
      </c>
      <c r="D772" s="3">
        <v>1.0</v>
      </c>
    </row>
    <row r="773" ht="15.75" customHeight="1">
      <c r="A773" s="1">
        <v>805.0</v>
      </c>
      <c r="B773" s="3" t="s">
        <v>767</v>
      </c>
      <c r="C773" s="3" t="str">
        <f>IFERROR(__xludf.DUMMYFUNCTION("GOOGLETRANSLATE(B773,""id"",""en"")"),"['apdetan', 'sekrg', 'open', 'lgi', 'sell', 'fail', 'entry']")</f>
        <v>['apdetan', 'sekrg', 'open', 'lgi', 'sell', 'fail', 'entry']</v>
      </c>
      <c r="D773" s="3">
        <v>1.0</v>
      </c>
    </row>
    <row r="774" ht="15.75" customHeight="1">
      <c r="A774" s="1">
        <v>806.0</v>
      </c>
      <c r="B774" s="3" t="s">
        <v>768</v>
      </c>
      <c r="C774" s="3" t="str">
        <f>IFERROR(__xludf.DUMMYFUNCTION("GOOGLETRANSLATE(B774,""id"",""en"")"),"['Ouch', 'open', 'see', 'bill', 'payment', 'update', 'open', 'service', 'confused', 'dech']")</f>
        <v>['Ouch', 'open', 'see', 'bill', 'payment', 'update', 'open', 'service', 'confused', 'dech']</v>
      </c>
      <c r="D774" s="3">
        <v>1.0</v>
      </c>
    </row>
    <row r="775" ht="15.75" customHeight="1">
      <c r="A775" s="1">
        <v>807.0</v>
      </c>
      <c r="B775" s="3" t="s">
        <v>769</v>
      </c>
      <c r="C775" s="3" t="str">
        <f>IFERROR(__xludf.DUMMYFUNCTION("GOOGLETRANSLATE(B775,""id"",""en"")"),"['Applying "",' It's easy ',' users ',' access ',' application ',' myindihome ',' response ',' firtur ',' smooth ',' please ',' repair ',' bug ',' version ',' ']")</f>
        <v>['Applying ",' It's easy ',' users ',' access ',' application ',' myindihome ',' response ',' firtur ',' smooth ',' please ',' repair ',' bug ',' version ',' ']</v>
      </c>
      <c r="D775" s="3">
        <v>5.0</v>
      </c>
    </row>
    <row r="776" ht="15.75" customHeight="1">
      <c r="A776" s="1">
        <v>808.0</v>
      </c>
      <c r="B776" s="3" t="s">
        <v>770</v>
      </c>
      <c r="C776" s="3" t="str">
        <f>IFERROR(__xludf.DUMMYFUNCTION("GOOGLETRANSLATE(B776,""id"",""en"")"),"['Slow', 'Application', 'menu', 'menu', 'slow', 'appears',' fail ',' appear ',' oat ',' patient ',' use ',' application ',' Please, 'provided', 'alternative', 'form', 'website', 'application', 'android', 'quality', '']")</f>
        <v>['Slow', 'Application', 'menu', 'menu', 'slow', 'appears',' fail ',' appear ',' oat ',' patient ',' use ',' application ',' Please, 'provided', 'alternative', 'form', 'website', 'application', 'android', 'quality', '']</v>
      </c>
      <c r="D776" s="3">
        <v>1.0</v>
      </c>
    </row>
    <row r="777" ht="15.75" customHeight="1">
      <c r="A777" s="1">
        <v>809.0</v>
      </c>
      <c r="B777" s="3" t="s">
        <v>771</v>
      </c>
      <c r="C777" s="3" t="str">
        <f>IFERROR(__xludf.DUMMYFUNCTION("GOOGLETRANSLATE(B777,""id"",""en"")"),"['Update', 'features', 'apps']")</f>
        <v>['Update', 'features', 'apps']</v>
      </c>
      <c r="D777" s="3">
        <v>5.0</v>
      </c>
    </row>
    <row r="778" ht="15.75" customHeight="1">
      <c r="A778" s="1">
        <v>810.0</v>
      </c>
      <c r="B778" s="3" t="s">
        <v>772</v>
      </c>
      <c r="C778" s="3" t="str">
        <f>IFERROR(__xludf.DUMMYFUNCTION("GOOGLETRANSLATE(B778,""id"",""en"")"),"['Myindihome', 'easy']")</f>
        <v>['Myindihome', 'easy']</v>
      </c>
      <c r="D778" s="3">
        <v>5.0</v>
      </c>
    </row>
    <row r="779" ht="15.75" customHeight="1">
      <c r="A779" s="1">
        <v>811.0</v>
      </c>
      <c r="B779" s="3" t="s">
        <v>773</v>
      </c>
      <c r="C779" s="3" t="str">
        <f>IFERROR(__xludf.DUMMYFUNCTION("GOOGLETRANSLATE(B779,""id"",""en"")"),"['Satisfied', 'service', 'Telkom', 'Hopefully', 'Moving']")</f>
        <v>['Satisfied', 'service', 'Telkom', 'Hopefully', 'Moving']</v>
      </c>
      <c r="D779" s="3">
        <v>5.0</v>
      </c>
    </row>
    <row r="780" ht="15.75" customHeight="1">
      <c r="A780" s="1">
        <v>812.0</v>
      </c>
      <c r="B780" s="3" t="s">
        <v>774</v>
      </c>
      <c r="C780" s="3" t="str">
        <f>IFERROR(__xludf.DUMMYFUNCTION("GOOGLETRANSLATE(B780,""id"",""en"")"),"['', 'Try', 'Dlu', '']")</f>
        <v>['', 'Try', 'Dlu', '']</v>
      </c>
      <c r="D780" s="3">
        <v>3.0</v>
      </c>
    </row>
    <row r="781" ht="15.75" customHeight="1">
      <c r="A781" s="1">
        <v>813.0</v>
      </c>
      <c r="B781" s="3" t="s">
        <v>775</v>
      </c>
      <c r="C781" s="3" t="str">
        <f>IFERROR(__xludf.DUMMYFUNCTION("GOOGLETRANSLATE(B781,""id"",""en"")"),"['enter', 'wrong', 'password', 'replace', 'password', 'problematic', 'password', 'wrong', 'please', 'application', 'fix', 'get', ' Update ',' detrimental ',' user ',' disturbing ']")</f>
        <v>['enter', 'wrong', 'password', 'replace', 'password', 'problematic', 'password', 'wrong', 'please', 'application', 'fix', 'get', ' Update ',' detrimental ',' user ',' disturbing ']</v>
      </c>
      <c r="D781" s="3">
        <v>1.0</v>
      </c>
    </row>
    <row r="782" ht="15.75" customHeight="1">
      <c r="A782" s="1">
        <v>814.0</v>
      </c>
      <c r="B782" s="3" t="s">
        <v>776</v>
      </c>
      <c r="C782" s="3" t="str">
        <f>IFERROR(__xludf.DUMMYFUNCTION("GOOGLETRANSLATE(B782,""id"",""en"")"),"['easy', 'useful', 'office', '']")</f>
        <v>['easy', 'useful', 'office', '']</v>
      </c>
      <c r="D782" s="3">
        <v>5.0</v>
      </c>
    </row>
    <row r="783" ht="15.75" customHeight="1">
      <c r="A783" s="1">
        <v>815.0</v>
      </c>
      <c r="B783" s="3" t="s">
        <v>777</v>
      </c>
      <c r="C783" s="3" t="str">
        <f>IFERROR(__xludf.DUMMYFUNCTION("GOOGLETRANSLATE(B783,""id"",""en"")"),"['update', 'just', 'given', 'chance', 'login', 'change', 'data', 'developer', 'the application', 'quality', ""]")</f>
        <v>['update', 'just', 'given', 'chance', 'login', 'change', 'data', 'developer', 'the application', 'quality', "]</v>
      </c>
      <c r="D783" s="3">
        <v>2.0</v>
      </c>
    </row>
    <row r="784" ht="15.75" customHeight="1">
      <c r="A784" s="1">
        <v>816.0</v>
      </c>
      <c r="B784" s="3" t="s">
        <v>778</v>
      </c>
      <c r="C784" s="3" t="str">
        <f>IFERROR(__xludf.DUMMYFUNCTION("GOOGLETRANSLATE(B784,""id"",""en"")"),"['update', 'troubles',' difficult ',' login ',' forget ',' password ',' otp ',' recovery ',' enter ',' ehhhh ',' expiration ',' so ',' trs', 'smpe', 'try', 'ttp', 'expiration', 'timer', 'msih', 'leftover', 'minute', 'poor', 'nihhh', 'ruwet']")</f>
        <v>['update', 'troubles',' difficult ',' login ',' forget ',' password ',' otp ',' recovery ',' enter ',' ehhhh ',' expiration ',' so ',' trs', 'smpe', 'try', 'ttp', 'expiration', 'timer', 'msih', 'leftover', 'minute', 'poor', 'nihhh', 'ruwet']</v>
      </c>
      <c r="D784" s="3">
        <v>1.0</v>
      </c>
    </row>
    <row r="785" ht="15.75" customHeight="1">
      <c r="A785" s="1">
        <v>817.0</v>
      </c>
      <c r="B785" s="3" t="s">
        <v>779</v>
      </c>
      <c r="C785" s="3" t="str">
        <f>IFERROR(__xludf.DUMMYFUNCTION("GOOGLETRANSLATE(B785,""id"",""en"")"),"['Telkom', 'Point', 'Helpful']")</f>
        <v>['Telkom', 'Point', 'Helpful']</v>
      </c>
      <c r="D785" s="3">
        <v>5.0</v>
      </c>
    </row>
    <row r="786" ht="15.75" customHeight="1">
      <c r="A786" s="1">
        <v>818.0</v>
      </c>
      <c r="B786" s="3" t="s">
        <v>780</v>
      </c>
      <c r="C786" s="3" t="str">
        <f>IFERROR(__xludf.DUMMYFUNCTION("GOOGLETRANSLATE(B786,""id"",""en"")"),"['Do', 'update', 'application', 'slow', 'display', 'package', 'appear', 'like', 'application', 'update', 'smooth', 'easy', ' understanding']")</f>
        <v>['Do', 'update', 'application', 'slow', 'display', 'package', 'appear', 'like', 'application', 'update', 'smooth', 'easy', ' understanding']</v>
      </c>
      <c r="D786" s="3">
        <v>1.0</v>
      </c>
    </row>
    <row r="787" ht="15.75" customHeight="1">
      <c r="A787" s="1">
        <v>819.0</v>
      </c>
      <c r="B787" s="3" t="s">
        <v>781</v>
      </c>
      <c r="C787" s="3" t="str">
        <f>IFERROR(__xludf.DUMMYFUNCTION("GOOGLETRANSLATE(B787,""id"",""en"")"),"['subscription', 'Indihom', 'update', 'version', 'latest', 'msk', 'application', 'myindihom', 'tried', 'repeat', 'times',' all ',' ']")</f>
        <v>['subscription', 'Indihom', 'update', 'version', 'latest', 'msk', 'application', 'myindihom', 'tried', 'repeat', 'times',' all ',' ']</v>
      </c>
      <c r="D787" s="3">
        <v>1.0</v>
      </c>
    </row>
    <row r="788" ht="15.75" customHeight="1">
      <c r="A788" s="1">
        <v>820.0</v>
      </c>
      <c r="B788" s="3" t="s">
        <v>782</v>
      </c>
      <c r="C788" s="3" t="str">
        <f>IFERROR(__xludf.DUMMYFUNCTION("GOOGLETRANSLATE(B788,""id"",""en"")"),"['Hopefully', 'in the future', 'Myindihome', 'features']")</f>
        <v>['Hopefully', 'in the future', 'Myindihome', 'features']</v>
      </c>
      <c r="D788" s="3">
        <v>5.0</v>
      </c>
    </row>
    <row r="789" ht="15.75" customHeight="1">
      <c r="A789" s="1">
        <v>821.0</v>
      </c>
      <c r="B789" s="3" t="s">
        <v>783</v>
      </c>
      <c r="C789" s="3" t="str">
        <f>IFERROR(__xludf.DUMMYFUNCTION("GOOGLETRANSLATE(B789,""id"",""en"")"),"['intentionally', 'love', 'star', 'Indihome', 'Read', 'Times',' Indihome ',' Sui ',' Raya ',' Bhayangkara ',' Permai ',' Srikandi ',' West Kalimantan ',' TMPT ',' Disruption ',' Service ',' Live ',' Uda ',' Pay ',' Please ',' Indihome ',' Corruption ',' U"&amp;"da ',' Report ',' Indihome ' , 'Care', 'disorder', 'please', 'corruption']")</f>
        <v>['intentionally', 'love', 'star', 'Indihome', 'Read', 'Times',' Indihome ',' Sui ',' Raya ',' Bhayangkara ',' Permai ',' Srikandi ',' West Kalimantan ',' TMPT ',' Disruption ',' Service ',' Live ',' Uda ',' Pay ',' Please ',' Indihome ',' Corruption ',' Uda ',' Report ',' Indihome ' , 'Care', 'disorder', 'please', 'corruption']</v>
      </c>
      <c r="D789" s="3">
        <v>5.0</v>
      </c>
    </row>
    <row r="790" ht="15.75" customHeight="1">
      <c r="A790" s="1">
        <v>822.0</v>
      </c>
      <c r="B790" s="3" t="s">
        <v>784</v>
      </c>
      <c r="C790" s="3" t="str">
        <f>IFERROR(__xludf.DUMMYFUNCTION("GOOGLETRANSLATE(B790,""id"",""en"")"),"['Service', 'satisfying', 'thank you']")</f>
        <v>['Service', 'satisfying', 'thank you']</v>
      </c>
      <c r="D790" s="3">
        <v>5.0</v>
      </c>
    </row>
    <row r="791" ht="15.75" customHeight="1">
      <c r="A791" s="1">
        <v>824.0</v>
      </c>
      <c r="B791" s="3" t="s">
        <v>785</v>
      </c>
      <c r="C791" s="3" t="str">
        <f>IFERROR(__xludf.DUMMYFUNCTION("GOOGLETRANSLATE(B791,""id"",""en"")"),"['Application', 'Tambo', 'Cool', 'Hopefully', 'Complaint', 'Complaints', 'Service']")</f>
        <v>['Application', 'Tambo', 'Cool', 'Hopefully', 'Complaint', 'Complaints', 'Service']</v>
      </c>
      <c r="D791" s="3">
        <v>5.0</v>
      </c>
    </row>
    <row r="792" ht="15.75" customHeight="1">
      <c r="A792" s="1">
        <v>825.0</v>
      </c>
      <c r="B792" s="3" t="s">
        <v>786</v>
      </c>
      <c r="C792" s="3" t="str">
        <f>IFERROR(__xludf.DUMMYFUNCTION("GOOGLETRANSLATE(B792,""id"",""en"")"),"['Knp', 'Downloaded', '']")</f>
        <v>['Knp', 'Downloaded', '']</v>
      </c>
      <c r="D792" s="3">
        <v>3.0</v>
      </c>
    </row>
    <row r="793" ht="15.75" customHeight="1">
      <c r="A793" s="1">
        <v>826.0</v>
      </c>
      <c r="B793" s="3" t="s">
        <v>787</v>
      </c>
      <c r="C793" s="3" t="str">
        <f>IFERROR(__xludf.DUMMYFUNCTION("GOOGLETRANSLATE(B793,""id"",""en"")"),"['Abis', 'update', 'Singkrong', 'email', 'number', 'TLF', 'NOT', 'MAKEF', 'Bad', 'love', 'star']")</f>
        <v>['Abis', 'update', 'Singkrong', 'email', 'number', 'TLF', 'NOT', 'MAKEF', 'Bad', 'love', 'star']</v>
      </c>
      <c r="D793" s="3">
        <v>1.0</v>
      </c>
    </row>
    <row r="794" ht="15.75" customHeight="1">
      <c r="A794" s="1">
        <v>827.0</v>
      </c>
      <c r="B794" s="3" t="s">
        <v>788</v>
      </c>
      <c r="C794" s="3" t="str">
        <f>IFERROR(__xludf.DUMMYFUNCTION("GOOGLETRANSLATE(B794,""id"",""en"")"),"['updated', 'feature', 'promo', 'interesting', 'speed', 'internet', 'hope', 'in the future', 'indihome', 'success', 'indihome', ""]")</f>
        <v>['updated', 'feature', 'promo', 'interesting', 'speed', 'internet', 'hope', 'in the future', 'indihome', 'success', 'indihome', "]</v>
      </c>
      <c r="D794" s="3">
        <v>5.0</v>
      </c>
    </row>
    <row r="795" ht="15.75" customHeight="1">
      <c r="A795" s="1">
        <v>828.0</v>
      </c>
      <c r="B795" s="3" t="s">
        <v>789</v>
      </c>
      <c r="C795" s="3" t="str">
        <f>IFERROR(__xludf.DUMMYFUNCTION("GOOGLETRANSLATE(B795,""id"",""en"")"),"['Help', 'use', 'daily']")</f>
        <v>['Help', 'use', 'daily']</v>
      </c>
      <c r="D795" s="3">
        <v>5.0</v>
      </c>
    </row>
    <row r="796" ht="15.75" customHeight="1">
      <c r="A796" s="1">
        <v>829.0</v>
      </c>
      <c r="B796" s="3" t="s">
        <v>790</v>
      </c>
      <c r="C796" s="3" t="str">
        <f>IFERROR(__xludf.DUMMYFUNCTION("GOOGLETRANSLATE(B796,""id"",""en"")"),"['', 'update', 'looks', 'Different', 'it's good', 'update']")</f>
        <v>['', 'update', 'looks', 'Different', 'it's good', 'update']</v>
      </c>
      <c r="D796" s="3">
        <v>5.0</v>
      </c>
    </row>
    <row r="797" ht="15.75" customHeight="1">
      <c r="A797" s="1">
        <v>830.0</v>
      </c>
      <c r="B797" s="3" t="s">
        <v>791</v>
      </c>
      <c r="C797" s="3" t="str">
        <f>IFERROR(__xludf.DUMMYFUNCTION("GOOGLETRANSLATE(B797,""id"",""en"")"),"['Indihome', 'access', 'easy', 'fast', 'indihome', 'heart', ""]")</f>
        <v>['Indihome', 'access', 'easy', 'fast', 'indihome', 'heart', "]</v>
      </c>
      <c r="D797" s="3">
        <v>5.0</v>
      </c>
    </row>
    <row r="798" ht="15.75" customHeight="1">
      <c r="A798" s="1">
        <v>831.0</v>
      </c>
      <c r="B798" s="3" t="s">
        <v>792</v>
      </c>
      <c r="C798" s="3" t="str">
        <f>IFERROR(__xludf.DUMMYFUNCTION("GOOGLETRANSLATE(B798,""id"",""en"")"),"['Update', 'features']")</f>
        <v>['Update', 'features']</v>
      </c>
      <c r="D798" s="3">
        <v>5.0</v>
      </c>
    </row>
    <row r="799" ht="15.75" customHeight="1">
      <c r="A799" s="1">
        <v>833.0</v>
      </c>
      <c r="B799" s="3" t="s">
        <v>793</v>
      </c>
      <c r="C799" s="3" t="str">
        <f>IFERROR(__xludf.DUMMYFUNCTION("GOOGLETRANSLATE(B799,""id"",""en"")"),"['Good', 'Application', 'Myindihome', 'Make Easy', 'Help', 'People', 'Old', 'Install', 'Indiehome', 'At Home', 'Mastiin', 'Availability', ' slot ',' network ',' feature ',' keciciian ',' package ',' promo ',' complaint ',' top ',' ceeer ',' deh ',' telkom"&amp;" ',' thank ',' love ' , 'Indiehome', '']")</f>
        <v>['Good', 'Application', 'Myindihome', 'Make Easy', 'Help', 'People', 'Old', 'Install', 'Indiehome', 'At Home', 'Mastiin', 'Availability', ' slot ',' network ',' feature ',' keciciian ',' package ',' promo ',' complaint ',' top ',' ceeer ',' deh ',' telkom ',' thank ',' love ' , 'Indiehome', '']</v>
      </c>
      <c r="D799" s="3">
        <v>5.0</v>
      </c>
    </row>
    <row r="800" ht="15.75" customHeight="1">
      <c r="A800" s="1">
        <v>834.0</v>
      </c>
      <c r="B800" s="3" t="s">
        <v>794</v>
      </c>
      <c r="C800" s="3" t="str">
        <f>IFERROR(__xludf.DUMMYFUNCTION("GOOGLETRANSLATE(B800,""id"",""en"")"),"['exciting']")</f>
        <v>['exciting']</v>
      </c>
      <c r="D800" s="3">
        <v>5.0</v>
      </c>
    </row>
    <row r="801" ht="15.75" customHeight="1">
      <c r="A801" s="1">
        <v>835.0</v>
      </c>
      <c r="B801" s="3" t="s">
        <v>795</v>
      </c>
      <c r="C801" s="3" t="str">
        <f>IFERROR(__xludf.DUMMYFUNCTION("GOOGLETRANSLATE(B801,""id"",""en"")"),"['poor', 'application', 'heavy', 'really', 'info']")</f>
        <v>['poor', 'application', 'heavy', 'really', 'info']</v>
      </c>
      <c r="D801" s="3">
        <v>3.0</v>
      </c>
    </row>
    <row r="802" ht="15.75" customHeight="1">
      <c r="A802" s="1">
        <v>836.0</v>
      </c>
      <c r="B802" s="3" t="s">
        <v>796</v>
      </c>
      <c r="C802" s="3" t="str">
        <f>IFERROR(__xludf.DUMMYFUNCTION("GOOGLETRANSLATE(B802,""id"",""en"")"),"['APK', 'Good', 'Feature', 'Help', 'Manep', 'Increase', '']")</f>
        <v>['APK', 'Good', 'Feature', 'Help', 'Manep', 'Increase', '']</v>
      </c>
      <c r="D802" s="3">
        <v>5.0</v>
      </c>
    </row>
    <row r="803" ht="15.75" customHeight="1">
      <c r="A803" s="1">
        <v>837.0</v>
      </c>
      <c r="B803" s="3" t="s">
        <v>797</v>
      </c>
      <c r="C803" s="3" t="str">
        <f>IFERROR(__xludf.DUMMYFUNCTION("GOOGLETRANSLATE(B803,""id"",""en"")"),"['Thank you', 'Myindihome', 'Constraints', 'Increase', 'Success', 'Slalu']")</f>
        <v>['Thank you', 'Myindihome', 'Constraints', 'Increase', 'Success', 'Slalu']</v>
      </c>
      <c r="D803" s="3">
        <v>5.0</v>
      </c>
    </row>
    <row r="804" ht="15.75" customHeight="1">
      <c r="A804" s="1">
        <v>838.0</v>
      </c>
      <c r="B804" s="3" t="s">
        <v>798</v>
      </c>
      <c r="C804" s="3" t="str">
        <f>IFERROR(__xludf.DUMMYFUNCTION("GOOGLETRANSLATE(B804,""id"",""en"")"),"['slow', 'version', 'rich', 'emg', 'repair']")</f>
        <v>['slow', 'version', 'rich', 'emg', 'repair']</v>
      </c>
      <c r="D804" s="3">
        <v>4.0</v>
      </c>
    </row>
    <row r="805" ht="15.75" customHeight="1">
      <c r="A805" s="1">
        <v>839.0</v>
      </c>
      <c r="B805" s="3" t="s">
        <v>799</v>
      </c>
      <c r="C805" s="3" t="str">
        <f>IFERROR(__xludf.DUMMYFUNCTION("GOOGLETRANSLATE(B805,""id"",""en"")"),"['Sihh', 'Sihh', 'Check', 'Data', 'Pesake', 'Pesa', 'Subscribe', 'Applications', 'Dahlah', 'Manep', 'Thisii']")</f>
        <v>['Sihh', 'Sihh', 'Check', 'Data', 'Pesake', 'Pesa', 'Subscribe', 'Applications', 'Dahlah', 'Manep', 'Thisii']</v>
      </c>
      <c r="D805" s="3">
        <v>5.0</v>
      </c>
    </row>
    <row r="806" ht="15.75" customHeight="1">
      <c r="A806" s="1">
        <v>840.0</v>
      </c>
      <c r="B806" s="3" t="s">
        <v>800</v>
      </c>
      <c r="C806" s="3" t="str">
        <f>IFERROR(__xludf.DUMMYFUNCTION("GOOGLETRANSLATE(B806,""id"",""en"")"),"['version', 'the latest', 'Akusuka', 'Akusuka', 'Akusuka', 'detailed', 'easy', 'use it', 'success',' bwt ',' indihome ',' mantappp ',' ']")</f>
        <v>['version', 'the latest', 'Akusuka', 'Akusuka', 'Akusuka', 'detailed', 'easy', 'use it', 'success',' bwt ',' indihome ',' mantappp ',' ']</v>
      </c>
      <c r="D806" s="3">
        <v>5.0</v>
      </c>
    </row>
    <row r="807" ht="15.75" customHeight="1">
      <c r="A807" s="1">
        <v>841.0</v>
      </c>
      <c r="B807" s="3" t="s">
        <v>801</v>
      </c>
      <c r="C807" s="3" t="str">
        <f>IFERROR(__xludf.DUMMYFUNCTION("GOOGLETRANSLATE(B807,""id"",""en"")"),"['Update', 'Display', 'Fresh', 'Easy', 'Enter', 'Application', 'Loading', 'Time', 'Rada', 'Signal', 'Internet', 'Current', ' Overall ',' steady ',' update ',' newest ',' Nice ']")</f>
        <v>['Update', 'Display', 'Fresh', 'Easy', 'Enter', 'Application', 'Loading', 'Time', 'Rada', 'Signal', 'Internet', 'Current', ' Overall ',' steady ',' update ',' newest ',' Nice ']</v>
      </c>
      <c r="D807" s="3">
        <v>5.0</v>
      </c>
    </row>
    <row r="808" ht="15.75" customHeight="1">
      <c r="A808" s="1">
        <v>842.0</v>
      </c>
      <c r="B808" s="3" t="s">
        <v>802</v>
      </c>
      <c r="C808" s="3" t="str">
        <f>IFERROR(__xludf.DUMMYFUNCTION("GOOGLETRANSLATE(B808,""id"",""en"")"),"['Good', 'Update', 'Indihome', 'Features', 'Features', 'Easy', 'History', 'Payment', 'Hopefully', 'Perfect', ""]")</f>
        <v>['Good', 'Update', 'Indihome', 'Features', 'Features', 'Easy', 'History', 'Payment', 'Hopefully', 'Perfect', "]</v>
      </c>
      <c r="D808" s="3">
        <v>5.0</v>
      </c>
    </row>
    <row r="809" ht="15.75" customHeight="1">
      <c r="A809" s="1">
        <v>843.0</v>
      </c>
      <c r="B809" s="3" t="s">
        <v>803</v>
      </c>
      <c r="C809" s="3" t="str">
        <f>IFERROR(__xludf.DUMMYFUNCTION("GOOGLETRANSLATE(B809,""id"",""en"")"),"['Menu', 'Pay', 'Direct', 'Application', 'Indihome', 'APK', 'Heavy', 'Plus', 'ADM', 'Difficult']")</f>
        <v>['Menu', 'Pay', 'Direct', 'Application', 'Indihome', 'APK', 'Heavy', 'Plus', 'ADM', 'Difficult']</v>
      </c>
      <c r="D809" s="3">
        <v>2.0</v>
      </c>
    </row>
    <row r="810" ht="15.75" customHeight="1">
      <c r="A810" s="1">
        <v>844.0</v>
      </c>
      <c r="B810" s="3" t="s">
        <v>804</v>
      </c>
      <c r="C810" s="3" t="str">
        <f>IFERROR(__xludf.DUMMYFUNCTION("GOOGLETRANSLATE(B810,""id"",""en"")"),"['Help', 'thank', 'love', ""]")</f>
        <v>['Help', 'thank', 'love', "]</v>
      </c>
      <c r="D810" s="3">
        <v>5.0</v>
      </c>
    </row>
    <row r="811" ht="15.75" customHeight="1">
      <c r="A811" s="1">
        <v>845.0</v>
      </c>
      <c r="B811" s="3" t="s">
        <v>805</v>
      </c>
      <c r="C811" s="3" t="str">
        <f>IFERROR(__xludf.DUMMYFUNCTION("GOOGLETRANSLATE(B811,""id"",""en"")"),"['looks', 'good', 'essay', 'version', 'Tata', 'Located', 'Efficient', '']")</f>
        <v>['looks', 'good', 'essay', 'version', 'Tata', 'Located', 'Efficient', '']</v>
      </c>
      <c r="D811" s="3">
        <v>5.0</v>
      </c>
    </row>
    <row r="812" ht="15.75" customHeight="1">
      <c r="A812" s="1">
        <v>846.0</v>
      </c>
      <c r="B812" s="3" t="s">
        <v>806</v>
      </c>
      <c r="C812" s="3" t="str">
        <f>IFERROR(__xludf.DUMMYFUNCTION("GOOGLETRANSLATE(B812,""id"",""en"")"),"['Alhamdulillah', 'installed', 'Indihome', 'dirmh', 'child', 'diligent', 'search', 'search', 'knowledge', 'knowledge', 'creative', 'work', ' Game ',' Just ',' Interlude ',' Saturated ',' ']")</f>
        <v>['Alhamdulillah', 'installed', 'Indihome', 'dirmh', 'child', 'diligent', 'search', 'search', 'knowledge', 'knowledge', 'creative', 'work', ' Game ',' Just ',' Interlude ',' Saturated ',' ']</v>
      </c>
      <c r="D812" s="3">
        <v>5.0</v>
      </c>
    </row>
    <row r="813" ht="15.75" customHeight="1">
      <c r="A813" s="1">
        <v>847.0</v>
      </c>
      <c r="B813" s="3" t="s">
        <v>807</v>
      </c>
      <c r="C813" s="3" t="str">
        <f>IFERROR(__xludf.DUMMYFUNCTION("GOOGLETRANSLATE(B813,""id"",""en"")"),"['improvement', 'karna', 'msh', 'loading', 'log', 'out', 'etc.', 'the rest', 'msh', 'normal']")</f>
        <v>['improvement', 'karna', 'msh', 'loading', 'log', 'out', 'etc.', 'the rest', 'msh', 'normal']</v>
      </c>
      <c r="D813" s="3">
        <v>3.0</v>
      </c>
    </row>
    <row r="814" ht="15.75" customHeight="1">
      <c r="A814" s="1">
        <v>848.0</v>
      </c>
      <c r="B814" s="3" t="s">
        <v>808</v>
      </c>
      <c r="C814" s="3" t="str">
        <f>IFERROR(__xludf.DUMMYFUNCTION("GOOGLETRANSLATE(B814,""id"",""en"")"),"['mantappppp']")</f>
        <v>['mantappppp']</v>
      </c>
      <c r="D814" s="3">
        <v>5.0</v>
      </c>
    </row>
    <row r="815" ht="15.75" customHeight="1">
      <c r="A815" s="1">
        <v>849.0</v>
      </c>
      <c r="B815" s="3" t="s">
        <v>809</v>
      </c>
      <c r="C815" s="3" t="str">
        <f>IFERROR(__xludf.DUMMYFUNCTION("GOOGLETRANSLATE(B815,""id"",""en"")"),"['Application', 'complete']")</f>
        <v>['Application', 'complete']</v>
      </c>
      <c r="D815" s="3">
        <v>5.0</v>
      </c>
    </row>
    <row r="816" ht="15.75" customHeight="1">
      <c r="A816" s="1">
        <v>851.0</v>
      </c>
      <c r="B816" s="3" t="s">
        <v>810</v>
      </c>
      <c r="C816" s="3" t="str">
        <f>IFERROR(__xludf.DUMMYFUNCTION("GOOGLETRANSLATE(B816,""id"",""en"")"),"['menu', 'complete', 'easy', 'understood']")</f>
        <v>['menu', 'complete', 'easy', 'understood']</v>
      </c>
      <c r="D816" s="3">
        <v>5.0</v>
      </c>
    </row>
    <row r="817" ht="15.75" customHeight="1">
      <c r="A817" s="1">
        <v>852.0</v>
      </c>
      <c r="B817" s="3" t="s">
        <v>811</v>
      </c>
      <c r="C817" s="3" t="str">
        <f>IFERROR(__xludf.DUMMYFUNCTION("GOOGLETRANSLATE(B817,""id"",""en"")"),"['Not bad', 'Modern']")</f>
        <v>['Not bad', 'Modern']</v>
      </c>
      <c r="D817" s="3">
        <v>4.0</v>
      </c>
    </row>
    <row r="818" ht="15.75" customHeight="1">
      <c r="A818" s="1">
        <v>853.0</v>
      </c>
      <c r="B818" s="3" t="s">
        <v>812</v>
      </c>
      <c r="C818" s="3" t="str">
        <f>IFERROR(__xludf.DUMMYFUNCTION("GOOGLETRANSLATE(B818,""id"",""en"")"),"['Good', 'Application', 'Helpful', 'Customer', '']")</f>
        <v>['Good', 'Application', 'Helpful', 'Customer', '']</v>
      </c>
      <c r="D818" s="3">
        <v>5.0</v>
      </c>
    </row>
    <row r="819" ht="15.75" customHeight="1">
      <c r="A819" s="1">
        <v>854.0</v>
      </c>
      <c r="B819" s="3" t="s">
        <v>813</v>
      </c>
      <c r="C819" s="3" t="str">
        <f>IFERROR(__xludf.DUMMYFUNCTION("GOOGLETRANSLATE(B819,""id"",""en"")"),"['Indihome', 'defective', 'Maen', 'Ngelek', 'Ngentt']")</f>
        <v>['Indihome', 'defective', 'Maen', 'Ngelek', 'Ngentt']</v>
      </c>
      <c r="D819" s="3">
        <v>1.0</v>
      </c>
    </row>
    <row r="820" ht="15.75" customHeight="1">
      <c r="A820" s="1">
        <v>855.0</v>
      </c>
      <c r="B820" s="3" t="s">
        <v>814</v>
      </c>
      <c r="C820" s="3" t="str">
        <f>IFERROR(__xludf.DUMMYFUNCTION("GOOGLETRANSLATE(B820,""id"",""en"")"),"['application', 'best', 'easy', 'simple', 'elegant', 'exchange', 'point', 'easy', 'simple', 'easy', 'gift', 'check', ' bills', 'payment', 'easy', 'control', 'increase', 'cool', 'top']")</f>
        <v>['application', 'best', 'easy', 'simple', 'elegant', 'exchange', 'point', 'easy', 'simple', 'easy', 'gift', 'check', ' bills', 'payment', 'easy', 'control', 'increase', 'cool', 'top']</v>
      </c>
      <c r="D820" s="3">
        <v>5.0</v>
      </c>
    </row>
    <row r="821" ht="15.75" customHeight="1">
      <c r="A821" s="1">
        <v>856.0</v>
      </c>
      <c r="B821" s="3" t="s">
        <v>815</v>
      </c>
      <c r="C821" s="3" t="str">
        <f>IFERROR(__xludf.DUMMYFUNCTION("GOOGLETRANSLATE(B821,""id"",""en"")"),"['slow', 'fast', 'star', '']")</f>
        <v>['slow', 'fast', 'star', '']</v>
      </c>
      <c r="D821" s="3">
        <v>4.0</v>
      </c>
    </row>
    <row r="822" ht="15.75" customHeight="1">
      <c r="A822" s="1">
        <v>857.0</v>
      </c>
      <c r="B822" s="3" t="s">
        <v>816</v>
      </c>
      <c r="C822" s="3" t="str">
        <f>IFERROR(__xludf.DUMMYFUNCTION("GOOGLETRANSLATE(B822,""id"",""en"")"),"['steady', 'makes it easier', 'adds', 'service', 'upgrade', 'speed', 'wifi', 'makes it easy', 'bill', 'basically', 'best']")</f>
        <v>['steady', 'makes it easier', 'adds', 'service', 'upgrade', 'speed', 'wifi', 'makes it easy', 'bill', 'basically', 'best']</v>
      </c>
      <c r="D822" s="3">
        <v>5.0</v>
      </c>
    </row>
    <row r="823" ht="15.75" customHeight="1">
      <c r="A823" s="1">
        <v>858.0</v>
      </c>
      <c r="B823" s="3" t="s">
        <v>817</v>
      </c>
      <c r="C823" s="3" t="str">
        <f>IFERROR(__xludf.DUMMYFUNCTION("GOOGLETRANSLATE(B823,""id"",""en"")"),"['okay']")</f>
        <v>['okay']</v>
      </c>
      <c r="D823" s="3">
        <v>4.0</v>
      </c>
    </row>
    <row r="824" ht="15.75" customHeight="1">
      <c r="A824" s="1">
        <v>859.0</v>
      </c>
      <c r="B824" s="3" t="s">
        <v>818</v>
      </c>
      <c r="C824" s="3" t="str">
        <f>IFERROR(__xludf.DUMMYFUNCTION("GOOGLETRANSLATE(B824,""id"",""en"")"),"['Help', 'monitor', 'bill', 'FUP', 'service', 'easy', 'salute']")</f>
        <v>['Help', 'monitor', 'bill', 'FUP', 'service', 'easy', 'salute']</v>
      </c>
      <c r="D824" s="3">
        <v>5.0</v>
      </c>
    </row>
    <row r="825" ht="15.75" customHeight="1">
      <c r="A825" s="1">
        <v>861.0</v>
      </c>
      <c r="B825" s="3" t="s">
        <v>819</v>
      </c>
      <c r="C825" s="3" t="str">
        <f>IFERROR(__xludf.DUMMYFUNCTION("GOOGLETRANSLATE(B825,""id"",""en"")"),"['application', 'easy', 'accessible', 'information', 'promo', 'chat', 'help', 'complaint', 'help', 'makes it easy', 'customer', 'interact', ' Hopefully ',' application ',' help ',' member ',' Indihome ', ""]")</f>
        <v>['application', 'easy', 'accessible', 'information', 'promo', 'chat', 'help', 'complaint', 'help', 'makes it easy', 'customer', 'interact', ' Hopefully ',' application ',' help ',' member ',' Indihome ', "]</v>
      </c>
      <c r="D825" s="3">
        <v>5.0</v>
      </c>
    </row>
    <row r="826" ht="15.75" customHeight="1">
      <c r="A826" s="1">
        <v>862.0</v>
      </c>
      <c r="B826" s="3" t="s">
        <v>820</v>
      </c>
      <c r="C826" s="3" t="str">
        <f>IFERROR(__xludf.DUMMYFUNCTION("GOOGLETRANSLATE(B826,""id"",""en"")"),"['Sendau', 'Speed', 'already', 'Upgrade', 'Mbps',' APP ',' Mbps', 'Gimanasih', 'Slow', 'Come', 'Increase', 'Competitor', ' already']")</f>
        <v>['Sendau', 'Speed', 'already', 'Upgrade', 'Mbps',' APP ',' Mbps', 'Gimanasih', 'Slow', 'Come', 'Increase', 'Competitor', ' already']</v>
      </c>
      <c r="D826" s="3">
        <v>5.0</v>
      </c>
    </row>
    <row r="827" ht="15.75" customHeight="1">
      <c r="A827" s="1">
        <v>863.0</v>
      </c>
      <c r="B827" s="3" t="s">
        <v>821</v>
      </c>
      <c r="C827" s="3" t="str">
        <f>IFERROR(__xludf.DUMMYFUNCTION("GOOGLETRANSLATE(B827,""id"",""en"")"),"['application', 'petrified', 'reminder', 'bills',' detail ',' details', 'payment', 'displayed', 'program', 'promo', 'customer', ' ']")</f>
        <v>['application', 'petrified', 'reminder', 'bills',' detail ',' details', 'payment', 'displayed', 'program', 'promo', 'customer', ' ']</v>
      </c>
      <c r="D827" s="3">
        <v>5.0</v>
      </c>
    </row>
    <row r="828" ht="15.75" customHeight="1">
      <c r="A828" s="1">
        <v>864.0</v>
      </c>
      <c r="B828" s="3" t="s">
        <v>726</v>
      </c>
      <c r="C828" s="3" t="str">
        <f>IFERROR(__xludf.DUMMYFUNCTION("GOOGLETRANSLATE(B828,""id"",""en"")"),"['application', 'good']")</f>
        <v>['application', 'good']</v>
      </c>
      <c r="D828" s="3">
        <v>5.0</v>
      </c>
    </row>
    <row r="829" ht="15.75" customHeight="1">
      <c r="A829" s="1">
        <v>865.0</v>
      </c>
      <c r="B829" s="3" t="s">
        <v>822</v>
      </c>
      <c r="C829" s="3" t="str">
        <f>IFERROR(__xludf.DUMMYFUNCTION("GOOGLETRANSLATE(B829,""id"",""en"")"),"['Star', 'Anyway', 'good', 'times', 'no', 'get', 'prize', 'ilangin', 'star', ""]")</f>
        <v>['Star', 'Anyway', 'good', 'times', 'no', 'get', 'prize', 'ilangin', 'star', "]</v>
      </c>
      <c r="D829" s="3">
        <v>5.0</v>
      </c>
    </row>
    <row r="830" ht="15.75" customHeight="1">
      <c r="A830" s="1">
        <v>866.0</v>
      </c>
      <c r="B830" s="3" t="s">
        <v>245</v>
      </c>
      <c r="C830" s="3" t="str">
        <f>IFERROR(__xludf.DUMMYFUNCTION("GOOGLETRANSLATE(B830,""id"",""en"")"),"['slow']")</f>
        <v>['slow']</v>
      </c>
      <c r="D830" s="3">
        <v>1.0</v>
      </c>
    </row>
    <row r="831" ht="15.75" customHeight="1">
      <c r="A831" s="1">
        <v>867.0</v>
      </c>
      <c r="B831" s="3" t="s">
        <v>823</v>
      </c>
      <c r="C831" s="3" t="str">
        <f>IFERROR(__xludf.DUMMYFUNCTION("GOOGLETRANSLATE(B831,""id"",""en"")"),"['Steady', 'complaints', 'Direct', 'responded', '']")</f>
        <v>['Steady', 'complaints', 'Direct', 'responded', '']</v>
      </c>
      <c r="D831" s="3">
        <v>5.0</v>
      </c>
    </row>
    <row r="832" ht="15.75" customHeight="1">
      <c r="A832" s="1">
        <v>868.0</v>
      </c>
      <c r="B832" s="3" t="s">
        <v>824</v>
      </c>
      <c r="C832" s="3" t="str">
        <f>IFERROR(__xludf.DUMMYFUNCTION("GOOGLETRANSLATE(B832,""id"",""en"")"),"['Update', 'The application', 'already', 'Not bad', 'smooth', 'difficult', 'report', 'Direct', 'Increases',' Service ',' In the future ',' hope ',' ']")</f>
        <v>['Update', 'The application', 'already', 'Not bad', 'smooth', 'difficult', 'report', 'Direct', 'Increases',' Service ',' In the future ',' hope ',' ']</v>
      </c>
      <c r="D832" s="3">
        <v>5.0</v>
      </c>
    </row>
    <row r="833" ht="15.75" customHeight="1">
      <c r="A833" s="1">
        <v>869.0</v>
      </c>
      <c r="B833" s="3" t="s">
        <v>825</v>
      </c>
      <c r="C833" s="3" t="str">
        <f>IFERROR(__xludf.DUMMYFUNCTION("GOOGLETRANSLATE(B833,""id"",""en"")"),"['Application', 'Help']")</f>
        <v>['Application', 'Help']</v>
      </c>
      <c r="D833" s="3">
        <v>5.0</v>
      </c>
    </row>
    <row r="834" ht="15.75" customHeight="1">
      <c r="A834" s="1">
        <v>870.0</v>
      </c>
      <c r="B834" s="3" t="s">
        <v>826</v>
      </c>
      <c r="C834" s="3" t="str">
        <f>IFERROR(__xludf.DUMMYFUNCTION("GOOGLETRANSLATE(B834,""id"",""en"")"),"['Feature', 'complete', '']")</f>
        <v>['Feature', 'complete', '']</v>
      </c>
      <c r="D834" s="3">
        <v>5.0</v>
      </c>
    </row>
    <row r="835" ht="15.75" customHeight="1">
      <c r="A835" s="1">
        <v>871.0</v>
      </c>
      <c r="B835" s="3" t="s">
        <v>827</v>
      </c>
      <c r="C835" s="3" t="str">
        <f>IFERROR(__xludf.DUMMYFUNCTION("GOOGLETRANSLATE(B835,""id"",""en"")"),"['Display', 'Cool', 'Method', 'Login', 'Facable']")</f>
        <v>['Display', 'Cool', 'Method', 'Login', 'Facable']</v>
      </c>
      <c r="D835" s="3">
        <v>5.0</v>
      </c>
    </row>
    <row r="836" ht="15.75" customHeight="1">
      <c r="A836" s="1">
        <v>872.0</v>
      </c>
      <c r="B836" s="3" t="s">
        <v>828</v>
      </c>
      <c r="C836" s="3" t="str">
        <f>IFERROR(__xludf.DUMMYFUNCTION("GOOGLETRANSLATE(B836,""id"",""en"")"),"['Display', 'the latest', 'good', 'easy', '']")</f>
        <v>['Display', 'the latest', 'good', 'easy', '']</v>
      </c>
      <c r="D836" s="3">
        <v>5.0</v>
      </c>
    </row>
    <row r="837" ht="15.75" customHeight="1">
      <c r="A837" s="1">
        <v>873.0</v>
      </c>
      <c r="B837" s="3" t="s">
        <v>829</v>
      </c>
      <c r="C837" s="3" t="str">
        <f>IFERROR(__xludf.DUMMYFUNCTION("GOOGLETRANSLATE(B837,""id"",""en"")"),"['complicated', 'slow', 'nakya', 'enter', 'difficult', 'forgiveness', 'enter', 'number', 'number', 'registered', 'error']")</f>
        <v>['complicated', 'slow', 'nakya', 'enter', 'difficult', 'forgiveness', 'enter', 'number', 'number', 'registered', 'error']</v>
      </c>
      <c r="D837" s="3">
        <v>1.0</v>
      </c>
    </row>
    <row r="838" ht="15.75" customHeight="1">
      <c r="A838" s="1">
        <v>874.0</v>
      </c>
      <c r="B838" s="3" t="s">
        <v>830</v>
      </c>
      <c r="C838" s="3" t="str">
        <f>IFERROR(__xludf.DUMMYFUNCTION("GOOGLETRANSLATE(B838,""id"",""en"")"),"['Application', 'Latest', 'Easy', 'Accessible', 'Look', 'Neat', 'Transaction', 'Young', 'In', 'Menganan', 'Registration', 'Subscribe', ' Indihome ',' easy ',' set ',' promise ',' technician ',' status', 'progress',' installation ',' transparent ',' pay ',"&amp;"' bill ',' indihome ',' practical ' , 'choice', 'method', 'payment', 'Linkaja', 'balance', 'card', 'credit', 'myindihome', 'easy', 'details', 'bill', 'indihome']")</f>
        <v>['Application', 'Latest', 'Easy', 'Accessible', 'Look', 'Neat', 'Transaction', 'Young', 'In', 'Menganan', 'Registration', 'Subscribe', ' Indihome ',' easy ',' set ',' promise ',' technician ',' status', 'progress',' installation ',' transparent ',' pay ',' bill ',' indihome ',' practical ' , 'choice', 'method', 'payment', 'Linkaja', 'balance', 'card', 'credit', 'myindihome', 'easy', 'details', 'bill', 'indihome']</v>
      </c>
      <c r="D838" s="3">
        <v>5.0</v>
      </c>
    </row>
    <row r="839" ht="15.75" customHeight="1">
      <c r="A839" s="1">
        <v>875.0</v>
      </c>
      <c r="B839" s="3" t="s">
        <v>831</v>
      </c>
      <c r="C839" s="3" t="str">
        <f>IFERROR(__xludf.DUMMYFUNCTION("GOOGLETRANSLATE(B839,""id"",""en"")"),"['Bismillah', 'get', 'JT']")</f>
        <v>['Bismillah', 'get', 'JT']</v>
      </c>
      <c r="D839" s="3">
        <v>5.0</v>
      </c>
    </row>
    <row r="840" ht="15.75" customHeight="1">
      <c r="A840" s="1">
        <v>876.0</v>
      </c>
      <c r="B840" s="3" t="s">
        <v>832</v>
      </c>
      <c r="C840" s="3" t="str">
        <f>IFERROR(__xludf.DUMMYFUNCTION("GOOGLETRANSLATE(B840,""id"",""en"")"),"['Steady', 'improved', 'in the future']")</f>
        <v>['Steady', 'improved', 'in the future']</v>
      </c>
      <c r="D840" s="3">
        <v>5.0</v>
      </c>
    </row>
    <row r="841" ht="15.75" customHeight="1">
      <c r="A841" s="1">
        <v>877.0</v>
      </c>
      <c r="B841" s="3" t="s">
        <v>833</v>
      </c>
      <c r="C841" s="3" t="str">
        <f>IFERROR(__xludf.DUMMYFUNCTION("GOOGLETRANSLATE(B841,""id"",""en"")"),"['Good']")</f>
        <v>['Good']</v>
      </c>
      <c r="D841" s="3">
        <v>5.0</v>
      </c>
    </row>
    <row r="842" ht="15.75" customHeight="1">
      <c r="A842" s="1">
        <v>878.0</v>
      </c>
      <c r="B842" s="3" t="s">
        <v>834</v>
      </c>
      <c r="C842" s="3" t="str">
        <f>IFERROR(__xludf.DUMMYFUNCTION("GOOGLETRANSLATE(B842,""id"",""en"")"),"['BANGJE', 'updated', 'Login']")</f>
        <v>['BANGJE', 'updated', 'Login']</v>
      </c>
      <c r="D842" s="3">
        <v>1.0</v>
      </c>
    </row>
    <row r="843" ht="15.75" customHeight="1">
      <c r="A843" s="1">
        <v>879.0</v>
      </c>
      <c r="B843" s="3" t="s">
        <v>835</v>
      </c>
      <c r="C843" s="3" t="str">
        <f>IFERROR(__xludf.DUMMYFUNCTION("GOOGLETRANSLATE(B843,""id"",""en"")"),"['The application', 'user', 'friendly', 'really', 'easy', 'report', 'disorder', 'report', 'disorder', 'hose', 'officer', 'fix', ' application ',' good ',' level ',' service ',' indihome ',' hope ',' thank ',' love ', ""]")</f>
        <v>['The application', 'user', 'friendly', 'really', 'easy', 'report', 'disorder', 'report', 'disorder', 'hose', 'officer', 'fix', ' application ',' good ',' level ',' service ',' indihome ',' hope ',' thank ',' love ', "]</v>
      </c>
      <c r="D843" s="3">
        <v>5.0</v>
      </c>
    </row>
    <row r="844" ht="15.75" customHeight="1">
      <c r="A844" s="1">
        <v>880.0</v>
      </c>
      <c r="B844" s="3" t="s">
        <v>836</v>
      </c>
      <c r="C844" s="3" t="str">
        <f>IFERROR(__xludf.DUMMYFUNCTION("GOOGLETRANSLATE(B844,""id"",""en"")"),"['internetn', 'super', 'fast', 'no', 'problematic', '']")</f>
        <v>['internetn', 'super', 'fast', 'no', 'problematic', '']</v>
      </c>
      <c r="D844" s="3">
        <v>5.0</v>
      </c>
    </row>
    <row r="845" ht="15.75" customHeight="1">
      <c r="A845" s="1">
        <v>881.0</v>
      </c>
      <c r="B845" s="3" t="s">
        <v>837</v>
      </c>
      <c r="C845" s="3" t="str">
        <f>IFERROR(__xludf.DUMMYFUNCTION("GOOGLETRANSLATE(B845,""id"",""en"")"),"['Service', 'fast', 'mksh', '']")</f>
        <v>['Service', 'fast', 'mksh', '']</v>
      </c>
      <c r="D845" s="3">
        <v>5.0</v>
      </c>
    </row>
    <row r="846" ht="15.75" customHeight="1">
      <c r="A846" s="1">
        <v>882.0</v>
      </c>
      <c r="B846" s="3" t="s">
        <v>838</v>
      </c>
      <c r="C846" s="3" t="str">
        <f>IFERROR(__xludf.DUMMYFUNCTION("GOOGLETRANSLATE(B846,""id"",""en"")"),"['Jos']")</f>
        <v>['Jos']</v>
      </c>
      <c r="D846" s="3">
        <v>5.0</v>
      </c>
    </row>
    <row r="847" ht="15.75" customHeight="1">
      <c r="A847" s="1">
        <v>883.0</v>
      </c>
      <c r="B847" s="3" t="s">
        <v>839</v>
      </c>
      <c r="C847" s="3" t="str">
        <f>IFERROR(__xludf.DUMMYFUNCTION("GOOGLETRANSLATE(B847,""id"",""en"")"),"['Thank', 'You', 'Indihome', 'Zone', 'Comfortable', 'Prioritizes',' Customer ',' Upgrade ',' Application ',' Myindihome ',' Paying ',' User ',' Interface ',' User ',' Experience ',' ']")</f>
        <v>['Thank', 'You', 'Indihome', 'Zone', 'Comfortable', 'Prioritizes',' Customer ',' Upgrade ',' Application ',' Myindihome ',' Paying ',' User ',' Interface ',' User ',' Experience ',' ']</v>
      </c>
      <c r="D847" s="3">
        <v>5.0</v>
      </c>
    </row>
    <row r="848" ht="15.75" customHeight="1">
      <c r="A848" s="1">
        <v>884.0</v>
      </c>
      <c r="B848" s="3" t="s">
        <v>840</v>
      </c>
      <c r="C848" s="3" t="str">
        <f>IFERROR(__xludf.DUMMYFUNCTION("GOOGLETRANSLATE(B848,""id"",""en"")"),"['application', 'busuuuuuk', 'login', 'hard', 'forgiveness']")</f>
        <v>['application', 'busuuuuuk', 'login', 'hard', 'forgiveness']</v>
      </c>
      <c r="D848" s="3">
        <v>1.0</v>
      </c>
    </row>
    <row r="849" ht="15.75" customHeight="1">
      <c r="A849" s="1">
        <v>885.0</v>
      </c>
      <c r="B849" s="3" t="s">
        <v>841</v>
      </c>
      <c r="C849" s="3" t="str">
        <f>IFERROR(__xludf.DUMMYFUNCTION("GOOGLETRANSLATE(B849,""id"",""en"")"),"['Sampe', 'Indihome', 'pokonya']")</f>
        <v>['Sampe', 'Indihome', 'pokonya']</v>
      </c>
      <c r="D849" s="3">
        <v>5.0</v>
      </c>
    </row>
    <row r="850" ht="15.75" customHeight="1">
      <c r="A850" s="1">
        <v>886.0</v>
      </c>
      <c r="B850" s="3" t="s">
        <v>842</v>
      </c>
      <c r="C850" s="3" t="str">
        <f>IFERROR(__xludf.DUMMYFUNCTION("GOOGLETRANSLATE(B850,""id"",""en"")"),"['Keku', 'Disruption', 'Application', 'Indihome', 'Moga', 'CPT', 'Recover', 'Account', 'Log', 'Out']")</f>
        <v>['Keku', 'Disruption', 'Application', 'Indihome', 'Moga', 'CPT', 'Recover', 'Account', 'Log', 'Out']</v>
      </c>
      <c r="D850" s="3">
        <v>3.0</v>
      </c>
    </row>
    <row r="851" ht="15.75" customHeight="1">
      <c r="A851" s="1">
        <v>887.0</v>
      </c>
      <c r="B851" s="3" t="s">
        <v>843</v>
      </c>
      <c r="C851" s="3" t="str">
        <f>IFERROR(__xludf.DUMMYFUNCTION("GOOGLETRANSLATE(B851,""id"",""en"")"),"['Light', 'Drpda', 'Rankan', 'Min']")</f>
        <v>['Light', 'Drpda', 'Rankan', 'Min']</v>
      </c>
      <c r="D851" s="3">
        <v>5.0</v>
      </c>
    </row>
    <row r="852" ht="15.75" customHeight="1">
      <c r="A852" s="1">
        <v>888.0</v>
      </c>
      <c r="B852" s="3" t="s">
        <v>844</v>
      </c>
      <c r="C852" s="3" t="str">
        <f>IFERROR(__xludf.DUMMYFUNCTION("GOOGLETRANSLATE(B852,""id"",""en"")"),"['The application', 'useful', 'update', 'newest', 'features', 'complete', '']")</f>
        <v>['The application', 'useful', 'update', 'newest', 'features', 'complete', '']</v>
      </c>
      <c r="D852" s="3">
        <v>5.0</v>
      </c>
    </row>
    <row r="853" ht="15.75" customHeight="1">
      <c r="A853" s="1">
        <v>889.0</v>
      </c>
      <c r="B853" s="3" t="s">
        <v>845</v>
      </c>
      <c r="C853" s="3" t="str">
        <f>IFERROR(__xludf.DUMMYFUNCTION("GOOGLETRANSLATE(B853,""id"",""en"")"),"['Bags']")</f>
        <v>['Bags']</v>
      </c>
      <c r="D853" s="3">
        <v>5.0</v>
      </c>
    </row>
    <row r="854" ht="15.75" customHeight="1">
      <c r="A854" s="1">
        <v>890.0</v>
      </c>
      <c r="B854" s="3" t="s">
        <v>846</v>
      </c>
      <c r="C854" s="3" t="str">
        <f>IFERROR(__xludf.DUMMYFUNCTION("GOOGLETRANSLATE(B854,""id"",""en"")"),"['Good', 'choice', 'menu', '']")</f>
        <v>['Good', 'choice', 'menu', '']</v>
      </c>
      <c r="D854" s="3">
        <v>5.0</v>
      </c>
    </row>
    <row r="855" ht="15.75" customHeight="1">
      <c r="A855" s="1">
        <v>892.0</v>
      </c>
      <c r="B855" s="3" t="s">
        <v>847</v>
      </c>
      <c r="C855" s="3" t="str">
        <f>IFERROR(__xludf.DUMMYFUNCTION("GOOGLETRANSLATE(B855,""id"",""en"")"),"['Application', 'Good', 'Constraints',' Change ',' Application ',' Application ',' Complaints', 'Application', 'Myindihome', 'Action', 'Continue', 'Accept', ' love']")</f>
        <v>['Application', 'Good', 'Constraints',' Change ',' Application ',' Application ',' Complaints', 'Application', 'Myindihome', 'Action', 'Continue', 'Accept', ' love']</v>
      </c>
      <c r="D855" s="3">
        <v>5.0</v>
      </c>
    </row>
    <row r="856" ht="15.75" customHeight="1">
      <c r="A856" s="1">
        <v>893.0</v>
      </c>
      <c r="B856" s="3" t="s">
        <v>848</v>
      </c>
      <c r="C856" s="3" t="str">
        <f>IFERROR(__xludf.DUMMYFUNCTION("GOOGLETRANSLATE(B856,""id"",""en"")"),"['Application', 'Myindihome', 'Latest', 'Good', 'Look', 'Easy', 'Applied']")</f>
        <v>['Application', 'Myindihome', 'Latest', 'Good', 'Look', 'Easy', 'Applied']</v>
      </c>
      <c r="D856" s="3">
        <v>5.0</v>
      </c>
    </row>
    <row r="857" ht="15.75" customHeight="1">
      <c r="A857" s="1">
        <v>895.0</v>
      </c>
      <c r="B857" s="3" t="s">
        <v>849</v>
      </c>
      <c r="C857" s="3" t="str">
        <f>IFERROR(__xludf.DUMMYFUNCTION("GOOGLETRANSLATE(B857,""id"",""en"")"),"['Thank you', 'love', 'Indihome', 'makes it easy', 'information', 'use', 'internet', 'Indihome']")</f>
        <v>['Thank you', 'love', 'Indihome', 'makes it easy', 'information', 'use', 'internet', 'Indihome']</v>
      </c>
      <c r="D857" s="3">
        <v>5.0</v>
      </c>
    </row>
    <row r="858" ht="15.75" customHeight="1">
      <c r="A858" s="1">
        <v>896.0</v>
      </c>
      <c r="B858" s="3" t="s">
        <v>850</v>
      </c>
      <c r="C858" s="3" t="str">
        <f>IFERROR(__xludf.DUMMYFUNCTION("GOOGLETRANSLATE(B858,""id"",""en"")"),"['Simple', 'Simple', 'Out', 'Pay', 'Bill', 'Direct', 'Points',' Shopher ',' Voucher ',' Happy ',' Happy ',' Thank ',' You ',' Indihome ']")</f>
        <v>['Simple', 'Simple', 'Out', 'Pay', 'Bill', 'Direct', 'Points',' Shopher ',' Voucher ',' Happy ',' Happy ',' Thank ',' You ',' Indihome ']</v>
      </c>
      <c r="D858" s="3">
        <v>5.0</v>
      </c>
    </row>
    <row r="859" ht="15.75" customHeight="1">
      <c r="A859" s="1">
        <v>897.0</v>
      </c>
      <c r="B859" s="3" t="s">
        <v>851</v>
      </c>
      <c r="C859" s="3" t="str">
        <f>IFERROR(__xludf.DUMMYFUNCTION("GOOGLETRANSLATE(B859,""id"",""en"")"),"['update', 'jammed', 'application', 'Oppo', 'lag']")</f>
        <v>['update', 'jammed', 'application', 'Oppo', 'lag']</v>
      </c>
      <c r="D859" s="3">
        <v>1.0</v>
      </c>
    </row>
    <row r="860" ht="15.75" customHeight="1">
      <c r="A860" s="1">
        <v>899.0</v>
      </c>
      <c r="B860" s="3" t="s">
        <v>852</v>
      </c>
      <c r="C860" s="3" t="str">
        <f>IFERROR(__xludf.DUMMYFUNCTION("GOOGLETRANSLATE(B860,""id"",""en"")"),"['updte', 'mlh', 'gni', 'peellleeerrrrr']")</f>
        <v>['updte', 'mlh', 'gni', 'peellleeerrrrr']</v>
      </c>
      <c r="D860" s="3">
        <v>2.0</v>
      </c>
    </row>
    <row r="861" ht="15.75" customHeight="1">
      <c r="A861" s="1">
        <v>900.0</v>
      </c>
      <c r="B861" s="3" t="s">
        <v>853</v>
      </c>
      <c r="C861" s="3" t="str">
        <f>IFERROR(__xludf.DUMMYFUNCTION("GOOGLETRANSLATE(B861,""id"",""en"")"),"['The application', 'update', 'slow', 'Severe', 'BENAHIN', 'DLU', 'DEH', '']")</f>
        <v>['The application', 'update', 'slow', 'Severe', 'BENAHIN', 'DLU', 'DEH', '']</v>
      </c>
      <c r="D861" s="3">
        <v>1.0</v>
      </c>
    </row>
    <row r="862" ht="15.75" customHeight="1">
      <c r="A862" s="1">
        <v>901.0</v>
      </c>
      <c r="B862" s="3" t="s">
        <v>854</v>
      </c>
      <c r="C862" s="3" t="str">
        <f>IFERROR(__xludf.DUMMYFUNCTION("GOOGLETRANSLATE(B862,""id"",""en"")"),"['Duhh', 'slow', '']")</f>
        <v>['Duhh', 'slow', '']</v>
      </c>
      <c r="D862" s="3">
        <v>1.0</v>
      </c>
    </row>
    <row r="863" ht="15.75" customHeight="1">
      <c r="A863" s="1">
        <v>902.0</v>
      </c>
      <c r="B863" s="3" t="s">
        <v>855</v>
      </c>
      <c r="C863" s="3" t="str">
        <f>IFERROR(__xludf.DUMMYFUNCTION("GOOGLETRANSLATE(B863,""id"",""en"")"),"['Application', 'Latest', 'Loding']")</f>
        <v>['Application', 'Latest', 'Loding']</v>
      </c>
      <c r="D863" s="3">
        <v>2.0</v>
      </c>
    </row>
    <row r="864" ht="15.75" customHeight="1">
      <c r="A864" s="1">
        <v>903.0</v>
      </c>
      <c r="B864" s="3" t="s">
        <v>856</v>
      </c>
      <c r="C864" s="3" t="str">
        <f>IFERROR(__xludf.DUMMYFUNCTION("GOOGLETRANSLATE(B864,""id"",""en"")"),"['Helpful', 'Looking', 'Info', 'Promo', 'Latest', 'Keep', '']")</f>
        <v>['Helpful', 'Looking', 'Info', 'Promo', 'Latest', 'Keep', '']</v>
      </c>
      <c r="D864" s="3">
        <v>5.0</v>
      </c>
    </row>
    <row r="865" ht="15.75" customHeight="1">
      <c r="A865" s="1">
        <v>904.0</v>
      </c>
      <c r="B865" s="3" t="s">
        <v>857</v>
      </c>
      <c r="C865" s="3" t="str">
        <f>IFERROR(__xludf.DUMMYFUNCTION("GOOGLETRANSLATE(B865,""id"",""en"")"),"['application', 'Masi', 'improvement', 'System', 'Masi', 'slow', 'Loading', 'on', 'Profile', 'Address',' Updated ',' Menu ',' Good ',' KLW ',' Details', 'Payment', 'Detailed', 'Item', 'Payment', 'Application', 'Thank you', 'Profile', 'Masi', 'Injured', 'U"&amp;"pdate' , 'Profile', 'address', 'clicked', 'Verification', 'KTP', 'Verification', 'Location', 'clicked', 'Where', 'Location', 'Menu', 'Where']")</f>
        <v>['application', 'Masi', 'improvement', 'System', 'Masi', 'slow', 'Loading', 'on', 'Profile', 'Address',' Updated ',' Menu ',' Good ',' KLW ',' Details', 'Payment', 'Detailed', 'Item', 'Payment', 'Application', 'Thank you', 'Profile', 'Masi', 'Injured', 'Update' , 'Profile', 'address', 'clicked', 'Verification', 'KTP', 'Verification', 'Location', 'clicked', 'Where', 'Location', 'Menu', 'Where']</v>
      </c>
      <c r="D865" s="3">
        <v>5.0</v>
      </c>
    </row>
    <row r="866" ht="15.75" customHeight="1">
      <c r="A866" s="1">
        <v>905.0</v>
      </c>
      <c r="B866" s="3" t="s">
        <v>858</v>
      </c>
      <c r="C866" s="3" t="str">
        <f>IFERROR(__xludf.DUMMYFUNCTION("GOOGLETRANSLATE(B866,""id"",""en"")"),"['Assalamu', 'alaikum', 'Hello', 'admin', 'please', 'fix', 'fast', 'application', 'updated', 'chaotic', 'application', 'login', ' user ',' password ',' input ',' answer ',' input ',' password ',' wrong ',' wait ',' clock ',' tip ',' tip ',' request ',' so"&amp;"rry ' , 'repairs', 'replication', 'criticism', 'do', 'change', 'real', 'application', 'hope', 'in the future', 'Wassalamu', 'alaikum']")</f>
        <v>['Assalamu', 'alaikum', 'Hello', 'admin', 'please', 'fix', 'fast', 'application', 'updated', 'chaotic', 'application', 'login', ' user ',' password ',' input ',' answer ',' input ',' password ',' wrong ',' wait ',' clock ',' tip ',' tip ',' request ',' sorry ' , 'repairs', 'replication', 'criticism', 'do', 'change', 'real', 'application', 'hope', 'in the future', 'Wassalamu', 'alaikum']</v>
      </c>
      <c r="D866" s="3">
        <v>1.0</v>
      </c>
    </row>
    <row r="867" ht="15.75" customHeight="1">
      <c r="A867" s="1">
        <v>906.0</v>
      </c>
      <c r="B867" s="3" t="s">
        <v>859</v>
      </c>
      <c r="C867" s="3" t="str">
        <f>IFERROR(__xludf.DUMMYFUNCTION("GOOGLETRANSLATE(B867,""id"",""en"")"),"['Application', 'Useful']")</f>
        <v>['Application', 'Useful']</v>
      </c>
      <c r="D867" s="3">
        <v>1.0</v>
      </c>
    </row>
    <row r="868" ht="15.75" customHeight="1">
      <c r="A868" s="1">
        <v>907.0</v>
      </c>
      <c r="B868" s="3" t="s">
        <v>860</v>
      </c>
      <c r="C868" s="3" t="str">
        <f>IFERROR(__xludf.DUMMYFUNCTION("GOOGLETRANSLATE(B868,""id"",""en"")"),"['Ngebug', 'bran']")</f>
        <v>['Ngebug', 'bran']</v>
      </c>
      <c r="D868" s="3">
        <v>1.0</v>
      </c>
    </row>
    <row r="869" ht="15.75" customHeight="1">
      <c r="A869" s="1">
        <v>908.0</v>
      </c>
      <c r="B869" s="3" t="s">
        <v>861</v>
      </c>
      <c r="C869" s="3" t="str">
        <f>IFERROR(__xludf.DUMMYFUNCTION("GOOGLETRANSLATE(B869,""id"",""en"")"),"['Application', 'good', 'delicious']")</f>
        <v>['Application', 'good', 'delicious']</v>
      </c>
      <c r="D869" s="3">
        <v>5.0</v>
      </c>
    </row>
    <row r="870" ht="15.75" customHeight="1">
      <c r="A870" s="1">
        <v>909.0</v>
      </c>
      <c r="B870" s="3" t="s">
        <v>862</v>
      </c>
      <c r="C870" s="3" t="str">
        <f>IFERROR(__xludf.DUMMYFUNCTION("GOOGLETRANSLATE(B870,""id"",""en"")"),"['Good', 'smooth', 'min']")</f>
        <v>['Good', 'smooth', 'min']</v>
      </c>
      <c r="D870" s="3">
        <v>5.0</v>
      </c>
    </row>
    <row r="871" ht="15.75" customHeight="1">
      <c r="A871" s="1">
        <v>910.0</v>
      </c>
      <c r="B871" s="3" t="s">
        <v>863</v>
      </c>
      <c r="C871" s="3" t="str">
        <f>IFERROR(__xludf.DUMMYFUNCTION("GOOGLETRANSLATE(B871,""id"",""en"")"),"['Service', 'Good', 'Lag', 'Application', 'Rates', 'Flatter', 'Rates', 'Hope', 'Indihome', 'Policy', 'Thank', 'Love']")</f>
        <v>['Service', 'Good', 'Lag', 'Application', 'Rates', 'Flatter', 'Rates', 'Hope', 'Indihome', 'Policy', 'Thank', 'Love']</v>
      </c>
      <c r="D871" s="3">
        <v>1.0</v>
      </c>
    </row>
    <row r="872" ht="15.75" customHeight="1">
      <c r="A872" s="1">
        <v>911.0</v>
      </c>
      <c r="B872" s="3" t="s">
        <v>864</v>
      </c>
      <c r="C872" s="3" t="str">
        <f>IFERROR(__xludf.DUMMYFUNCTION("GOOGLETRANSLATE(B872,""id"",""en"")"),"['The application', 'easy', 'display', 'interactive', 'report', 'disorder', 'pairs',' upgrade ',' service ',' no ',' queue ',' plaza ',' TELKOM ',' INDIHOME ',' Golgaman ']")</f>
        <v>['The application', 'easy', 'display', 'interactive', 'report', 'disorder', 'pairs',' upgrade ',' service ',' no ',' queue ',' plaza ',' TELKOM ',' INDIHOME ',' Golgaman ']</v>
      </c>
      <c r="D872" s="3">
        <v>5.0</v>
      </c>
    </row>
    <row r="873" ht="15.75" customHeight="1">
      <c r="A873" s="1">
        <v>912.0</v>
      </c>
      <c r="B873" s="3" t="s">
        <v>865</v>
      </c>
      <c r="C873" s="3" t="str">
        <f>IFERROR(__xludf.DUMMYFUNCTION("GOOGLETRANSLATE(B873,""id"",""en"")"),"['Ngellag']")</f>
        <v>['Ngellag']</v>
      </c>
      <c r="D873" s="3">
        <v>1.0</v>
      </c>
    </row>
    <row r="874" ht="15.75" customHeight="1">
      <c r="A874" s="1">
        <v>913.0</v>
      </c>
      <c r="B874" s="3" t="s">
        <v>866</v>
      </c>
      <c r="C874" s="3" t="str">
        <f>IFERROR(__xludf.DUMMYFUNCTION("GOOGLETRANSLATE(B874,""id"",""en"")"),"['Service', 'Good', 'Satisfied', 'Thank you']")</f>
        <v>['Service', 'Good', 'Satisfied', 'Thank you']</v>
      </c>
      <c r="D874" s="3">
        <v>5.0</v>
      </c>
    </row>
    <row r="875" ht="15.75" customHeight="1">
      <c r="A875" s="1">
        <v>914.0</v>
      </c>
      <c r="B875" s="3" t="s">
        <v>867</v>
      </c>
      <c r="C875" s="3" t="str">
        <f>IFERROR(__xludf.DUMMYFUNCTION("GOOGLETRANSLATE(B875,""id"",""en"")"),"['innovative', 'easy', 'choose', 'service', 'quality', 'best', ""]")</f>
        <v>['innovative', 'easy', 'choose', 'service', 'quality', 'best', "]</v>
      </c>
      <c r="D875" s="3">
        <v>5.0</v>
      </c>
    </row>
    <row r="876" ht="15.75" customHeight="1">
      <c r="A876" s="1">
        <v>915.0</v>
      </c>
      <c r="B876" s="3" t="s">
        <v>441</v>
      </c>
      <c r="C876" s="3" t="str">
        <f>IFERROR(__xludf.DUMMYFUNCTION("GOOGLETRANSLATE(B876,""id"",""en"")"),"['', '']")</f>
        <v>['', '']</v>
      </c>
      <c r="D876" s="3">
        <v>4.0</v>
      </c>
    </row>
    <row r="877" ht="15.75" customHeight="1">
      <c r="A877" s="1">
        <v>916.0</v>
      </c>
      <c r="B877" s="3" t="s">
        <v>868</v>
      </c>
      <c r="C877" s="3" t="str">
        <f>IFERROR(__xludf.DUMMYFUNCTION("GOOGLETRANSLATE(B877,""id"",""en"")"),"['Good', 'choice', 'easy']")</f>
        <v>['Good', 'choice', 'easy']</v>
      </c>
      <c r="D877" s="3">
        <v>5.0</v>
      </c>
    </row>
    <row r="878" ht="15.75" customHeight="1">
      <c r="A878" s="1">
        <v>917.0</v>
      </c>
      <c r="B878" s="3" t="s">
        <v>869</v>
      </c>
      <c r="C878" s="3" t="str">
        <f>IFERROR(__xludf.DUMMYFUNCTION("GOOGLETRANSLATE(B878,""id"",""en"")"),"['thank', 'love', 'indihome', 'subscribe', 'indihome', 'experience', 'service', 'indihome', 'consumer', 'disorder', 'indihome', 'employee', ' Indihome ',' Direct ',' Check ',' Indihome ',' Thank ',' Love ',' Service ', ""]")</f>
        <v>['thank', 'love', 'indihome', 'subscribe', 'indihome', 'experience', 'service', 'indihome', 'consumer', 'disorder', 'indihome', 'employee', ' Indihome ',' Direct ',' Check ',' Indihome ',' Thank ',' Love ',' Service ', "]</v>
      </c>
      <c r="D878" s="3">
        <v>5.0</v>
      </c>
    </row>
    <row r="879" ht="15.75" customHeight="1">
      <c r="A879" s="1">
        <v>918.0</v>
      </c>
      <c r="B879" s="3" t="s">
        <v>870</v>
      </c>
      <c r="C879" s="3" t="str">
        <f>IFERROR(__xludf.DUMMYFUNCTION("GOOGLETRANSLATE(B879,""id"",""en"")"),"['application', 'help', 'makes it easier', 'consumer', 'do', 'application', 'process',' installation ',' fast ',' data ',' complete ',' increase ',' The network is', 'Suksek', 'Telkom']")</f>
        <v>['application', 'help', 'makes it easier', 'consumer', 'do', 'application', 'process',' installation ',' fast ',' data ',' complete ',' increase ',' The network is', 'Suksek', 'Telkom']</v>
      </c>
      <c r="D879" s="3">
        <v>5.0</v>
      </c>
    </row>
    <row r="880" ht="15.75" customHeight="1">
      <c r="A880" s="1">
        <v>919.0</v>
      </c>
      <c r="B880" s="3" t="s">
        <v>871</v>
      </c>
      <c r="C880" s="3" t="str">
        <f>IFERROR(__xludf.DUMMYFUNCTION("GOOGLETRANSLATE(B880,""id"",""en"")"),"['', 'The', 'Best', 'Service']")</f>
        <v>['', 'The', 'Best', 'Service']</v>
      </c>
      <c r="D880" s="3">
        <v>5.0</v>
      </c>
    </row>
    <row r="881" ht="15.75" customHeight="1">
      <c r="A881" s="1">
        <v>920.0</v>
      </c>
      <c r="B881" s="3" t="s">
        <v>872</v>
      </c>
      <c r="C881" s="3" t="str">
        <f>IFERROR(__xludf.DUMMYFUNCTION("GOOGLETRANSLATE(B881,""id"",""en"")"),"['Update', 'difficult', 'enter', 'loading', 'unistal', 'lgsg']")</f>
        <v>['Update', 'difficult', 'enter', 'loading', 'unistal', 'lgsg']</v>
      </c>
      <c r="D881" s="3">
        <v>1.0</v>
      </c>
    </row>
    <row r="882" ht="15.75" customHeight="1">
      <c r="A882" s="1">
        <v>921.0</v>
      </c>
      <c r="B882" s="3" t="s">
        <v>873</v>
      </c>
      <c r="C882" s="3" t="str">
        <f>IFERROR(__xludf.DUMMYFUNCTION("GOOGLETRANSLATE(B882,""id"",""en"")"),"['Bug', 'lag']")</f>
        <v>['Bug', 'lag']</v>
      </c>
      <c r="D882" s="3">
        <v>2.0</v>
      </c>
    </row>
    <row r="883" ht="15.75" customHeight="1">
      <c r="A883" s="1">
        <v>922.0</v>
      </c>
      <c r="B883" s="3" t="s">
        <v>874</v>
      </c>
      <c r="C883" s="3" t="str">
        <f>IFERROR(__xludf.DUMMYFUNCTION("GOOGLETRANSLATE(B883,""id"",""en"")"),"['Get', 'balance', 'Rb', 'Link', 'Try', 'hope', 'huh', 'get', 'hehehe']")</f>
        <v>['Get', 'balance', 'Rb', 'Link', 'Try', 'hope', 'huh', 'get', 'hehehe']</v>
      </c>
      <c r="D883" s="3">
        <v>5.0</v>
      </c>
    </row>
    <row r="884" ht="15.75" customHeight="1">
      <c r="A884" s="1">
        <v>923.0</v>
      </c>
      <c r="B884" s="3" t="s">
        <v>875</v>
      </c>
      <c r="C884" s="3" t="str">
        <f>IFERROR(__xludf.DUMMYFUNCTION("GOOGLETRANSLATE(B884,""id"",""en"")"),"['good', 'version', 'detail', 'information', 'see', 'Detai', 'FUP', 'use', 'invoice', 'complete', 'offer', 'info', ' Promo ',' delicious', 'Read', 'Thanks']")</f>
        <v>['good', 'version', 'detail', 'information', 'see', 'Detai', 'FUP', 'use', 'invoice', 'complete', 'offer', 'info', ' Promo ',' delicious', 'Read', 'Thanks']</v>
      </c>
      <c r="D884" s="3">
        <v>5.0</v>
      </c>
    </row>
    <row r="885" ht="15.75" customHeight="1">
      <c r="A885" s="1">
        <v>924.0</v>
      </c>
      <c r="B885" s="3" t="s">
        <v>876</v>
      </c>
      <c r="C885" s="3" t="str">
        <f>IFERROR(__xludf.DUMMYFUNCTION("GOOGLETRANSLATE(B885,""id"",""en"")"),"['Application', 'Good', 'Help', 'Control', 'Use', 'Indihome']")</f>
        <v>['Application', 'Good', 'Help', 'Control', 'Use', 'Indihome']</v>
      </c>
      <c r="D885" s="3">
        <v>5.0</v>
      </c>
    </row>
    <row r="886" ht="15.75" customHeight="1">
      <c r="A886" s="1">
        <v>925.0</v>
      </c>
      <c r="B886" s="3" t="s">
        <v>877</v>
      </c>
      <c r="C886" s="3" t="str">
        <f>IFERROR(__xludf.DUMMYFUNCTION("GOOGLETRANSLATE(B886,""id"",""en"")"),"['Upgrade', 'Nasea', 'Application', 'Report', 'Good', 'Version', 'Delete', 'Useful', 'Use']")</f>
        <v>['Upgrade', 'Nasea', 'Application', 'Report', 'Good', 'Version', 'Delete', 'Useful', 'Use']</v>
      </c>
      <c r="D886" s="3">
        <v>1.0</v>
      </c>
    </row>
    <row r="887" ht="15.75" customHeight="1">
      <c r="A887" s="1">
        <v>926.0</v>
      </c>
      <c r="B887" s="3" t="s">
        <v>878</v>
      </c>
      <c r="C887" s="3" t="str">
        <f>IFERROR(__xludf.DUMMYFUNCTION("GOOGLETRANSLATE(B887,""id"",""en"")"),"['heavy', '']")</f>
        <v>['heavy', '']</v>
      </c>
      <c r="D887" s="3">
        <v>1.0</v>
      </c>
    </row>
    <row r="888" ht="15.75" customHeight="1">
      <c r="A888" s="1">
        <v>927.0</v>
      </c>
      <c r="B888" s="3" t="s">
        <v>879</v>
      </c>
      <c r="C888" s="3" t="str">
        <f>IFERROR(__xludf.DUMMYFUNCTION("GOOGLETRANSLATE(B888,""id"",""en"")"),"['What', 'run out', 'update', 'told', 'login', 'login', 'password', 'wrong', 'repeated', 'repair', 'repeated', 'replace', ' password ',' sent ',' run out ',' repeated ',' told ',' wait ',' clock ',' login ',' ']")</f>
        <v>['What', 'run out', 'update', 'told', 'login', 'login', 'password', 'wrong', 'repeated', 'repair', 'repeated', 'replace', ' password ',' sent ',' run out ',' repeated ',' told ',' wait ',' clock ',' login ',' ']</v>
      </c>
      <c r="D888" s="3">
        <v>1.0</v>
      </c>
    </row>
    <row r="889" ht="15.75" customHeight="1">
      <c r="A889" s="1">
        <v>928.0</v>
      </c>
      <c r="B889" s="3" t="s">
        <v>880</v>
      </c>
      <c r="C889" s="3" t="str">
        <f>IFERROR(__xludf.DUMMYFUNCTION("GOOGLETRANSLATE(B889,""id"",""en"")"),"['Love', 'star', 'skrg', 'the application', 'access', '']")</f>
        <v>['Love', 'star', 'skrg', 'the application', 'access', '']</v>
      </c>
      <c r="D889" s="3">
        <v>1.0</v>
      </c>
    </row>
    <row r="890" ht="15.75" customHeight="1">
      <c r="A890" s="1">
        <v>929.0</v>
      </c>
      <c r="B890" s="3" t="s">
        <v>881</v>
      </c>
      <c r="C890" s="3" t="str">
        <f>IFERROR(__xludf.DUMMYFUNCTION("GOOGLETRANSLATE(B890,""id"",""en"")"),"['renewal', 'rotten', 'gini', 'update', 'yesterday', 'delete', 'app', 'rotten']")</f>
        <v>['renewal', 'rotten', 'gini', 'update', 'yesterday', 'delete', 'app', 'rotten']</v>
      </c>
      <c r="D890" s="3">
        <v>1.0</v>
      </c>
    </row>
    <row r="891" ht="15.75" customHeight="1">
      <c r="A891" s="1">
        <v>930.0</v>
      </c>
      <c r="B891" s="3" t="s">
        <v>882</v>
      </c>
      <c r="C891" s="3" t="str">
        <f>IFERROR(__xludf.DUMMYFUNCTION("GOOGLETRANSLATE(B891,""id"",""en"")"),"['display', 'adjustment', 'application', 'launch', 'ngelag', 'open', 'menu', 'menu', 'wait', 'severe', 'already', 'pairs',' Services', 'internet', 'Ktika', 'renew', 'there', 'told', 'subscription', 'package', 'customer']")</f>
        <v>['display', 'adjustment', 'application', 'launch', 'ngelag', 'open', 'menu', 'menu', 'wait', 'severe', 'already', 'pairs',' Services', 'internet', 'Ktika', 'renew', 'there', 'told', 'subscription', 'package', 'customer']</v>
      </c>
      <c r="D891" s="3">
        <v>2.0</v>
      </c>
    </row>
    <row r="892" ht="15.75" customHeight="1">
      <c r="A892" s="1">
        <v>931.0</v>
      </c>
      <c r="B892" s="3" t="s">
        <v>883</v>
      </c>
      <c r="C892" s="3" t="str">
        <f>IFERROR(__xludf.DUMMYFUNCTION("GOOGLETRANSLATE(B892,""id"",""en"")"),"['Lemot', 'Disturbing']")</f>
        <v>['Lemot', 'Disturbing']</v>
      </c>
      <c r="D892" s="3">
        <v>1.0</v>
      </c>
    </row>
    <row r="893" ht="15.75" customHeight="1">
      <c r="A893" s="1">
        <v>932.0</v>
      </c>
      <c r="B893" s="3" t="s">
        <v>884</v>
      </c>
      <c r="C893" s="3" t="str">
        <f>IFERROR(__xludf.DUMMYFUNCTION("GOOGLETRANSLATE(B893,""id"",""en"")"),"['Severe', 'Update', 'Bener', 'Development', 'Severe']")</f>
        <v>['Severe', 'Update', 'Bener', 'Development', 'Severe']</v>
      </c>
      <c r="D893" s="3">
        <v>1.0</v>
      </c>
    </row>
    <row r="894" ht="15.75" customHeight="1">
      <c r="A894" s="1">
        <v>933.0</v>
      </c>
      <c r="B894" s="3" t="s">
        <v>885</v>
      </c>
      <c r="C894" s="3" t="str">
        <f>IFERROR(__xludf.DUMMYFUNCTION("GOOGLETRANSLATE(B894,""id"",""en"")"),"['renewal', 'ugly', 'slow', 'report', 'disorder']")</f>
        <v>['renewal', 'ugly', 'slow', 'report', 'disorder']</v>
      </c>
      <c r="D894" s="3">
        <v>1.0</v>
      </c>
    </row>
    <row r="895" ht="15.75" customHeight="1">
      <c r="A895" s="1">
        <v>934.0</v>
      </c>
      <c r="B895" s="3" t="s">
        <v>886</v>
      </c>
      <c r="C895" s="3" t="str">
        <f>IFERROR(__xludf.DUMMYFUNCTION("GOOGLETRANSLATE(B895,""id"",""en"")"),"['Sorry', 'the application', 'no', 'entered', 'email', 'number', 'no', 'entered', 'Kemrin', 'Yesterday', 'Sunday', 'no' Posts', 'Improvement', 'Service', 'Disorders',' GIMNA ',' ']")</f>
        <v>['Sorry', 'the application', 'no', 'entered', 'email', 'number', 'no', 'entered', 'Kemrin', 'Yesterday', 'Sunday', 'no' Posts', 'Improvement', 'Service', 'Disorders',' GIMNA ',' ']</v>
      </c>
      <c r="D895" s="3">
        <v>2.0</v>
      </c>
    </row>
    <row r="896" ht="15.75" customHeight="1">
      <c r="A896" s="1">
        <v>935.0</v>
      </c>
      <c r="B896" s="3" t="s">
        <v>887</v>
      </c>
      <c r="C896" s="3" t="str">
        <f>IFERROR(__xludf.DUMMYFUNCTION("GOOGLETRANSLATE(B896,""id"",""en"")"),"['Application', 'Super', 'Super', 'Super', 'Leet', 'BUMN', 'Kayak', 'Gini', 'result', ""]")</f>
        <v>['Application', 'Super', 'Super', 'Super', 'Leet', 'BUMN', 'Kayak', 'Gini', 'result', "]</v>
      </c>
      <c r="D896" s="3">
        <v>1.0</v>
      </c>
    </row>
    <row r="897" ht="15.75" customHeight="1">
      <c r="A897" s="1">
        <v>936.0</v>
      </c>
      <c r="B897" s="3" t="s">
        <v>888</v>
      </c>
      <c r="C897" s="3" t="str">
        <f>IFERROR(__xludf.DUMMYFUNCTION("GOOGLETRANSLATE(B897,""id"",""en"")"),"['application', 'renew', '']")</f>
        <v>['application', 'renew', '']</v>
      </c>
      <c r="D897" s="3">
        <v>1.0</v>
      </c>
    </row>
    <row r="898" ht="15.75" customHeight="1">
      <c r="A898" s="1">
        <v>937.0</v>
      </c>
      <c r="B898" s="3" t="s">
        <v>889</v>
      </c>
      <c r="C898" s="3" t="str">
        <f>IFERROR(__xludf.DUMMYFUNCTION("GOOGLETRANSLATE(B898,""id"",""en"")"),"['application', 'Bgus',' signal ',' Lelelttt ',' JLEKK ',' HLP ',' PKE ',' WIFI ',' Indihome ',' JLEKK ',' BNGTTT ',' Weak ',' ']")</f>
        <v>['application', 'Bgus',' signal ',' Lelelttt ',' JLEKK ',' HLP ',' PKE ',' WIFI ',' Indihome ',' JLEKK ',' BNGTTT ',' Weak ',' ']</v>
      </c>
      <c r="D898" s="3">
        <v>1.0</v>
      </c>
    </row>
    <row r="899" ht="15.75" customHeight="1">
      <c r="A899" s="1">
        <v>938.0</v>
      </c>
      <c r="B899" s="3" t="s">
        <v>890</v>
      </c>
      <c r="C899" s="3" t="str">
        <f>IFERROR(__xludf.DUMMYFUNCTION("GOOGLETRANSLATE(B899,""id"",""en"")"),"['Application', 'Indihome', 'Easy to', 'User', 'Indihome', 'Payment', 'Enjoy', 'Features',' Lengak ',' Additional ',' Internet ',' Fast ',' Hopefully ',' Indihome ',' in the future ',' ']")</f>
        <v>['Application', 'Indihome', 'Easy to', 'User', 'Indihome', 'Payment', 'Enjoy', 'Features',' Lengak ',' Additional ',' Internet ',' Fast ',' Hopefully ',' Indihome ',' in the future ',' ']</v>
      </c>
      <c r="D899" s="3">
        <v>5.0</v>
      </c>
    </row>
    <row r="900" ht="15.75" customHeight="1">
      <c r="A900" s="1">
        <v>939.0</v>
      </c>
      <c r="B900" s="3" t="s">
        <v>891</v>
      </c>
      <c r="C900" s="3" t="str">
        <f>IFERROR(__xludf.DUMMYFUNCTION("GOOGLETRANSLATE(B900,""id"",""en"")"),"['Slapppp']")</f>
        <v>['Slapppp']</v>
      </c>
      <c r="D900" s="3">
        <v>5.0</v>
      </c>
    </row>
    <row r="901" ht="15.75" customHeight="1">
      <c r="A901" s="1">
        <v>940.0</v>
      </c>
      <c r="B901" s="3" t="s">
        <v>892</v>
      </c>
      <c r="C901" s="3" t="str">
        <f>IFERROR(__xludf.DUMMYFUNCTION("GOOGLETRANSLATE(B901,""id"",""en"")"),"['ugly', 'applicationx', '']")</f>
        <v>['ugly', 'applicationx', '']</v>
      </c>
      <c r="D901" s="3">
        <v>1.0</v>
      </c>
    </row>
    <row r="902" ht="15.75" customHeight="1">
      <c r="A902" s="1">
        <v>941.0</v>
      </c>
      <c r="B902" s="3" t="s">
        <v>893</v>
      </c>
      <c r="C902" s="3" t="str">
        <f>IFERROR(__xludf.DUMMYFUNCTION("GOOGLETRANSLATE(B902,""id"",""en"")"),"['Update', 'Features', 'See', 'User', 'Enter', 'Ansa', 'Return', 'Lemot', ""]")</f>
        <v>['Update', 'Features', 'See', 'User', 'Enter', 'Ansa', 'Return', 'Lemot', "]</v>
      </c>
      <c r="D902" s="3">
        <v>1.0</v>
      </c>
    </row>
    <row r="903" ht="15.75" customHeight="1">
      <c r="A903" s="1">
        <v>942.0</v>
      </c>
      <c r="B903" s="3" t="s">
        <v>894</v>
      </c>
      <c r="C903" s="3" t="str">
        <f>IFERROR(__xludf.DUMMYFUNCTION("GOOGLETRANSLATE(B903,""id"",""en"")"),"['Update', 'Application', 'Application', 'Enter', 'Order', 'Verification', 'Number', 'cellphone', 'Unfortunately', 'number', 'Verification', 'Include', ' Nomers', 'telephone', 'wkwkw', 'Please', 'enhancer', '']")</f>
        <v>['Update', 'Application', 'Application', 'Enter', 'Order', 'Verification', 'Number', 'cellphone', 'Unfortunately', 'number', 'Verification', 'Include', ' Nomers', 'telephone', 'wkwkw', 'Please', 'enhancer', '']</v>
      </c>
      <c r="D903" s="3">
        <v>1.0</v>
      </c>
    </row>
    <row r="904" ht="15.75" customHeight="1">
      <c r="A904" s="1">
        <v>943.0</v>
      </c>
      <c r="B904" s="3" t="s">
        <v>895</v>
      </c>
      <c r="C904" s="3" t="str">
        <f>IFERROR(__xludf.DUMMYFUNCTION("GOOGLETRANSLATE(B904,""id"",""en"")"),"['Kasi', 'star', 'the application', 'heavy', 'his way', 'please', 'repaired', 'thanks']")</f>
        <v>['Kasi', 'star', 'the application', 'heavy', 'his way', 'please', 'repaired', 'thanks']</v>
      </c>
      <c r="D904" s="3">
        <v>2.0</v>
      </c>
    </row>
    <row r="905" ht="15.75" customHeight="1">
      <c r="A905" s="1">
        <v>944.0</v>
      </c>
      <c r="B905" s="3" t="s">
        <v>896</v>
      </c>
      <c r="C905" s="3" t="str">
        <f>IFERROR(__xludf.DUMMYFUNCTION("GOOGLETRANSLATE(B905,""id"",""en"")"),"['Have', 'It', 'Focus',' Work ',' Tool ',' Loading ',' TRS ',' Network ',' Pdhl ',' Good ',' Jngn ',' Eat ',' salary ',' blind ']")</f>
        <v>['Have', 'It', 'Focus',' Work ',' Tool ',' Loading ',' TRS ',' Network ',' Pdhl ',' Good ',' Jngn ',' Eat ',' salary ',' blind ']</v>
      </c>
      <c r="D905" s="3">
        <v>1.0</v>
      </c>
    </row>
    <row r="906" ht="15.75" customHeight="1">
      <c r="A906" s="1">
        <v>945.0</v>
      </c>
      <c r="B906" s="3" t="s">
        <v>897</v>
      </c>
      <c r="C906" s="3" t="str">
        <f>IFERROR(__xludf.DUMMYFUNCTION("GOOGLETRANSLATE(B906,""id"",""en"")"),"['The App', 'Ribet', 'Login', 'Sometimes', 'Dida', 'An hour', 'Error']")</f>
        <v>['The App', 'Ribet', 'Login', 'Sometimes', 'Dida', 'An hour', 'Error']</v>
      </c>
      <c r="D906" s="3">
        <v>2.0</v>
      </c>
    </row>
    <row r="907" ht="15.75" customHeight="1">
      <c r="A907" s="1">
        <v>946.0</v>
      </c>
      <c r="B907" s="3" t="s">
        <v>898</v>
      </c>
      <c r="C907" s="3" t="str">
        <f>IFERROR(__xludf.DUMMYFUNCTION("GOOGLETRANSLATE(B907,""id"",""en"")"),"['', 'thisi', 'location', 'Surabaya', 'yaa', '']")</f>
        <v>['', 'thisi', 'location', 'Surabaya', 'yaa', '']</v>
      </c>
      <c r="D907" s="3">
        <v>1.0</v>
      </c>
    </row>
    <row r="908" ht="15.75" customHeight="1">
      <c r="A908" s="1">
        <v>947.0</v>
      </c>
      <c r="B908" s="3" t="s">
        <v>899</v>
      </c>
      <c r="C908" s="3" t="str">
        <f>IFERROR(__xludf.DUMMYFUNCTION("GOOGLETRANSLATE(B908,""id"",""en"")"),"['Network', 'stable', 'pay', 'expensive', 'kayak', 'gini', 'poor']")</f>
        <v>['Network', 'stable', 'pay', 'expensive', 'kayak', 'gini', 'poor']</v>
      </c>
      <c r="D908" s="3">
        <v>1.0</v>
      </c>
    </row>
    <row r="909" ht="15.75" customHeight="1">
      <c r="A909" s="1">
        <v>948.0</v>
      </c>
      <c r="B909" s="3" t="s">
        <v>900</v>
      </c>
      <c r="C909" s="3" t="str">
        <f>IFERROR(__xludf.DUMMYFUNCTION("GOOGLETRANSLATE(B909,""id"",""en"")"),"['Application', 'update', 'ugly', 'paid', 'a week', 'appearance', 'paid', 'washered', 'bagan', 'display', 'application', ""]")</f>
        <v>['Application', 'update', 'ugly', 'paid', 'a week', 'appearance', 'paid', 'washered', 'bagan', 'display', 'application', "]</v>
      </c>
      <c r="D909" s="3">
        <v>1.0</v>
      </c>
    </row>
    <row r="910" ht="15.75" customHeight="1">
      <c r="A910" s="1">
        <v>949.0</v>
      </c>
      <c r="B910" s="3" t="s">
        <v>901</v>
      </c>
      <c r="C910" s="3" t="str">
        <f>IFERROR(__xludf.DUMMYFUNCTION("GOOGLETRANSLATE(B910,""id"",""en"")"),"['updated', 'Login', 'click', 'forget', 'password', 'can', 'token', 'enter', 'replace', 'password', ""]")</f>
        <v>['updated', 'Login', 'click', 'forget', 'password', 'can', 'token', 'enter', 'replace', 'password', "]</v>
      </c>
      <c r="D910" s="3">
        <v>1.0</v>
      </c>
    </row>
    <row r="911" ht="15.75" customHeight="1">
      <c r="A911" s="1">
        <v>950.0</v>
      </c>
      <c r="B911" s="3" t="s">
        <v>902</v>
      </c>
      <c r="C911" s="3" t="str">
        <f>IFERROR(__xludf.DUMMYFUNCTION("GOOGLETRANSLATE(B911,""id"",""en"")"),"['Application', 'intention', 'little', 'report', '4 hours',' Watch ',' Sunday ',' Update ',' Application ',' Improved ',' Kurnag ',' Teach ',' ']")</f>
        <v>['Application', 'intention', 'little', 'report', '4 hours',' Watch ',' Sunday ',' Update ',' Application ',' Improved ',' Kurnag ',' Teach ',' ']</v>
      </c>
      <c r="D911" s="3">
        <v>1.0</v>
      </c>
    </row>
    <row r="912" ht="15.75" customHeight="1">
      <c r="A912" s="1">
        <v>951.0</v>
      </c>
      <c r="B912" s="3" t="s">
        <v>903</v>
      </c>
      <c r="C912" s="3" t="str">
        <f>IFERROR(__xludf.DUMMYFUNCTION("GOOGLETRANSLATE(B912,""id"",""en"")"),"['Report', 'Disruption', 'Sampe', 'Gifts', 'BLM', '']")</f>
        <v>['Report', 'Disruption', 'Sampe', 'Gifts', 'BLM', '']</v>
      </c>
      <c r="D912" s="3">
        <v>1.0</v>
      </c>
    </row>
    <row r="913" ht="15.75" customHeight="1">
      <c r="A913" s="1">
        <v>952.0</v>
      </c>
      <c r="B913" s="3" t="s">
        <v>904</v>
      </c>
      <c r="C913" s="3" t="str">
        <f>IFERROR(__xludf.DUMMYFUNCTION("GOOGLETRANSLATE(B913,""id"",""en"")"),"['crazy', 'application', 'Indihome', 'as shamen', 'update', 'force', 'close', 'entry', 'slow', 'forgiveness', ""]")</f>
        <v>['crazy', 'application', 'Indihome', 'as shamen', 'update', 'force', 'close', 'entry', 'slow', 'forgiveness', "]</v>
      </c>
      <c r="D913" s="3">
        <v>1.0</v>
      </c>
    </row>
    <row r="914" ht="15.75" customHeight="1">
      <c r="A914" s="1">
        <v>953.0</v>
      </c>
      <c r="B914" s="3" t="s">
        <v>905</v>
      </c>
      <c r="C914" s="3" t="str">
        <f>IFERROR(__xludf.DUMMYFUNCTION("GOOGLETRANSLATE(B914,""id"",""en"")"),"['Application', 'Indihome', 'makes it easy', 'Candidate', 'User', 'Indihome', 'Information', 'Service', 'provided', 'Indihome', 'complete', 'Information', ' Provided ',' apps', 'easy', '']")</f>
        <v>['Application', 'Indihome', 'makes it easy', 'Candidate', 'User', 'Indihome', 'Information', 'Service', 'provided', 'Indihome', 'complete', 'Information', ' Provided ',' apps', 'easy', '']</v>
      </c>
      <c r="D914" s="3">
        <v>5.0</v>
      </c>
    </row>
    <row r="915" ht="15.75" customHeight="1">
      <c r="A915" s="1">
        <v>954.0</v>
      </c>
      <c r="B915" s="3" t="s">
        <v>906</v>
      </c>
      <c r="C915" s="3" t="str">
        <f>IFERROR(__xludf.DUMMYFUNCTION("GOOGLETRANSLATE(B915,""id"",""en"")"),"['update', 'chaotic', 'application']")</f>
        <v>['update', 'chaotic', 'application']</v>
      </c>
      <c r="D915" s="3">
        <v>1.0</v>
      </c>
    </row>
    <row r="916" ht="15.75" customHeight="1">
      <c r="A916" s="1">
        <v>955.0</v>
      </c>
      <c r="B916" s="3" t="s">
        <v>907</v>
      </c>
      <c r="C916" s="3" t="str">
        <f>IFERROR(__xludf.DUMMYFUNCTION("GOOGLETRANSLATE(B916,""id"",""en"")"),"['', 'Quality', 'enter', 'difficult']")</f>
        <v>['', 'Quality', 'enter', 'difficult']</v>
      </c>
      <c r="D916" s="3">
        <v>1.0</v>
      </c>
    </row>
    <row r="917" ht="15.75" customHeight="1">
      <c r="A917" s="1">
        <v>956.0</v>
      </c>
      <c r="B917" s="3" t="s">
        <v>908</v>
      </c>
      <c r="C917" s="3" t="str">
        <f>IFERROR(__xludf.DUMMYFUNCTION("GOOGLETRANSLATE(B917,""id"",""en"")"),"['Balance', 'Indihome', 'disappears', 'Features', 'Report', 'Damage', 'Lost', 'Application', 'Indihome']")</f>
        <v>['Balance', 'Indihome', 'disappears', 'Features', 'Report', 'Damage', 'Lost', 'Application', 'Indihome']</v>
      </c>
      <c r="D917" s="3">
        <v>1.0</v>
      </c>
    </row>
    <row r="918" ht="15.75" customHeight="1">
      <c r="A918" s="1">
        <v>957.0</v>
      </c>
      <c r="B918" s="3" t="s">
        <v>909</v>
      </c>
      <c r="C918" s="3" t="str">
        <f>IFERROR(__xludf.DUMMYFUNCTION("GOOGLETRANSLATE(B918,""id"",""en"")"),"['Try', 'application', 'simple', 'strange', 'strange', 'open', 'loading', 'dhikr', 'report', 'disruption', 'istighfar']")</f>
        <v>['Try', 'application', 'simple', 'strange', 'strange', 'open', 'loading', 'dhikr', 'report', 'disruption', 'istighfar']</v>
      </c>
      <c r="D918" s="3">
        <v>1.0</v>
      </c>
    </row>
    <row r="919" ht="15.75" customHeight="1">
      <c r="A919" s="1">
        <v>958.0</v>
      </c>
      <c r="B919" s="3" t="s">
        <v>910</v>
      </c>
      <c r="C919" s="3" t="str">
        <f>IFERROR(__xludf.DUMMYFUNCTION("GOOGLETRANSLATE(B919,""id"",""en"")"),"['update', 'worst', 'report', 'DMNA', 'OIII', 'Ribet', 'The application', 'BUMN', 'Gini', 'pepahhhh']")</f>
        <v>['update', 'worst', 'report', 'DMNA', 'OIII', 'Ribet', 'The application', 'BUMN', 'Gini', 'pepahhhh']</v>
      </c>
      <c r="D919" s="3">
        <v>1.0</v>
      </c>
    </row>
    <row r="920" ht="15.75" customHeight="1">
      <c r="A920" s="1">
        <v>959.0</v>
      </c>
      <c r="B920" s="3" t="s">
        <v>911</v>
      </c>
      <c r="C920" s="3" t="str">
        <f>IFERROR(__xludf.DUMMYFUNCTION("GOOGLETRANSLATE(B920,""id"",""en"")"),"['Out', 'update', 'application', 'come', 'log', 'account', '']")</f>
        <v>['Out', 'update', 'application', 'come', 'log', 'account', '']</v>
      </c>
      <c r="D920" s="3">
        <v>1.0</v>
      </c>
    </row>
    <row r="921" ht="15.75" customHeight="1">
      <c r="A921" s="1">
        <v>960.0</v>
      </c>
      <c r="B921" s="3" t="s">
        <v>912</v>
      </c>
      <c r="C921" s="3" t="str">
        <f>IFERROR(__xludf.DUMMYFUNCTION("GOOGLETRANSLATE(B921,""id"",""en"")"),"['slow', 'application', 'finished', 'already', 'launch', 'internet', 'class', 'premium', 'tetep', 'slow', 'apk', '']")</f>
        <v>['slow', 'application', 'finished', 'already', 'launch', 'internet', 'class', 'premium', 'tetep', 'slow', 'apk', '']</v>
      </c>
      <c r="D921" s="3">
        <v>2.0</v>
      </c>
    </row>
    <row r="922" ht="15.75" customHeight="1">
      <c r="A922" s="1">
        <v>961.0</v>
      </c>
      <c r="B922" s="3" t="s">
        <v>913</v>
      </c>
      <c r="C922" s="3" t="str">
        <f>IFERROR(__xludf.DUMMYFUNCTION("GOOGLETRANSLATE(B922,""id"",""en"")"),"['Loading', 'Mulu', 'already', 'Network', 'Internet', 'Disorders', 'Report', 'Apps', 'Heah', ""]")</f>
        <v>['Loading', 'Mulu', 'already', 'Network', 'Internet', 'Disorders', 'Report', 'Apps', 'Heah', "]</v>
      </c>
      <c r="D922" s="3">
        <v>1.0</v>
      </c>
    </row>
    <row r="923" ht="15.75" customHeight="1">
      <c r="A923" s="1">
        <v>962.0</v>
      </c>
      <c r="B923" s="3" t="s">
        <v>914</v>
      </c>
      <c r="C923" s="3" t="str">
        <f>IFERROR(__xludf.DUMMYFUNCTION("GOOGLETRANSLATE(B923,""id"",""en"")"),"['application', 'bad', '']")</f>
        <v>['application', 'bad', '']</v>
      </c>
      <c r="D923" s="3">
        <v>1.0</v>
      </c>
    </row>
    <row r="924" ht="15.75" customHeight="1">
      <c r="A924" s="1">
        <v>963.0</v>
      </c>
      <c r="B924" s="3" t="s">
        <v>915</v>
      </c>
      <c r="C924" s="3" t="str">
        <f>IFERROR(__xludf.DUMMYFUNCTION("GOOGLETRANSLATE(B924,""id"",""en"")"),"['Out', 'update', 'Nggk', 'accessed', '']")</f>
        <v>['Out', 'update', 'Nggk', 'accessed', '']</v>
      </c>
      <c r="D924" s="3">
        <v>3.0</v>
      </c>
    </row>
    <row r="925" ht="15.75" customHeight="1">
      <c r="A925" s="1">
        <v>964.0</v>
      </c>
      <c r="B925" s="3" t="s">
        <v>916</v>
      </c>
      <c r="C925" s="3" t="str">
        <f>IFERROR(__xludf.DUMMYFUNCTION("GOOGLETRANSLATE(B925,""id"",""en"")"),"['Thank you', 'APK', 'Good', '']")</f>
        <v>['Thank you', 'APK', 'Good', '']</v>
      </c>
      <c r="D925" s="3">
        <v>5.0</v>
      </c>
    </row>
    <row r="926" ht="15.75" customHeight="1">
      <c r="A926" s="1">
        <v>965.0</v>
      </c>
      <c r="B926" s="3" t="s">
        <v>917</v>
      </c>
      <c r="C926" s="3" t="str">
        <f>IFERROR(__xludf.DUMMYFUNCTION("GOOGLETRANSLATE(B926,""id"",""en"")"),"['Error', 'garbage']")</f>
        <v>['Error', 'garbage']</v>
      </c>
      <c r="D926" s="3">
        <v>1.0</v>
      </c>
    </row>
    <row r="927" ht="15.75" customHeight="1">
      <c r="A927" s="1">
        <v>966.0</v>
      </c>
      <c r="B927" s="3" t="s">
        <v>918</v>
      </c>
      <c r="C927" s="3" t="str">
        <f>IFERROR(__xludf.DUMMYFUNCTION("GOOGLETRANSLATE(B927,""id"",""en"")"),"['apk', 'tdak', 'access', 'for days', 'network', 'internet', 'slow', 'disappointing']")</f>
        <v>['apk', 'tdak', 'access', 'for days', 'network', 'internet', 'slow', 'disappointing']</v>
      </c>
      <c r="D927" s="3">
        <v>1.0</v>
      </c>
    </row>
    <row r="928" ht="15.75" customHeight="1">
      <c r="A928" s="1">
        <v>970.0</v>
      </c>
      <c r="B928" s="3" t="s">
        <v>919</v>
      </c>
      <c r="C928" s="3" t="str">
        <f>IFERROR(__xludf.DUMMYFUNCTION("GOOGLETRANSLATE(B928,""id"",""en"")"),"['application', 'run', 'slow']")</f>
        <v>['application', 'run', 'slow']</v>
      </c>
      <c r="D928" s="3">
        <v>2.0</v>
      </c>
    </row>
    <row r="929" ht="15.75" customHeight="1">
      <c r="A929" s="1">
        <v>971.0</v>
      </c>
      <c r="B929" s="3" t="s">
        <v>920</v>
      </c>
      <c r="C929" s="3" t="str">
        <f>IFERROR(__xludf.DUMMYFUNCTION("GOOGLETRANSLATE(B929,""id"",""en"")"),"['Please', 'Network', 'Stable', 'KADSNG', 'Signal', 'Internet', 'Pay', 'Expensive', 'Service', 'Gini', 'qualitory', 'signal', ' Setile ']")</f>
        <v>['Please', 'Network', 'Stable', 'KADSNG', 'Signal', 'Internet', 'Pay', 'Expensive', 'Service', 'Gini', 'qualitory', 'signal', ' Setile ']</v>
      </c>
      <c r="D929" s="3">
        <v>2.0</v>
      </c>
    </row>
    <row r="930" ht="15.75" customHeight="1">
      <c r="A930" s="1">
        <v>972.0</v>
      </c>
      <c r="B930" s="3" t="s">
        <v>921</v>
      </c>
      <c r="C930" s="3" t="str">
        <f>IFERROR(__xludf.DUMMYFUNCTION("GOOGLETRANSLATE(B930,""id"",""en"")"),"['wifi', 'play', 'valorant', 'win', 'landslide', 'wifi', 'dead', 'lose', 'Gara', 'Gara', 'wifi', 'idiot', ' Install ',' wifi ',' Indihome ',' Mending ',' Kek ',' ']")</f>
        <v>['wifi', 'play', 'valorant', 'win', 'landslide', 'wifi', 'dead', 'lose', 'Gara', 'Gara', 'wifi', 'idiot', ' Install ',' wifi ',' Indihome ',' Mending ',' Kek ',' ']</v>
      </c>
      <c r="D930" s="3">
        <v>1.0</v>
      </c>
    </row>
    <row r="931" ht="15.75" customHeight="1">
      <c r="A931" s="1">
        <v>973.0</v>
      </c>
      <c r="B931" s="3" t="s">
        <v>922</v>
      </c>
      <c r="C931" s="3" t="str">
        <f>IFERROR(__xludf.DUMMYFUNCTION("GOOGLETRANSLATE(B931,""id"",""en"")"),"['Network', 'missing']")</f>
        <v>['Network', 'missing']</v>
      </c>
      <c r="D931" s="3">
        <v>1.0</v>
      </c>
    </row>
    <row r="932" ht="15.75" customHeight="1">
      <c r="A932" s="1">
        <v>974.0</v>
      </c>
      <c r="B932" s="3" t="s">
        <v>923</v>
      </c>
      <c r="C932" s="3" t="str">
        <f>IFERROR(__xludf.DUMMYFUNCTION("GOOGLETRANSLATE(B932,""id"",""en"")"),"['network', 'disconnected', 'work', 'chaotic', 'causing', 'loss', 'if', 'provider', 'change', 'really', 'disappointed', ""]")</f>
        <v>['network', 'disconnected', 'work', 'chaotic', 'causing', 'loss', 'if', 'provider', 'change', 'really', 'disappointed', "]</v>
      </c>
      <c r="D932" s="3">
        <v>1.0</v>
      </c>
    </row>
    <row r="933" ht="15.75" customHeight="1">
      <c r="A933" s="1">
        <v>975.0</v>
      </c>
      <c r="B933" s="3" t="s">
        <v>924</v>
      </c>
      <c r="C933" s="3" t="str">
        <f>IFERROR(__xludf.DUMMYFUNCTION("GOOGLETRANSLATE(B933,""id"",""en"")"),"['Indihome', 'please', 'repairs',' region ',' mango ',' a year ',' ugly ',' then ',' signal ',' internet ',' pay ',' mah ',' Pay ',' please ',' repaired ', ""]")</f>
        <v>['Indihome', 'please', 'repairs',' region ',' mango ',' a year ',' ugly ',' then ',' signal ',' internet ',' pay ',' mah ',' Pay ',' please ',' repaired ', "]</v>
      </c>
      <c r="D933" s="3">
        <v>1.0</v>
      </c>
    </row>
    <row r="934" ht="15.75" customHeight="1">
      <c r="A934" s="1">
        <v>976.0</v>
      </c>
      <c r="B934" s="3" t="s">
        <v>925</v>
      </c>
      <c r="C934" s="3" t="str">
        <f>IFERROR(__xludf.DUMMYFUNCTION("GOOGLETRANSLATE(B934,""id"",""en"")"),"['Shy', 'KNPA', 'Indihome', 'Prussan', 'APK', 'Indihome', 'NMBH', 'already', 'FUB', 'expensive', 'Internet', 'Error', ' Shame ',' KNPA ',' Name ',' Telkom ',' Internet ',' Error ',' Expensive ',' BNYK ',' Error ', ""]")</f>
        <v>['Shy', 'KNPA', 'Indihome', 'Prussan', 'APK', 'Indihome', 'NMBH', 'already', 'FUB', 'expensive', 'Internet', 'Error', ' Shame ',' KNPA ',' Name ',' Telkom ',' Internet ',' Error ',' Expensive ',' BNYK ',' Error ', "]</v>
      </c>
      <c r="D934" s="3">
        <v>1.0</v>
      </c>
    </row>
    <row r="935" ht="15.75" customHeight="1">
      <c r="A935" s="1">
        <v>977.0</v>
      </c>
      <c r="B935" s="3" t="s">
        <v>926</v>
      </c>
      <c r="C935" s="3" t="str">
        <f>IFERROR(__xludf.DUMMYFUNCTION("GOOGLETRANSLATE(B935,""id"",""en"")"),"['Lemot', 'the application', '']")</f>
        <v>['Lemot', 'the application', '']</v>
      </c>
      <c r="D935" s="3">
        <v>1.0</v>
      </c>
    </row>
    <row r="936" ht="15.75" customHeight="1">
      <c r="A936" s="1">
        <v>978.0</v>
      </c>
      <c r="B936" s="3" t="s">
        <v>927</v>
      </c>
      <c r="C936" s="3" t="str">
        <f>IFERROR(__xludf.DUMMYFUNCTION("GOOGLETRANSLATE(B936,""id"",""en"")"),"['Pay', 'wifi', 'signal', 'smooth', 'smooth', 'UDH', 'paid', 'lag', 'severe', 'strange', 'times',' watepak ',' MENN ',' ']")</f>
        <v>['Pay', 'wifi', 'signal', 'smooth', 'smooth', 'UDH', 'paid', 'lag', 'severe', 'strange', 'times',' watepak ',' MENN ',' ']</v>
      </c>
      <c r="D936" s="3">
        <v>1.0</v>
      </c>
    </row>
    <row r="937" ht="15.75" customHeight="1">
      <c r="A937" s="1">
        <v>979.0</v>
      </c>
      <c r="B937" s="3" t="s">
        <v>928</v>
      </c>
      <c r="C937" s="3" t="str">
        <f>IFERROR(__xludf.DUMMYFUNCTION("GOOGLETRANSLATE(B937,""id"",""en"")"),"['', 'level']")</f>
        <v>['', 'level']</v>
      </c>
      <c r="D937" s="3">
        <v>5.0</v>
      </c>
    </row>
    <row r="938" ht="15.75" customHeight="1">
      <c r="A938" s="1">
        <v>980.0</v>
      </c>
      <c r="B938" s="3" t="s">
        <v>929</v>
      </c>
      <c r="C938" s="3" t="str">
        <f>IFERROR(__xludf.DUMMYFUNCTION("GOOGLETRANSLATE(B938,""id"",""en"")"),"['application', 'ugly', 'network', 'slow', 'fix', 'move', 'a week', 'network', 'broke', 'broke', 'already', 'pay', ' expensive ',' Damn ',' work ',' chaotic ']")</f>
        <v>['application', 'ugly', 'network', 'slow', 'fix', 'move', 'a week', 'network', 'broke', 'broke', 'already', 'pay', ' expensive ',' Damn ',' work ',' chaotic ']</v>
      </c>
      <c r="D938" s="3">
        <v>1.0</v>
      </c>
    </row>
    <row r="939" ht="15.75" customHeight="1">
      <c r="A939" s="1">
        <v>981.0</v>
      </c>
      <c r="B939" s="3" t="s">
        <v>930</v>
      </c>
      <c r="C939" s="3" t="str">
        <f>IFERROR(__xludf.DUMMYFUNCTION("GOOGLETRANSLATE(B939,""id"",""en"")"),"['APK', 'stable', 'login', 'difficult', '']")</f>
        <v>['APK', 'stable', 'login', 'difficult', '']</v>
      </c>
      <c r="D939" s="3">
        <v>1.0</v>
      </c>
    </row>
    <row r="940" ht="15.75" customHeight="1">
      <c r="A940" s="1">
        <v>982.0</v>
      </c>
      <c r="B940" s="3" t="s">
        <v>931</v>
      </c>
      <c r="C940" s="3" t="str">
        <f>IFERROR(__xludf.DUMMYFUNCTION("GOOGLETRANSLATE(B940,""id"",""en"")"),"['Application', 'It's good', 'version', 'slow', 'bet', 'difficult', 'ngadu', 'update', 'bede', ""]")</f>
        <v>['Application', 'It's good', 'version', 'slow', 'bet', 'difficult', 'ngadu', 'update', 'bede', "]</v>
      </c>
      <c r="D940" s="3">
        <v>1.0</v>
      </c>
    </row>
    <row r="941" ht="15.75" customHeight="1">
      <c r="A941" s="1">
        <v>983.0</v>
      </c>
      <c r="B941" s="3" t="s">
        <v>932</v>
      </c>
      <c r="C941" s="3" t="str">
        <f>IFERROR(__xludf.DUMMYFUNCTION("GOOGLETRANSLATE(B941,""id"",""en"")"),"['Couples',' Indihome ',' regret ',' use ',' Network ',' Indihome ',' right ',' pairs', 'regret', 'On', 'use', 'Proveder', ' times', 'SLL', 'complain', 'as a result', 'smooth', 'tomorrow', 'essence', 'cape', 'smooth', 'complain', 'waste', 'stress',' funny"&amp;" ' , 'Thanks', 'Indihome', 'Worst', 'Internet', '']")</f>
        <v>['Couples',' Indihome ',' regret ',' use ',' Network ',' Indihome ',' right ',' pairs', 'regret', 'On', 'use', 'Proveder', ' times', 'SLL', 'complain', 'as a result', 'smooth', 'tomorrow', 'essence', 'cape', 'smooth', 'complain', 'waste', 'stress',' funny ' , 'Thanks', 'Indihome', 'Worst', 'Internet', '']</v>
      </c>
      <c r="D941" s="3">
        <v>1.0</v>
      </c>
    </row>
    <row r="942" ht="15.75" customHeight="1">
      <c r="A942" s="1">
        <v>984.0</v>
      </c>
      <c r="B942" s="3" t="s">
        <v>933</v>
      </c>
      <c r="C942" s="3" t="str">
        <f>IFERROR(__xludf.DUMMYFUNCTION("GOOGLETRANSLATE(B942,""id"",""en"")"),"['update', 'slow', 'Mending', 'Yesterday', 'Update', 'Please', 'Increase', 'Quality', 'Update', 'Kulitas', 'Decreases', ""]")</f>
        <v>['update', 'slow', 'Mending', 'Yesterday', 'Update', 'Please', 'Increase', 'Quality', 'Update', 'Kulitas', 'Decreases', "]</v>
      </c>
      <c r="D942" s="3">
        <v>2.0</v>
      </c>
    </row>
    <row r="943" ht="15.75" customHeight="1">
      <c r="A943" s="1">
        <v>985.0</v>
      </c>
      <c r="B943" s="3" t="s">
        <v>934</v>
      </c>
      <c r="C943" s="3" t="str">
        <f>IFERROR(__xludf.DUMMYFUNCTION("GOOGLETRANSLATE(B943,""id"",""en"")"),"['Display', 'version', 'Different', 'Photos',' Play ',' Store ',' Display ',' User ',' Friendly ',' Column ',' Device ',' Connected ',' network ',' internet ',' displayed ',' situ ',' person ',' device ',' known ',' use ',' internet ',' beg ',' considered"&amp;" ',' min ',' developer ' , '']")</f>
        <v>['Display', 'version', 'Different', 'Photos',' Play ',' Store ',' Display ',' User ',' Friendly ',' Column ',' Device ',' Connected ',' network ',' internet ',' displayed ',' situ ',' person ',' device ',' known ',' use ',' internet ',' beg ',' considered ',' min ',' developer ' , '']</v>
      </c>
      <c r="D943" s="3">
        <v>1.0</v>
      </c>
    </row>
    <row r="944" ht="15.75" customHeight="1">
      <c r="A944" s="1">
        <v>987.0</v>
      </c>
      <c r="B944" s="3" t="s">
        <v>935</v>
      </c>
      <c r="C944" s="3" t="str">
        <f>IFERROR(__xludf.DUMMYFUNCTION("GOOGLETRANSLATE(B944,""id"",""en"")"),"['application', 'disabled', 'min', 'update', 'slow', 'really']")</f>
        <v>['application', 'disabled', 'min', 'update', 'slow', 'really']</v>
      </c>
      <c r="D944" s="3">
        <v>1.0</v>
      </c>
    </row>
    <row r="945" ht="15.75" customHeight="1">
      <c r="A945" s="1">
        <v>988.0</v>
      </c>
      <c r="B945" s="3" t="s">
        <v>936</v>
      </c>
      <c r="C945" s="3" t="str">
        <f>IFERROR(__xludf.DUMMYFUNCTION("GOOGLETRANSLATE(B945,""id"",""en"")"),"['Update', 'Application', 'Lemot', 'Application', 'Simple', 'Fast']")</f>
        <v>['Update', 'Application', 'Lemot', 'Application', 'Simple', 'Fast']</v>
      </c>
      <c r="D945" s="3">
        <v>2.0</v>
      </c>
    </row>
    <row r="946" ht="15.75" customHeight="1">
      <c r="A946" s="1">
        <v>989.0</v>
      </c>
      <c r="B946" s="3" t="s">
        <v>937</v>
      </c>
      <c r="C946" s="3" t="str">
        <f>IFERROR(__xludf.DUMMYFUNCTION("GOOGLETRANSLATE(B946,""id"",""en"")"),"['Sorry', 'application', 'wifi', 'dead', 'dead', 'pay', 'please', 'Benerin', 'wifi', ""]")</f>
        <v>['Sorry', 'application', 'wifi', 'dead', 'dead', 'pay', 'please', 'Benerin', 'wifi', "]</v>
      </c>
      <c r="D946" s="3">
        <v>2.0</v>
      </c>
    </row>
    <row r="947" ht="15.75" customHeight="1">
      <c r="A947" s="1">
        <v>990.0</v>
      </c>
      <c r="B947" s="3" t="s">
        <v>938</v>
      </c>
      <c r="C947" s="3" t="str">
        <f>IFERROR(__xludf.DUMMYFUNCTION("GOOGLETRANSLATE(B947,""id"",""en"")"),"['updated', 'login', 'email', 'phone', 'password', 'connection', 'network', 'internet', 'slow', 'restart', 'application', 'login', ' Please, 'Fix', 'Application', '']")</f>
        <v>['updated', 'login', 'email', 'phone', 'password', 'connection', 'network', 'internet', 'slow', 'restart', 'application', 'login', ' Please, 'Fix', 'Application', '']</v>
      </c>
      <c r="D947" s="3">
        <v>1.0</v>
      </c>
    </row>
    <row r="948" ht="15.75" customHeight="1">
      <c r="A948" s="1">
        <v>991.0</v>
      </c>
      <c r="B948" s="3" t="s">
        <v>939</v>
      </c>
      <c r="C948" s="3" t="str">
        <f>IFERROR(__xludf.DUMMYFUNCTION("GOOGLETRANSLATE(B948,""id"",""en"")"),"['Update', 'just', 'slow', 'Hadeeeeh', '']")</f>
        <v>['Update', 'just', 'slow', 'Hadeeeeh', '']</v>
      </c>
      <c r="D948" s="3">
        <v>1.0</v>
      </c>
    </row>
    <row r="949" ht="15.75" customHeight="1">
      <c r="A949" s="1">
        <v>992.0</v>
      </c>
      <c r="B949" s="3" t="s">
        <v>940</v>
      </c>
      <c r="C949" s="3" t="str">
        <f>IFERROR(__xludf.DUMMYFUNCTION("GOOGLETRANSLATE(B949,""id"",""en"")"),"['Internet', 'Slow', 'Provider', 'Deepest', 'Indonesia', 'Internet', 'Stable', 'Use', 'FUP', 'Shy', 'Planggan', 'Provider', ' FUP ',' Network ',' Iconnet ',' Move ',' Application ',' Update ',' Good ',' Segeom ',' Update ',' Application ',' Speed ​​',' Mb"&amp;"ps', 'Tered' , 'update', 'Mbps', 'JWB', 'Mbps', 'Loyalty', 'then', 'KNP', 'Application', 'appears', 'Mbps', 'weird', ""]")</f>
        <v>['Internet', 'Slow', 'Provider', 'Deepest', 'Indonesia', 'Internet', 'Stable', 'Use', 'FUP', 'Shy', 'Planggan', 'Provider', ' FUP ',' Network ',' Iconnet ',' Move ',' Application ',' Update ',' Good ',' Segeom ',' Update ',' Application ',' Speed ​​',' Mbps', 'Tered' , 'update', 'Mbps', 'JWB', 'Mbps', 'Loyalty', 'then', 'KNP', 'Application', 'appears', 'Mbps', 'weird', "]</v>
      </c>
      <c r="D949" s="3">
        <v>1.0</v>
      </c>
    </row>
    <row r="950" ht="15.75" customHeight="1">
      <c r="A950" s="1">
        <v>993.0</v>
      </c>
      <c r="B950" s="3" t="s">
        <v>941</v>
      </c>
      <c r="C950" s="3" t="str">
        <f>IFERROR(__xludf.DUMMYFUNCTION("GOOGLETRANSLATE(B950,""id"",""en"")"),"['Quality', 'Good', 'satisfying', 'user', '']")</f>
        <v>['Quality', 'Good', 'satisfying', 'user', '']</v>
      </c>
      <c r="D950" s="3">
        <v>4.0</v>
      </c>
    </row>
    <row r="951" ht="15.75" customHeight="1">
      <c r="A951" s="1">
        <v>994.0</v>
      </c>
      <c r="B951" s="3" t="s">
        <v>942</v>
      </c>
      <c r="C951" s="3" t="str">
        <f>IFERROR(__xludf.DUMMYFUNCTION("GOOGLETRANSLATE(B951,""id"",""en"")"),"['business', 'in the field', 'internet', 'application', 'slow', 'really']")</f>
        <v>['business', 'in the field', 'internet', 'application', 'slow', 'really']</v>
      </c>
      <c r="D951" s="3">
        <v>1.0</v>
      </c>
    </row>
    <row r="952" ht="15.75" customHeight="1">
      <c r="A952" s="1">
        <v>995.0</v>
      </c>
      <c r="B952" s="3" t="s">
        <v>943</v>
      </c>
      <c r="C952" s="3" t="str">
        <f>IFERROR(__xludf.DUMMYFUNCTION("GOOGLETRANSLATE(B952,""id"",""en"")"),"['apk', 'help', 'complaint', 'DRI', 'Customer', 'response', 'fine', 'turn', 'told', 'fix', 'network', 'internet', ' response', '']")</f>
        <v>['apk', 'help', 'complaint', 'DRI', 'Customer', 'response', 'fine', 'turn', 'told', 'fix', 'network', 'internet', ' response', '']</v>
      </c>
      <c r="D952" s="3">
        <v>1.0</v>
      </c>
    </row>
    <row r="953" ht="15.75" customHeight="1">
      <c r="A953" s="1">
        <v>996.0</v>
      </c>
      <c r="B953" s="3" t="s">
        <v>944</v>
      </c>
      <c r="C953" s="3" t="str">
        <f>IFERROR(__xludf.DUMMYFUNCTION("GOOGLETRANSLATE(B953,""id"",""en"")"),"['application', 'update', 'like', 'taik', 'BUMN', 'salary', 'easy', 'affairs',' complicated ',' slow ',' use ',' people ',' smart ',' easy ',' difficult ']")</f>
        <v>['application', 'update', 'like', 'taik', 'BUMN', 'salary', 'easy', 'affairs',' complicated ',' slow ',' use ',' people ',' smart ',' easy ',' difficult ']</v>
      </c>
      <c r="D953" s="3">
        <v>1.0</v>
      </c>
    </row>
    <row r="954" ht="15.75" customHeight="1">
      <c r="A954" s="1">
        <v>997.0</v>
      </c>
      <c r="B954" s="3" t="s">
        <v>945</v>
      </c>
      <c r="C954" s="3" t="str">
        <f>IFERROR(__xludf.DUMMYFUNCTION("GOOGLETRANSLATE(B954,""id"",""en"")"),"['Slow', 'Change', 'The application', 'Hopefully', 'In the future']")</f>
        <v>['Slow', 'Change', 'The application', 'Hopefully', 'In the future']</v>
      </c>
      <c r="D954" s="3">
        <v>5.0</v>
      </c>
    </row>
    <row r="955" ht="15.75" customHeight="1">
      <c r="A955" s="1">
        <v>998.0</v>
      </c>
      <c r="B955" s="3" t="s">
        <v>946</v>
      </c>
      <c r="C955" s="3" t="str">
        <f>IFERROR(__xludf.DUMMYFUNCTION("GOOGLETRANSLATE(B955,""id"",""en"")"),"['Internet', 'apk', 'slow', 'please', 'enhanced', 'replace', 'package', 'complicated', 'late', 'pay', 'fine', 'customer', ' ngeluh ',' internet ',' slow ',' just ',' love ',' solution ',' useful ',' shame ',' donk ',' already ',' criticism ',' until ',' n"&amp;"ow ' , 'progress', '']")</f>
        <v>['Internet', 'apk', 'slow', 'please', 'enhanced', 'replace', 'package', 'complicated', 'late', 'pay', 'fine', 'customer', ' ngeluh ',' internet ',' slow ',' just ',' love ',' solution ',' useful ',' shame ',' donk ',' already ',' criticism ',' until ',' now ' , 'progress', '']</v>
      </c>
      <c r="D955" s="3">
        <v>1.0</v>
      </c>
    </row>
    <row r="956" ht="15.75" customHeight="1">
      <c r="A956" s="1">
        <v>999.0</v>
      </c>
      <c r="B956" s="3" t="s">
        <v>947</v>
      </c>
      <c r="C956" s="3" t="str">
        <f>IFERROR(__xludf.DUMMYFUNCTION("GOOGLETRANSLATE(B956,""id"",""en"")"),"['Mantapsss']")</f>
        <v>['Mantapsss']</v>
      </c>
      <c r="D956" s="3">
        <v>5.0</v>
      </c>
    </row>
    <row r="957" ht="15.75" customHeight="1">
      <c r="A957" s="1">
        <v>1000.0</v>
      </c>
      <c r="B957" s="3" t="s">
        <v>948</v>
      </c>
      <c r="C957" s="3" t="str">
        <f>IFERROR(__xludf.DUMMYFUNCTION("GOOGLETRANSLATE(B957,""id"",""en"")"),"['Myindihome', 'Bagusan', 'Open', 'Already', 'Password', 'Click', 'Continue']")</f>
        <v>['Myindihome', 'Bagusan', 'Open', 'Already', 'Password', 'Click', 'Continue']</v>
      </c>
      <c r="D957" s="3">
        <v>1.0</v>
      </c>
    </row>
    <row r="958" ht="15.75" customHeight="1">
      <c r="A958" s="1">
        <v>1001.0</v>
      </c>
      <c r="B958" s="3" t="s">
        <v>949</v>
      </c>
      <c r="C958" s="3" t="str">
        <f>IFERROR(__xludf.DUMMYFUNCTION("GOOGLETRANSLATE(B958,""id"",""en"")"),"['update', 'version', 'newest', 'comfortable', 'return', 'version', 'menu', 'report', 'disorder', 'application', 'remove', ""]")</f>
        <v>['update', 'version', 'newest', 'comfortable', 'return', 'version', 'menu', 'report', 'disorder', 'application', 'remove', "]</v>
      </c>
      <c r="D958" s="3">
        <v>1.0</v>
      </c>
    </row>
    <row r="959" ht="15.75" customHeight="1">
      <c r="A959" s="1">
        <v>1003.0</v>
      </c>
      <c r="B959" s="3" t="s">
        <v>950</v>
      </c>
      <c r="C959" s="3" t="str">
        <f>IFERROR(__xludf.DUMMYFUNCTION("GOOGLETRANSLATE(B959,""id"",""en"")"),"['apk', 'error', 'org', 'work', 'Benerin', 'my APK', '']")</f>
        <v>['apk', 'error', 'org', 'work', 'Benerin', 'my APK', '']</v>
      </c>
      <c r="D959" s="3">
        <v>1.0</v>
      </c>
    </row>
    <row r="960" ht="15.75" customHeight="1">
      <c r="A960" s="1">
        <v>1004.0</v>
      </c>
      <c r="B960" s="3" t="s">
        <v>951</v>
      </c>
      <c r="C960" s="3" t="str">
        <f>IFERROR(__xludf.DUMMYFUNCTION("GOOGLETRANSLATE(B960,""id"",""en"")"),"['application', 'improvement', 'service', 'logout', 'update', 'wkwkwk', 'funny']")</f>
        <v>['application', 'improvement', 'service', 'logout', 'update', 'wkwkwk', 'funny']</v>
      </c>
      <c r="D960" s="3">
        <v>1.0</v>
      </c>
    </row>
    <row r="961" ht="15.75" customHeight="1">
      <c r="A961" s="1">
        <v>1005.0</v>
      </c>
      <c r="B961" s="3" t="s">
        <v>952</v>
      </c>
      <c r="C961" s="3" t="str">
        <f>IFERROR(__xludf.DUMMYFUNCTION("GOOGLETRANSLATE(B961,""id"",""en"")"),"['level', 'quality', '']")</f>
        <v>['level', 'quality', '']</v>
      </c>
      <c r="D961" s="3">
        <v>3.0</v>
      </c>
    </row>
    <row r="962" ht="15.75" customHeight="1">
      <c r="A962" s="1">
        <v>1006.0</v>
      </c>
      <c r="B962" s="3" t="s">
        <v>953</v>
      </c>
      <c r="C962" s="3" t="str">
        <f>IFERROR(__xludf.DUMMYFUNCTION("GOOGLETRANSLATE(B962,""id"",""en"")"),"['application', 'steady', 'service', 'friendly', 'fast', 'response', 'flexible', 'hope', 'success']")</f>
        <v>['application', 'steady', 'service', 'friendly', 'fast', 'response', 'flexible', 'hope', 'success']</v>
      </c>
      <c r="D962" s="3">
        <v>5.0</v>
      </c>
    </row>
    <row r="963" ht="15.75" customHeight="1">
      <c r="A963" s="1">
        <v>1007.0</v>
      </c>
      <c r="B963" s="3" t="s">
        <v>954</v>
      </c>
      <c r="C963" s="3" t="str">
        <f>IFERROR(__xludf.DUMMYFUNCTION("GOOGLETRANSLATE(B963,""id"",""en"")"),"['Dipake', 'Device', 'Rooted', 'Amateur', 'Sekaleeee', ""]")</f>
        <v>['Dipake', 'Device', 'Rooted', 'Amateur', 'Sekaleeee', "]</v>
      </c>
      <c r="D963" s="3">
        <v>1.0</v>
      </c>
    </row>
    <row r="964" ht="15.75" customHeight="1">
      <c r="A964" s="1">
        <v>1008.0</v>
      </c>
      <c r="B964" s="3" t="s">
        <v>955</v>
      </c>
      <c r="C964" s="3" t="str">
        <f>IFERROR(__xludf.DUMMYFUNCTION("GOOGLETRANSLATE(B964,""id"",""en"")"),"['subscribe', 'signal', 'GSM', 'first', 'smooth', 'bagusan', 'signal', 'card', 'gsm', 'funny thing', 'slow', 'gini', ' "", 'messages', 'add', 'speed', 'complain', 'office', 'telkom', 'datengin', 'technicians', 'home', 'ttp', 'change', 'good' , 'tip', 'off"&amp;"ered', 'add', 'speed', 'add', 'payment', 'hey', 'deliberate', 'dumped', 'spy', 'consumer', 'add', ' Payment ',' stop ',' subscribe ',' kyk ',' gini ', ""]")</f>
        <v>['subscribe', 'signal', 'GSM', 'first', 'smooth', 'bagusan', 'signal', 'card', 'gsm', 'funny thing', 'slow', 'gini', ' ", 'messages', 'add', 'speed', 'complain', 'office', 'telkom', 'datengin', 'technicians', 'home', 'ttp', 'change', 'good' , 'tip', 'offered', 'add', 'speed', 'add', 'payment', 'hey', 'deliberate', 'dumped', 'spy', 'consumer', 'add', ' Payment ',' stop ',' subscribe ',' kyk ',' gini ', "]</v>
      </c>
      <c r="D964" s="3">
        <v>1.0</v>
      </c>
    </row>
    <row r="965" ht="15.75" customHeight="1">
      <c r="A965" s="1">
        <v>1009.0</v>
      </c>
      <c r="B965" s="3" t="s">
        <v>956</v>
      </c>
      <c r="C965" s="3" t="str">
        <f>IFERROR(__xludf.DUMMYFUNCTION("GOOGLETRANSLATE(B965,""id"",""en"")"),"['Maintenance', 'Mulu', 'classmate', 'BUMN', 'Cook', 'Application', 'Kek', 'Gini', 'Severe', 'really']")</f>
        <v>['Maintenance', 'Mulu', 'classmate', 'BUMN', 'Cook', 'Application', 'Kek', 'Gini', 'Severe', 'really']</v>
      </c>
      <c r="D965" s="3">
        <v>1.0</v>
      </c>
    </row>
    <row r="966" ht="15.75" customHeight="1">
      <c r="A966" s="1">
        <v>1010.0</v>
      </c>
      <c r="B966" s="3" t="s">
        <v>957</v>
      </c>
      <c r="C966" s="3" t="str">
        <f>IFERROR(__xludf.DUMMYFUNCTION("GOOGLETRANSLATE(B966,""id"",""en"")"),"['Login', 'failed', 'enter', 'password', 'already', 'right', 'said', 'password', 'wrong', 'mandatory', 'repaired', 'convenience', ' customer', '']")</f>
        <v>['Login', 'failed', 'enter', 'password', 'already', 'right', 'said', 'password', 'wrong', 'mandatory', 'repaired', 'convenience', ' customer', '']</v>
      </c>
      <c r="D966" s="3">
        <v>1.0</v>
      </c>
    </row>
    <row r="967" ht="15.75" customHeight="1">
      <c r="A967" s="1">
        <v>1011.0</v>
      </c>
      <c r="B967" s="3" t="s">
        <v>958</v>
      </c>
      <c r="C967" s="3" t="str">
        <f>IFERROR(__xludf.DUMMYFUNCTION("GOOGLETRANSLATE(B967,""id"",""en"")"),"['Lemotttt']")</f>
        <v>['Lemotttt']</v>
      </c>
      <c r="D967" s="3">
        <v>1.0</v>
      </c>
    </row>
    <row r="968" ht="15.75" customHeight="1">
      <c r="A968" s="1">
        <v>1013.0</v>
      </c>
      <c r="B968" s="3" t="s">
        <v>959</v>
      </c>
      <c r="C968" s="3" t="str">
        <f>IFERROR(__xludf.DUMMYFUNCTION("GOOGLETRANSLATE(B968,""id"",""en"")"),"['Log', 'out', 'belom', 'enter', 'loading', 'Teruuuuus', 'description', 'Please', 'sorry', 'improve', 'service', ""]")</f>
        <v>['Log', 'out', 'belom', 'enter', 'loading', 'Teruuuuus', 'description', 'Please', 'sorry', 'improve', 'service', "]</v>
      </c>
      <c r="D968" s="3">
        <v>1.0</v>
      </c>
    </row>
    <row r="969" ht="15.75" customHeight="1">
      <c r="A969" s="1">
        <v>1014.0</v>
      </c>
      <c r="B969" s="3" t="s">
        <v>960</v>
      </c>
      <c r="C969" s="3" t="str">
        <f>IFERROR(__xludf.DUMMYFUNCTION("GOOGLETRANSLATE(B969,""id"",""en"")"),"['Application', 'slow', 'network', 'bad', '']")</f>
        <v>['Application', 'slow', 'network', 'bad', '']</v>
      </c>
      <c r="D969" s="3">
        <v>1.0</v>
      </c>
    </row>
    <row r="970" ht="15.75" customHeight="1">
      <c r="A970" s="1">
        <v>1015.0</v>
      </c>
      <c r="B970" s="3" t="s">
        <v>614</v>
      </c>
      <c r="C970" s="3" t="str">
        <f>IFERROR(__xludf.DUMMYFUNCTION("GOOGLETRANSLATE(B970,""id"",""en"")"),"['slow']")</f>
        <v>['slow']</v>
      </c>
      <c r="D970" s="3">
        <v>1.0</v>
      </c>
    </row>
    <row r="971" ht="15.75" customHeight="1">
      <c r="A971" s="1">
        <v>1016.0</v>
      </c>
      <c r="B971" s="3" t="s">
        <v>961</v>
      </c>
      <c r="C971" s="3" t="str">
        <f>IFERROR(__xludf.DUMMYFUNCTION("GOOGLETRANSLATE(B971,""id"",""en"")"),"['Please', 'repaired']")</f>
        <v>['Please', 'repaired']</v>
      </c>
      <c r="D971" s="3">
        <v>1.0</v>
      </c>
    </row>
    <row r="972" ht="15.75" customHeight="1">
      <c r="A972" s="1">
        <v>1017.0</v>
      </c>
      <c r="B972" s="3" t="s">
        <v>962</v>
      </c>
      <c r="C972" s="3" t="str">
        <f>IFERROR(__xludf.DUMMYFUNCTION("GOOGLETRANSLATE(B972,""id"",""en"")"),"['subscribe', 'difficult', 'right', 'failed', 'just', 'already', 'reason', 'ODP', 'full', 'etc.', 'person', 'stop', ' subscribe ',' ngajuin ',' application ',' problematic ',' call ',' many ',' times', 'waste', 'pulse', 'deh']")</f>
        <v>['subscribe', 'difficult', 'right', 'failed', 'just', 'already', 'reason', 'ODP', 'full', 'etc.', 'person', 'stop', ' subscribe ',' ngajuin ',' application ',' problematic ',' call ',' many ',' times', 'waste', 'pulse', 'deh']</v>
      </c>
      <c r="D972" s="3">
        <v>2.0</v>
      </c>
    </row>
    <row r="973" ht="15.75" customHeight="1">
      <c r="A973" s="1">
        <v>1018.0</v>
      </c>
      <c r="B973" s="3" t="s">
        <v>963</v>
      </c>
      <c r="C973" s="3" t="str">
        <f>IFERROR(__xludf.DUMMYFUNCTION("GOOGLETRANSLATE(B973,""id"",""en"")"),"['application', 'already', 'update', 'status', 'subscription', 'edan', ""]")</f>
        <v>['application', 'already', 'update', 'status', 'subscription', 'edan', "]</v>
      </c>
      <c r="D973" s="3">
        <v>1.0</v>
      </c>
    </row>
    <row r="974" ht="15.75" customHeight="1">
      <c r="A974" s="1">
        <v>1019.0</v>
      </c>
      <c r="B974" s="3" t="s">
        <v>964</v>
      </c>
      <c r="C974" s="3" t="str">
        <f>IFERROR(__xludf.DUMMYFUNCTION("GOOGLETRANSLATE(B974,""id"",""en"")"),"['Application', 'PEKOK', '']")</f>
        <v>['Application', 'PEKOK', '']</v>
      </c>
      <c r="D974" s="3">
        <v>5.0</v>
      </c>
    </row>
    <row r="975" ht="15.75" customHeight="1">
      <c r="A975" s="1">
        <v>1020.0</v>
      </c>
      <c r="B975" s="3" t="s">
        <v>965</v>
      </c>
      <c r="C975" s="3" t="str">
        <f>IFERROR(__xludf.DUMMYFUNCTION("GOOGLETRANSLATE(B975,""id"",""en"")"),"['Try', 'enter', 'Taoi', 'strange', 'notification', 'sent', 'used', 'date', 'application', 'TPI', 'use', 'complaint', ' response ',' Dri ',' Sorry ',' destroyed ',' Neeh ',' application ']")</f>
        <v>['Try', 'enter', 'Taoi', 'strange', 'notification', 'sent', 'used', 'date', 'application', 'TPI', 'use', 'complaint', ' response ',' Dri ',' Sorry ',' destroyed ',' Neeh ',' application ']</v>
      </c>
      <c r="D975" s="3">
        <v>2.0</v>
      </c>
    </row>
    <row r="976" ht="15.75" customHeight="1">
      <c r="A976" s="1">
        <v>1021.0</v>
      </c>
      <c r="B976" s="3" t="s">
        <v>966</v>
      </c>
      <c r="C976" s="3" t="str">
        <f>IFERROR(__xludf.DUMMYFUNCTION("GOOGLETRANSLATE(B976,""id"",""en"")"),"['Hopefully', 'App', 'Myindihome', 'updated', 'Treat', 'Customer', 'Change', 'Refrontation', 'Need', 'Internet', 'Access',' Need ',' thank you', '']")</f>
        <v>['Hopefully', 'App', 'Myindihome', 'updated', 'Treat', 'Customer', 'Change', 'Refrontation', 'Need', 'Internet', 'Access',' Need ',' thank you', '']</v>
      </c>
      <c r="D976" s="3">
        <v>5.0</v>
      </c>
    </row>
    <row r="977" ht="15.75" customHeight="1">
      <c r="A977" s="1">
        <v>1022.0</v>
      </c>
      <c r="B977" s="3" t="s">
        <v>967</v>
      </c>
      <c r="C977" s="3" t="str">
        <f>IFERROR(__xludf.DUMMYFUNCTION("GOOGLETRANSLATE(B977,""id"",""en"")"),"['Lemottttttt', 'stable']")</f>
        <v>['Lemottttttt', 'stable']</v>
      </c>
      <c r="D977" s="3">
        <v>1.0</v>
      </c>
    </row>
    <row r="978" ht="15.75" customHeight="1">
      <c r="A978" s="1">
        <v>1023.0</v>
      </c>
      <c r="B978" s="3" t="s">
        <v>968</v>
      </c>
      <c r="C978" s="3" t="str">
        <f>IFERROR(__xludf.DUMMYFUNCTION("GOOGLETRANSLATE(B978,""id"",""en"")"),"['NGK', 'Quality', 'Updat']")</f>
        <v>['NGK', 'Quality', 'Updat']</v>
      </c>
      <c r="D978" s="3">
        <v>1.0</v>
      </c>
    </row>
    <row r="979" ht="15.75" customHeight="1">
      <c r="A979" s="1">
        <v>1024.0</v>
      </c>
      <c r="B979" s="3" t="s">
        <v>969</v>
      </c>
      <c r="C979" s="3" t="str">
        <f>IFERROR(__xludf.DUMMYFUNCTION("GOOGLETRANSLATE(B979,""id"",""en"")"),"['Ceal', 'application', 'myindihome', 'hope', 'in the future']")</f>
        <v>['Ceal', 'application', 'myindihome', 'hope', 'in the future']</v>
      </c>
      <c r="D979" s="3">
        <v>5.0</v>
      </c>
    </row>
    <row r="980" ht="15.75" customHeight="1">
      <c r="A980" s="1">
        <v>1025.0</v>
      </c>
      <c r="B980" s="3" t="s">
        <v>970</v>
      </c>
      <c r="C980" s="3" t="str">
        <f>IFERROR(__xludf.DUMMYFUNCTION("GOOGLETRANSLATE(B980,""id"",""en"")"),"['Loading', '']")</f>
        <v>['Loading', '']</v>
      </c>
      <c r="D980" s="3">
        <v>1.0</v>
      </c>
    </row>
    <row r="981" ht="15.75" customHeight="1">
      <c r="A981" s="1">
        <v>1026.0</v>
      </c>
      <c r="B981" s="3" t="s">
        <v>971</v>
      </c>
      <c r="C981" s="3" t="str">
        <f>IFERROR(__xludf.DUMMYFUNCTION("GOOGLETRANSLATE(B981,""id"",""en"")"),"['application', 'makes it easy', 'search', 'information']")</f>
        <v>['application', 'makes it easy', 'search', 'information']</v>
      </c>
      <c r="D981" s="3">
        <v>5.0</v>
      </c>
    </row>
    <row r="982" ht="15.75" customHeight="1">
      <c r="A982" s="1">
        <v>1027.0</v>
      </c>
      <c r="B982" s="3" t="s">
        <v>972</v>
      </c>
      <c r="C982" s="3" t="str">
        <f>IFERROR(__xludf.DUMMYFUNCTION("GOOGLETRANSLATE(B982,""id"",""en"")"),"['Application', 'Slow', 'Reload', 'Mulu']")</f>
        <v>['Application', 'Slow', 'Reload', 'Mulu']</v>
      </c>
      <c r="D982" s="3">
        <v>1.0</v>
      </c>
    </row>
    <row r="983" ht="15.75" customHeight="1">
      <c r="A983" s="1">
        <v>1028.0</v>
      </c>
      <c r="B983" s="3" t="s">
        <v>973</v>
      </c>
      <c r="C983" s="3" t="str">
        <f>IFERROR(__xludf.DUMMYFUNCTION("GOOGLETRANSLATE(B983,""id"",""en"")"),"['Display', 'version', 'good', 'loading', 'menu', 'really', 'change', 'connection', 'cellular', 'slow', 'display', 'menu', ' Lost ',' speed ',' type ',' package ',' subscription ',' quota ',' device ',' connected ',' informative ',' version ',' ']")</f>
        <v>['Display', 'version', 'good', 'loading', 'menu', 'really', 'change', 'connection', 'cellular', 'slow', 'display', 'menu', ' Lost ',' speed ',' type ',' package ',' subscription ',' quota ',' device ',' connected ',' informative ',' version ',' ']</v>
      </c>
      <c r="D983" s="3">
        <v>2.0</v>
      </c>
    </row>
    <row r="984" ht="15.75" customHeight="1">
      <c r="A984" s="1">
        <v>1029.0</v>
      </c>
      <c r="B984" s="3" t="s">
        <v>974</v>
      </c>
      <c r="C984" s="3" t="str">
        <f>IFERROR(__xludf.DUMMYFUNCTION("GOOGLETRANSLATE(B984,""id"",""en"")"),"['quality', 'signal', 'significant', 'wowww', 'jossss']")</f>
        <v>['quality', 'signal', 'significant', 'wowww', 'jossss']</v>
      </c>
      <c r="D984" s="3">
        <v>5.0</v>
      </c>
    </row>
    <row r="985" ht="15.75" customHeight="1">
      <c r="A985" s="1">
        <v>1030.0</v>
      </c>
      <c r="B985" s="3" t="s">
        <v>975</v>
      </c>
      <c r="C985" s="3" t="str">
        <f>IFERROR(__xludf.DUMMYFUNCTION("GOOGLETRANSLATE(B985,""id"",""en"")"),"['app', 'help', 'information', 'subscribe', 'package', 'wifi', 'easy', 'understood', 'good', 'job']")</f>
        <v>['app', 'help', 'information', 'subscribe', 'package', 'wifi', 'easy', 'understood', 'good', 'job']</v>
      </c>
      <c r="D985" s="3">
        <v>5.0</v>
      </c>
    </row>
    <row r="986" ht="15.75" customHeight="1">
      <c r="A986" s="1">
        <v>1031.0</v>
      </c>
      <c r="B986" s="3" t="s">
        <v>976</v>
      </c>
      <c r="C986" s="3" t="str">
        <f>IFERROR(__xludf.DUMMYFUNCTION("GOOGLETRANSLATE(B986,""id"",""en"")"),"['Aduhh', 'GMNA', 'updated', 'application', 'Skali', 'a month', 'Sya', 'open', 'application', 'kah', 'open', 'spya', ' updated ',' automatic ',' continued ',' updated ',' skg ',' lemoot ',' bngett ',' knapa ',' point ',' sya ',' charred ',' yahh ', ""]")</f>
        <v>['Aduhh', 'GMNA', 'updated', 'application', 'Skali', 'a month', 'Sya', 'open', 'application', 'kah', 'open', 'spya', ' updated ',' automatic ',' continued ',' updated ',' skg ',' lemoot ',' bngett ',' knapa ',' point ',' sya ',' charred ',' yahh ', "]</v>
      </c>
      <c r="D986" s="3">
        <v>1.0</v>
      </c>
    </row>
    <row r="987" ht="15.75" customHeight="1">
      <c r="A987" s="1">
        <v>1032.0</v>
      </c>
      <c r="B987" s="3" t="s">
        <v>977</v>
      </c>
      <c r="C987" s="3" t="str">
        <f>IFERROR(__xludf.DUMMYFUNCTION("GOOGLETRANSLATE(B987,""id"",""en"")"),"['', 'upgrade', 'slow', 'login', 'difficult', 'renewal', 'version', 'good', 'joke', 'Please', 'repaired', 'enhanced', "" ]")</f>
        <v>['', 'upgrade', 'slow', 'login', 'difficult', 'renewal', 'version', 'good', 'joke', 'Please', 'repaired', 'enhanced', " ]</v>
      </c>
      <c r="D987" s="3">
        <v>1.0</v>
      </c>
    </row>
    <row r="988" ht="15.75" customHeight="1">
      <c r="A988" s="1">
        <v>1033.0</v>
      </c>
      <c r="B988" s="3" t="s">
        <v>978</v>
      </c>
      <c r="C988" s="3" t="str">
        <f>IFERROR(__xludf.DUMMYFUNCTION("GOOGLETRANSLATE(B988,""id"",""en"")"),"['Application', 'slow', 'menu', 'help', 'beg', 'repair']")</f>
        <v>['Application', 'slow', 'menu', 'help', 'beg', 'repair']</v>
      </c>
      <c r="D988" s="3">
        <v>2.0</v>
      </c>
    </row>
    <row r="989" ht="15.75" customHeight="1">
      <c r="A989" s="1">
        <v>1034.0</v>
      </c>
      <c r="B989" s="3" t="s">
        <v>979</v>
      </c>
      <c r="C989" s="3" t="str">
        <f>IFERROR(__xludf.DUMMYFUNCTION("GOOGLETRANSLATE(B989,""id"",""en"")"),"['update', 'features', 'THX', 'INDIHOME', '']")</f>
        <v>['update', 'features', 'THX', 'INDIHOME', '']</v>
      </c>
      <c r="D989" s="3">
        <v>5.0</v>
      </c>
    </row>
    <row r="990" ht="15.75" customHeight="1">
      <c r="A990" s="1">
        <v>1035.0</v>
      </c>
      <c r="B990" s="3" t="s">
        <v>980</v>
      </c>
      <c r="C990" s="3" t="str">
        <f>IFERROR(__xludf.DUMMYFUNCTION("GOOGLETRANSLATE(B990,""id"",""en"")"),"['report', 'difficult', 'application', 'no']")</f>
        <v>['report', 'difficult', 'application', 'no']</v>
      </c>
      <c r="D990" s="3">
        <v>1.0</v>
      </c>
    </row>
    <row r="991" ht="15.75" customHeight="1">
      <c r="A991" s="1">
        <v>1036.0</v>
      </c>
      <c r="B991" s="3" t="s">
        <v>981</v>
      </c>
      <c r="C991" s="3" t="str">
        <f>IFERROR(__xludf.DUMMYFUNCTION("GOOGLETRANSLATE(B991,""id"",""en"")"),"['Facilitates', 'Customer', 'Indihome', '']")</f>
        <v>['Facilitates', 'Customer', 'Indihome', '']</v>
      </c>
      <c r="D991" s="3">
        <v>5.0</v>
      </c>
    </row>
    <row r="992" ht="15.75" customHeight="1">
      <c r="A992" s="1">
        <v>1037.0</v>
      </c>
      <c r="B992" s="3" t="s">
        <v>982</v>
      </c>
      <c r="C992" s="3" t="str">
        <f>IFERROR(__xludf.DUMMYFUNCTION("GOOGLETRANSLATE(B992,""id"",""en"")"),"['heavy', 'size', 'application', 'simple', 'gini', '']")</f>
        <v>['heavy', 'size', 'application', 'simple', 'gini', '']</v>
      </c>
      <c r="D992" s="3">
        <v>3.0</v>
      </c>
    </row>
    <row r="993" ht="15.75" customHeight="1">
      <c r="A993" s="1">
        <v>1038.0</v>
      </c>
      <c r="B993" s="3" t="s">
        <v>983</v>
      </c>
      <c r="C993" s="3" t="str">
        <f>IFERROR(__xludf.DUMMYFUNCTION("GOOGLETRANSLATE(B993,""id"",""en"")"),"['application', 'update', 'slow', 'open', 'image', 'application', 'like', 'closed', 'the application', 'Please', 'fix', ""]")</f>
        <v>['application', 'update', 'slow', 'open', 'image', 'application', 'like', 'closed', 'the application', 'Please', 'fix', "]</v>
      </c>
      <c r="D993" s="3">
        <v>3.0</v>
      </c>
    </row>
    <row r="994" ht="15.75" customHeight="1">
      <c r="A994" s="1">
        <v>1039.0</v>
      </c>
      <c r="B994" s="3" t="s">
        <v>984</v>
      </c>
      <c r="C994" s="3" t="str">
        <f>IFERROR(__xludf.DUMMYFUNCTION("GOOGLETRANSLATE(B994,""id"",""en"")"),"['version', 'good', 'menu', 'features', 'complete', 'service', 'complaint', 'missing', '']")</f>
        <v>['version', 'good', 'menu', 'features', 'complete', 'service', 'complaint', 'missing', '']</v>
      </c>
      <c r="D994" s="3">
        <v>5.0</v>
      </c>
    </row>
    <row r="995" ht="15.75" customHeight="1">
      <c r="A995" s="1">
        <v>1040.0</v>
      </c>
      <c r="B995" s="3" t="s">
        <v>985</v>
      </c>
      <c r="C995" s="3" t="str">
        <f>IFERROR(__xludf.DUMMYFUNCTION("GOOGLETRANSLATE(B995,""id"",""en"")"),"['Service', 'Myindihome', 'Improvement', 'Application', 'Hopefully', 'Add', 'Information', 'Related', 'Internet', 'Indihome', 'Hopefully', 'Forward', ' Indihome ']")</f>
        <v>['Service', 'Myindihome', 'Improvement', 'Application', 'Hopefully', 'Add', 'Information', 'Related', 'Internet', 'Indihome', 'Hopefully', 'Forward', ' Indihome ']</v>
      </c>
      <c r="D995" s="3">
        <v>5.0</v>
      </c>
    </row>
    <row r="996" ht="15.75" customHeight="1">
      <c r="A996" s="1">
        <v>1041.0</v>
      </c>
      <c r="B996" s="3" t="s">
        <v>986</v>
      </c>
      <c r="C996" s="3" t="str">
        <f>IFERROR(__xludf.DUMMYFUNCTION("GOOGLETRANSLATE(B996,""id"",""en"")"),"['upgraded', 'opened', 'log', 'log', 'out', 'display', 'different', 'info', 'use', 'speed', 'wif', 'connected', ' Dimenu ',' main ']")</f>
        <v>['upgraded', 'opened', 'log', 'log', 'out', 'display', 'different', 'info', 'use', 'speed', 'wif', 'connected', ' Dimenu ',' main ']</v>
      </c>
      <c r="D996" s="3">
        <v>3.0</v>
      </c>
    </row>
    <row r="997" ht="15.75" customHeight="1">
      <c r="A997" s="1">
        <v>1042.0</v>
      </c>
      <c r="B997" s="3" t="s">
        <v>987</v>
      </c>
      <c r="C997" s="3" t="str">
        <f>IFERROR(__xludf.DUMMYFUNCTION("GOOGLETRANSLATE(B997,""id"",""en"")"),"['kagak', ""]")</f>
        <v>['kagak', "]</v>
      </c>
      <c r="D997" s="3">
        <v>1.0</v>
      </c>
    </row>
    <row r="998" ht="15.75" customHeight="1">
      <c r="A998" s="1">
        <v>1043.0</v>
      </c>
      <c r="B998" s="3" t="s">
        <v>988</v>
      </c>
      <c r="C998" s="3" t="str">
        <f>IFERROR(__xludf.DUMMYFUNCTION("GOOGLETRANSLATE(B998,""id"",""en"")"),"['complaint', 'complaints', 'easy', 'application', 'direct', 'response', 'fast', 'handled', 'kenda', 'steady']")</f>
        <v>['complaint', 'complaints', 'easy', 'application', 'direct', 'response', 'fast', 'handled', 'kenda', 'steady']</v>
      </c>
      <c r="D998" s="3">
        <v>5.0</v>
      </c>
    </row>
    <row r="999" ht="15.75" customHeight="1">
      <c r="A999" s="1">
        <v>1044.0</v>
      </c>
      <c r="B999" s="3" t="s">
        <v>989</v>
      </c>
      <c r="C999" s="3" t="str">
        <f>IFERROR(__xludf.DUMMYFUNCTION("GOOGLETRANSLATE(B999,""id"",""en"")"),"['features', 'good', 'usage', 'data', 'easy', 'upgrade', 'speed', 'Thanks', 'help']")</f>
        <v>['features', 'good', 'usage', 'data', 'easy', 'upgrade', 'speed', 'Thanks', 'help']</v>
      </c>
      <c r="D999" s="3">
        <v>5.0</v>
      </c>
    </row>
    <row r="1000" ht="15.75" customHeight="1">
      <c r="A1000" s="1">
        <v>1046.0</v>
      </c>
      <c r="B1000" s="3" t="s">
        <v>990</v>
      </c>
      <c r="C1000" s="3" t="str">
        <f>IFERROR(__xludf.DUMMYFUNCTION("GOOGLETRANSLATE(B1000,""id"",""en"")"),"['Download', 'application', 'it's better', 'deh', 'waste', 'quota', 'cook', 'dri', 'kmren', 'pairs',' wifi ',' house ',' UDH ',' alternating ',' application ',' Error ',' Delete ',' Application ',' Kayak ',' Gini ',' oath ',' anjng ']")</f>
        <v>['Download', 'application', 'it's better', 'deh', 'waste', 'quota', 'cook', 'dri', 'kmren', 'pairs',' wifi ',' house ',' UDH ',' alternating ',' application ',' Error ',' Delete ',' Application ',' Kayak ',' Gini ',' oath ',' anjng ']</v>
      </c>
      <c r="D1000" s="3">
        <v>1.0</v>
      </c>
    </row>
    <row r="1001" ht="15.75" customHeight="1">
      <c r="A1001" s="1">
        <v>1047.0</v>
      </c>
      <c r="B1001" s="3" t="s">
        <v>991</v>
      </c>
      <c r="C1001" s="3" t="str">
        <f>IFERROR(__xludf.DUMMYFUNCTION("GOOGLETRANSLATE(B1001,""id"",""en"")"),"['Good', 'application', 'update', 'slow', 'check', 'user', 'connected', 'wifi', 'please', 'fix', 'application', 'indihome']")</f>
        <v>['Good', 'application', 'update', 'slow', 'check', 'user', 'connected', 'wifi', 'please', 'fix', 'application', 'indihome']</v>
      </c>
      <c r="D1001" s="3">
        <v>1.0</v>
      </c>
    </row>
    <row r="1002" ht="15.75" customHeight="1">
      <c r="A1002" s="1">
        <v>1048.0</v>
      </c>
      <c r="B1002" s="3" t="s">
        <v>992</v>
      </c>
      <c r="C1002" s="3" t="str">
        <f>IFERROR(__xludf.DUMMYFUNCTION("GOOGLETRANSLATE(B1002,""id"",""en"")"),"['Indihome', 'The', 'Best']")</f>
        <v>['Indihome', 'The', 'Best']</v>
      </c>
      <c r="D1002" s="3">
        <v>5.0</v>
      </c>
    </row>
    <row r="1003" ht="15.75" customHeight="1">
      <c r="A1003" s="1">
        <v>1049.0</v>
      </c>
      <c r="B1003" s="3" t="s">
        <v>993</v>
      </c>
      <c r="C1003" s="3" t="str">
        <f>IFERROR(__xludf.DUMMYFUNCTION("GOOGLETRANSLATE(B1003,""id"",""en"")"),"['ugly', 'Pay', 'expensive', 'network', 'like', 'ilang', '']")</f>
        <v>['ugly', 'Pay', 'expensive', 'network', 'like', 'ilang', '']</v>
      </c>
      <c r="D1003" s="3">
        <v>1.0</v>
      </c>
    </row>
    <row r="1004" ht="15.75" customHeight="1">
      <c r="A1004" s="1">
        <v>1050.0</v>
      </c>
      <c r="B1004" s="3" t="s">
        <v>994</v>
      </c>
      <c r="C1004" s="3" t="str">
        <f>IFERROR(__xludf.DUMMYFUNCTION("GOOGLETRANSLATE(B1004,""id"",""en"")"),"['Convenience', 'grasp', 'hand', 'Satisfied', 'really', '']")</f>
        <v>['Convenience', 'grasp', 'hand', 'Satisfied', 'really', '']</v>
      </c>
      <c r="D1004" s="3">
        <v>5.0</v>
      </c>
    </row>
    <row r="1005" ht="15.75" customHeight="1">
      <c r="A1005" s="1">
        <v>1051.0</v>
      </c>
      <c r="B1005" s="3" t="s">
        <v>995</v>
      </c>
      <c r="C1005" s="3" t="str">
        <f>IFERROR(__xludf.DUMMYFUNCTION("GOOGLETRANSLATE(B1005,""id"",""en"")"),"['mntap', 'pkek', 'indihome', 'slow', 'slow', 'mntap', 'pkokx', 'the', 'best']")</f>
        <v>['mntap', 'pkek', 'indihome', 'slow', 'slow', 'mntap', 'pkokx', 'the', 'best']</v>
      </c>
      <c r="D1005" s="3">
        <v>5.0</v>
      </c>
    </row>
    <row r="1006" ht="15.75" customHeight="1">
      <c r="A1006" s="1">
        <v>1053.0</v>
      </c>
      <c r="B1006" s="3" t="s">
        <v>996</v>
      </c>
      <c r="C1006" s="3" t="str">
        <f>IFERROR(__xludf.DUMMYFUNCTION("GOOGLETRANSLATE(B1006,""id"",""en"")"),"['Display', 'Indihome', 'Model', 'Kha', 'Lemot', 'Skaliii', 'Open', 'Profile', 'Open', '']")</f>
        <v>['Display', 'Indihome', 'Model', 'Kha', 'Lemot', 'Skaliii', 'Open', 'Profile', 'Open', '']</v>
      </c>
      <c r="D1006" s="3">
        <v>1.0</v>
      </c>
    </row>
    <row r="1007" ht="15.75" customHeight="1">
      <c r="A1007" s="1">
        <v>1054.0</v>
      </c>
      <c r="B1007" s="3" t="s">
        <v>997</v>
      </c>
      <c r="C1007" s="3" t="str">
        <f>IFERROR(__xludf.DUMMYFUNCTION("GOOGLETRANSLATE(B1007,""id"",""en"")"),"['mantaaaaaab']")</f>
        <v>['mantaaaaaab']</v>
      </c>
      <c r="D1007" s="3">
        <v>5.0</v>
      </c>
    </row>
    <row r="1008" ht="15.75" customHeight="1">
      <c r="A1008" s="1">
        <v>1055.0</v>
      </c>
      <c r="B1008" s="3" t="s">
        <v>998</v>
      </c>
      <c r="C1008" s="3" t="str">
        <f>IFERROR(__xludf.DUMMYFUNCTION("GOOGLETRANSLATE(B1008,""id"",""en"")"),"['The network', 'stable', 'already', 'free', 'wifi', 'replace', '']")</f>
        <v>['The network', 'stable', 'already', 'free', 'wifi', 'replace', '']</v>
      </c>
      <c r="D1008" s="3">
        <v>1.0</v>
      </c>
    </row>
    <row r="1009" ht="15.75" customHeight="1">
      <c r="A1009" s="1">
        <v>1056.0</v>
      </c>
      <c r="B1009" s="3" t="s">
        <v>999</v>
      </c>
      <c r="C1009" s="3" t="str">
        <f>IFERROR(__xludf.DUMMYFUNCTION("GOOGLETRANSLATE(B1009,""id"",""en"")"),"['Service', 'fast', 'Good', 'Call', 'Center', 'friendly', 'patient']")</f>
        <v>['Service', 'fast', 'Good', 'Call', 'Center', 'friendly', 'patient']</v>
      </c>
      <c r="D1009" s="3">
        <v>5.0</v>
      </c>
    </row>
    <row r="1010" ht="15.75" customHeight="1">
      <c r="A1010" s="1">
        <v>1057.0</v>
      </c>
      <c r="B1010" s="3" t="s">
        <v>1000</v>
      </c>
      <c r="C1010" s="3" t="str">
        <f>IFERROR(__xludf.DUMMYFUNCTION("GOOGLETRANSLATE(B1010,""id"",""en"")"),"['Helpful', 'Feature', 'Nice', '']")</f>
        <v>['Helpful', 'Feature', 'Nice', '']</v>
      </c>
      <c r="D1010" s="3">
        <v>5.0</v>
      </c>
    </row>
    <row r="1011" ht="15.75" customHeight="1">
      <c r="A1011" s="1">
        <v>1058.0</v>
      </c>
      <c r="B1011" s="3" t="s">
        <v>1001</v>
      </c>
      <c r="C1011" s="3" t="str">
        <f>IFERROR(__xludf.DUMMYFUNCTION("GOOGLETRANSLATE(B1011,""id"",""en"")"),"['already', 'make', 'review', 'reset', 'install', '']")</f>
        <v>['already', 'make', 'review', 'reset', 'install', '']</v>
      </c>
      <c r="D1011" s="3">
        <v>5.0</v>
      </c>
    </row>
    <row r="1012" ht="15.75" customHeight="1">
      <c r="A1012" s="1">
        <v>1059.0</v>
      </c>
      <c r="B1012" s="3" t="s">
        <v>1002</v>
      </c>
      <c r="C1012" s="3" t="str">
        <f>IFERROR(__xludf.DUMMYFUNCTION("GOOGLETRANSLATE(B1012,""id"",""en"")"),"['Sudh', 'Customer', 'Indihome', 'A Year', 'Helping', 'Pandemic', 'Sekrang', 'Do "",' SERBA ',' Rum ',' Online ',' Hopefully ',' In the future ',' Success', 'Lebh', '']")</f>
        <v>['Sudh', 'Customer', 'Indihome', 'A Year', 'Helping', 'Pandemic', 'Sekrang', 'Do ",' SERBA ',' Rum ',' Online ',' Hopefully ',' In the future ',' Success', 'Lebh', '']</v>
      </c>
      <c r="D1012" s="3">
        <v>5.0</v>
      </c>
    </row>
    <row r="1013" ht="15.75" customHeight="1">
      <c r="A1013" s="1">
        <v>1060.0</v>
      </c>
      <c r="B1013" s="3" t="s">
        <v>548</v>
      </c>
      <c r="C1013" s="3" t="str">
        <f>IFERROR(__xludf.DUMMYFUNCTION("GOOGLETRANSLATE(B1013,""id"",""en"")"),"['help', '']")</f>
        <v>['help', '']</v>
      </c>
      <c r="D1013" s="3">
        <v>5.0</v>
      </c>
    </row>
    <row r="1014" ht="15.75" customHeight="1">
      <c r="A1014" s="1">
        <v>1061.0</v>
      </c>
      <c r="B1014" s="3" t="s">
        <v>1003</v>
      </c>
      <c r="C1014" s="3" t="str">
        <f>IFERROR(__xludf.DUMMYFUNCTION("GOOGLETRANSLATE(B1014,""id"",""en"")"),"['thank you']")</f>
        <v>['thank you']</v>
      </c>
      <c r="D1014" s="3">
        <v>5.0</v>
      </c>
    </row>
    <row r="1015" ht="15.75" customHeight="1">
      <c r="A1015" s="1">
        <v>1062.0</v>
      </c>
      <c r="B1015" s="3" t="s">
        <v>1004</v>
      </c>
      <c r="C1015" s="3" t="str">
        <f>IFERROR(__xludf.DUMMYFUNCTION("GOOGLETRANSLATE(B1015,""id"",""en"")"),"['Myindihome', 'practical', 'check', 'quota', 'check', 'balance', 'promo', 'provided', 'indosat', 'ooredoo']")</f>
        <v>['Myindihome', 'practical', 'check', 'quota', 'check', 'balance', 'promo', 'provided', 'indosat', 'ooredoo']</v>
      </c>
      <c r="D1015" s="3">
        <v>5.0</v>
      </c>
    </row>
    <row r="1016" ht="15.75" customHeight="1">
      <c r="A1016" s="1">
        <v>1064.0</v>
      </c>
      <c r="B1016" s="3" t="s">
        <v>1005</v>
      </c>
      <c r="C1016" s="3" t="str">
        <f>IFERROR(__xludf.DUMMYFUNCTION("GOOGLETRANSLATE(B1016,""id"",""en"")"),"['Not bad', 'easy', 'used']")</f>
        <v>['Not bad', 'easy', 'used']</v>
      </c>
      <c r="D1016" s="3">
        <v>5.0</v>
      </c>
    </row>
    <row r="1017" ht="15.75" customHeight="1">
      <c r="A1017" s="1">
        <v>1065.0</v>
      </c>
      <c r="B1017" s="3" t="s">
        <v>1006</v>
      </c>
      <c r="C1017" s="3" t="str">
        <f>IFERROR(__xludf.DUMMYFUNCTION("GOOGLETRANSLATE(B1017,""id"",""en"")"),"['application', 'run', 'add', 'muter', 'please', 'speed', 'telephone', 'complement', 'like', 'probably', 'plin', 'normal', ' Wait ',' nanget ']")</f>
        <v>['application', 'run', 'add', 'muter', 'please', 'speed', 'telephone', 'complement', 'like', 'probably', 'plin', 'normal', ' Wait ',' nanget ']</v>
      </c>
      <c r="D1017" s="3">
        <v>1.0</v>
      </c>
    </row>
    <row r="1018" ht="15.75" customHeight="1">
      <c r="A1018" s="1">
        <v>1066.0</v>
      </c>
      <c r="B1018" s="3" t="s">
        <v>1007</v>
      </c>
      <c r="C1018" s="3" t="str">
        <f>IFERROR(__xludf.DUMMYFUNCTION("GOOGLETRANSLATE(B1018,""id"",""en"")"),"['application', 'version', 'newest', 'cool', 'menu', 'complete', 'feature', 'additional', 'menu', 'help', 'confused', 'deh', ' ']")</f>
        <v>['application', 'version', 'newest', 'cool', 'menu', 'complete', 'feature', 'additional', 'menu', 'help', 'confused', 'deh', ' ']</v>
      </c>
      <c r="D1018" s="3">
        <v>5.0</v>
      </c>
    </row>
    <row r="1019" ht="15.75" customHeight="1">
      <c r="A1019" s="1">
        <v>1067.0</v>
      </c>
      <c r="B1019" s="3" t="s">
        <v>1008</v>
      </c>
      <c r="C1019" s="3" t="str">
        <f>IFERROR(__xludf.DUMMYFUNCTION("GOOGLETRANSLATE(B1019,""id"",""en"")"),"['kcptaaanx', 'steady']")</f>
        <v>['kcptaaanx', 'steady']</v>
      </c>
      <c r="D1019" s="3">
        <v>5.0</v>
      </c>
    </row>
    <row r="1020" ht="15.75" customHeight="1">
      <c r="A1020" s="1">
        <v>1068.0</v>
      </c>
      <c r="B1020" s="3" t="s">
        <v>1009</v>
      </c>
      <c r="C1020" s="3" t="str">
        <f>IFERROR(__xludf.DUMMYFUNCTION("GOOGLETRANSLATE(B1020,""id"",""en"")"),"['Indihome', 'Help', 'RMH', 'tmpt', 'business',' smg ',' dpn ',' indihome ',' Best ',' The ',' best ',' network ',' Fiber ',' optics', 'Indonesia', 'smg', 'satisfied', 'all', 'users', ""]")</f>
        <v>['Indihome', 'Help', 'RMH', 'tmpt', 'business',' smg ',' dpn ',' indihome ',' Best ',' The ',' best ',' network ',' Fiber ',' optics', 'Indonesia', 'smg', 'satisfied', 'all', 'users', "]</v>
      </c>
      <c r="D1020" s="3">
        <v>5.0</v>
      </c>
    </row>
    <row r="1021" ht="15.75" customHeight="1">
      <c r="A1021" s="1">
        <v>1069.0</v>
      </c>
      <c r="B1021" s="3" t="s">
        <v>1010</v>
      </c>
      <c r="C1021" s="3" t="str">
        <f>IFERROR(__xludf.DUMMYFUNCTION("GOOGLETRANSLATE(B1021,""id"",""en"")"),"['update', 'newest', 'SANAGT', 'KERNNNN', 'Features',' JLAS ',' Disabled ',' according to ',' Want ',' Pkoknya ',' Indihome ',' Sllu ',' appeared ',' forward ',' Alahamdulillah ',' signal ',' sllu ',' lncar ']")</f>
        <v>['update', 'newest', 'SANAGT', 'KERNNNN', 'Features',' JLAS ',' Disabled ',' according to ',' Want ',' Pkoknya ',' Indihome ',' Sllu ',' appeared ',' forward ',' Alahamdulillah ',' signal ',' sllu ',' lncar ']</v>
      </c>
      <c r="D1021" s="3">
        <v>5.0</v>
      </c>
    </row>
    <row r="1022" ht="15.75" customHeight="1">
      <c r="A1022" s="1">
        <v>1070.0</v>
      </c>
      <c r="B1022" s="3" t="s">
        <v>1011</v>
      </c>
      <c r="C1022" s="3" t="str">
        <f>IFERROR(__xludf.DUMMYFUNCTION("GOOGLETRANSLATE(B1022,""id"",""en"")"),"['Cakep', 'update', 'application']")</f>
        <v>['Cakep', 'update', 'application']</v>
      </c>
      <c r="D1022" s="3">
        <v>5.0</v>
      </c>
    </row>
    <row r="1023" ht="15.75" customHeight="1">
      <c r="A1023" s="1">
        <v>1071.0</v>
      </c>
      <c r="B1023" s="3" t="s">
        <v>1012</v>
      </c>
      <c r="C1023" s="3" t="str">
        <f>IFERROR(__xludf.DUMMYFUNCTION("GOOGLETRANSLATE(B1023,""id"",""en"")"),"['signal', 'okay', 'fast', 'stable', 'kalopun', 'stay', 'calling', 'complaint', 'apps',' web ',' indihome ',' service ',' satisfying ',' count ',' clock ',' problem ',' fix ']")</f>
        <v>['signal', 'okay', 'fast', 'stable', 'kalopun', 'stay', 'calling', 'complaint', 'apps',' web ',' indihome ',' service ',' satisfying ',' count ',' clock ',' problem ',' fix ']</v>
      </c>
      <c r="D1023" s="3">
        <v>5.0</v>
      </c>
    </row>
    <row r="1024" ht="15.75" customHeight="1">
      <c r="A1024" s="1">
        <v>1072.0</v>
      </c>
      <c r="B1024" s="3" t="s">
        <v>1013</v>
      </c>
      <c r="C1024" s="3" t="str">
        <f>IFERROR(__xludf.DUMMYFUNCTION("GOOGLETRANSLATE(B1024,""id"",""en"")"),"['easy', 'operate', '']")</f>
        <v>['easy', 'operate', '']</v>
      </c>
      <c r="D1024" s="3">
        <v>5.0</v>
      </c>
    </row>
    <row r="1025" ht="15.75" customHeight="1">
      <c r="A1025" s="1">
        <v>1073.0</v>
      </c>
      <c r="B1025" s="3" t="s">
        <v>1014</v>
      </c>
      <c r="C1025" s="3" t="str">
        <f>IFERROR(__xludf.DUMMYFUNCTION("GOOGLETRANSLATE(B1025,""id"",""en"")"),"['Simple', 'easy']")</f>
        <v>['Simple', 'easy']</v>
      </c>
      <c r="D1025" s="3">
        <v>5.0</v>
      </c>
    </row>
    <row r="1026" ht="15.75" customHeight="1">
      <c r="A1026" s="1">
        <v>1074.0</v>
      </c>
      <c r="B1026" s="3" t="s">
        <v>1015</v>
      </c>
      <c r="C1026" s="3" t="str">
        <f>IFERROR(__xludf.DUMMYFUNCTION("GOOGLETRANSLATE(B1026,""id"",""en"")"),"['Look for', 'Package', 'Internet', 'Only', 'Application', 'Written', 'Package', 'Internet', 'It costs', 'Basic', 'Labil', ""]")</f>
        <v>['Look for', 'Package', 'Internet', 'Only', 'Application', 'Written', 'Package', 'Internet', 'It costs', 'Basic', 'Labil', "]</v>
      </c>
      <c r="D1026" s="3">
        <v>1.0</v>
      </c>
    </row>
    <row r="1027" ht="15.75" customHeight="1">
      <c r="A1027" s="1">
        <v>1075.0</v>
      </c>
      <c r="B1027" s="3" t="s">
        <v>1016</v>
      </c>
      <c r="C1027" s="3" t="str">
        <f>IFERROR(__xludf.DUMMYFUNCTION("GOOGLETRANSLATE(B1027,""id"",""en"")"),"['application', 'developed', 'hope', 'forward', 'indihome', '']")</f>
        <v>['application', 'developed', 'hope', 'forward', 'indihome', '']</v>
      </c>
      <c r="D1027" s="3">
        <v>5.0</v>
      </c>
    </row>
    <row r="1028" ht="15.75" customHeight="1">
      <c r="A1028" s="1">
        <v>1076.0</v>
      </c>
      <c r="B1028" s="3" t="s">
        <v>1017</v>
      </c>
      <c r="C1028" s="3" t="str">
        <f>IFERROR(__xludf.DUMMYFUNCTION("GOOGLETRANSLATE(B1028,""id"",""en"")"),"['Display', 'Fresh', 'Loading', 'Open', 'Menu', '']")</f>
        <v>['Display', 'Fresh', 'Loading', 'Open', 'Menu', '']</v>
      </c>
      <c r="D1028" s="3">
        <v>5.0</v>
      </c>
    </row>
    <row r="1029" ht="15.75" customHeight="1">
      <c r="A1029" s="1">
        <v>1077.0</v>
      </c>
      <c r="B1029" s="3" t="s">
        <v>1018</v>
      </c>
      <c r="C1029" s="3" t="str">
        <f>IFERROR(__xludf.DUMMYFUNCTION("GOOGLETRANSLATE(B1029,""id"",""en"")"),"['LBH', 'Modern', 'The application', 'Good']")</f>
        <v>['LBH', 'Modern', 'The application', 'Good']</v>
      </c>
      <c r="D1029" s="3">
        <v>5.0</v>
      </c>
    </row>
    <row r="1030" ht="15.75" customHeight="1">
      <c r="A1030" s="1">
        <v>1078.0</v>
      </c>
      <c r="B1030" s="3" t="s">
        <v>1019</v>
      </c>
      <c r="C1030" s="3" t="str">
        <f>IFERROR(__xludf.DUMMYFUNCTION("GOOGLETRANSLATE(B1030,""id"",""en"")"),"['application', 'the latest', 'communicative', 'user', 'friendly', 'stay', 'increase', 'speed', 'response', 'application', 'like', 'loading', ' Features', 'application', '']")</f>
        <v>['application', 'the latest', 'communicative', 'user', 'friendly', 'stay', 'increase', 'speed', 'response', 'application', 'like', 'loading', ' Features', 'application', '']</v>
      </c>
      <c r="D1030" s="3">
        <v>5.0</v>
      </c>
    </row>
    <row r="1031" ht="15.75" customHeight="1">
      <c r="A1031" s="1">
        <v>1079.0</v>
      </c>
      <c r="B1031" s="3" t="s">
        <v>1020</v>
      </c>
      <c r="C1031" s="3" t="str">
        <f>IFERROR(__xludf.DUMMYFUNCTION("GOOGLETRANSLATE(B1031,""id"",""en"")"),"['Update', 'appointsss',' ndak ',' gunaaa ',' my number ',' charred ',' because ',' update ',' entry ',' applicationiiii ',' use ',' update ',' Load ',' Kibigini ',' ']")</f>
        <v>['Update', 'appointsss',' ndak ',' gunaaa ',' my number ',' charred ',' because ',' update ',' entry ',' applicationiiii ',' use ',' update ',' Load ',' Kibigini ',' ']</v>
      </c>
      <c r="D1031" s="3">
        <v>1.0</v>
      </c>
    </row>
    <row r="1032" ht="15.75" customHeight="1">
      <c r="A1032" s="1">
        <v>1080.0</v>
      </c>
      <c r="B1032" s="3" t="s">
        <v>1021</v>
      </c>
      <c r="C1032" s="3" t="str">
        <f>IFERROR(__xludf.DUMMYFUNCTION("GOOGLETRANSLATE(B1032,""id"",""en"")"),"['application', 'no', 'KARU', 'class', 'BUMN', 'service', 'application', 'rich', 'gini', ""]")</f>
        <v>['application', 'no', 'KARU', 'class', 'BUMN', 'service', 'application', 'rich', 'gini', "]</v>
      </c>
      <c r="D1032" s="3">
        <v>1.0</v>
      </c>
    </row>
    <row r="1033" ht="15.75" customHeight="1">
      <c r="A1033" s="1">
        <v>1081.0</v>
      </c>
      <c r="B1033" s="3" t="s">
        <v>1022</v>
      </c>
      <c r="C1033" s="3" t="str">
        <f>IFERROR(__xludf.DUMMYFUNCTION("GOOGLETRANSLATE(B1033,""id"",""en"")"),"['Help', 'use', 'package', 'indihome']")</f>
        <v>['Help', 'use', 'package', 'indihome']</v>
      </c>
      <c r="D1033" s="3">
        <v>5.0</v>
      </c>
    </row>
    <row r="1034" ht="15.75" customHeight="1">
      <c r="A1034" s="1">
        <v>1082.0</v>
      </c>
      <c r="B1034" s="3" t="s">
        <v>1023</v>
      </c>
      <c r="C1034" s="3" t="str">
        <f>IFERROR(__xludf.DUMMYFUNCTION("GOOGLETRANSLATE(B1034,""id"",""en"")"),"['Good', 'informative']")</f>
        <v>['Good', 'informative']</v>
      </c>
      <c r="D1034" s="3">
        <v>5.0</v>
      </c>
    </row>
    <row r="1035" ht="15.75" customHeight="1">
      <c r="A1035" s="1">
        <v>1083.0</v>
      </c>
      <c r="B1035" s="3" t="s">
        <v>1024</v>
      </c>
      <c r="C1035" s="3" t="str">
        <f>IFERROR(__xludf.DUMMYFUNCTION("GOOGLETRANSLATE(B1035,""id"",""en"")"),"['OK good']")</f>
        <v>['OK good']</v>
      </c>
      <c r="D1035" s="3">
        <v>5.0</v>
      </c>
    </row>
    <row r="1036" ht="15.75" customHeight="1">
      <c r="A1036" s="1">
        <v>1084.0</v>
      </c>
      <c r="B1036" s="3" t="s">
        <v>1025</v>
      </c>
      <c r="C1036" s="3" t="str">
        <f>IFERROR(__xludf.DUMMYFUNCTION("GOOGLETRANSLATE(B1036,""id"",""en"")"),"['use', 'data', 'run', '']")</f>
        <v>['use', 'data', 'run', '']</v>
      </c>
      <c r="D1036" s="3">
        <v>5.0</v>
      </c>
    </row>
    <row r="1037" ht="15.75" customHeight="1">
      <c r="A1037" s="1">
        <v>1085.0</v>
      </c>
      <c r="B1037" s="3" t="s">
        <v>1026</v>
      </c>
      <c r="C1037" s="3" t="str">
        <f>IFERROR(__xludf.DUMMYFUNCTION("GOOGLETRANSLATE(B1037,""id"",""en"")"),"['slow', 'update', 'the application', 'here', 'open', 'profile', 'loading', 'mending', 'version', 'fast', 'user', 'use', ' wifi ',' already ',' moved ',' menu ',' reproduced ',' ad ',' slow ',' application ']")</f>
        <v>['slow', 'update', 'the application', 'here', 'open', 'profile', 'loading', 'mending', 'version', 'fast', 'user', 'use', ' wifi ',' already ',' moved ',' menu ',' reproduced ',' ad ',' slow ',' application ']</v>
      </c>
      <c r="D1037" s="3">
        <v>1.0</v>
      </c>
    </row>
    <row r="1038" ht="15.75" customHeight="1">
      <c r="A1038" s="1">
        <v>1086.0</v>
      </c>
      <c r="B1038" s="3" t="s">
        <v>1027</v>
      </c>
      <c r="C1038" s="3" t="str">
        <f>IFERROR(__xludf.DUMMYFUNCTION("GOOGLETRANSLATE(B1038,""id"",""en"")"),"['Thank "",' Love ',' Indihome ',' Since ',' Subscribe ',' Indihome ',' Affairs ',' Child ',' Learning ',' Alhamdullilah ',' Smooth ',' Success', 'Slalu', 'Indihome']")</f>
        <v>['Thank ",' Love ',' Indihome ',' Since ',' Subscribe ',' Indihome ',' Affairs ',' Child ',' Learning ',' Alhamdullilah ',' Smooth ',' Success', 'Slalu', 'Indihome']</v>
      </c>
      <c r="D1038" s="3">
        <v>5.0</v>
      </c>
    </row>
    <row r="1039" ht="15.75" customHeight="1">
      <c r="A1039" s="1">
        <v>1087.0</v>
      </c>
      <c r="B1039" s="3" t="s">
        <v>1028</v>
      </c>
      <c r="C1039" s="3" t="str">
        <f>IFERROR(__xludf.DUMMYFUNCTION("GOOGLETRANSLATE(B1039,""id"",""en"")"),"['Lemot', 'Delete', 'Play', 'Store', 'Nga', 'Application', '']")</f>
        <v>['Lemot', 'Delete', 'Play', 'Store', 'Nga', 'Application', '']</v>
      </c>
      <c r="D1039" s="3">
        <v>1.0</v>
      </c>
    </row>
    <row r="1040" ht="15.75" customHeight="1">
      <c r="A1040" s="1">
        <v>1088.0</v>
      </c>
      <c r="B1040" s="3" t="s">
        <v>1029</v>
      </c>
      <c r="C1040" s="3" t="str">
        <f>IFERROR(__xludf.DUMMYFUNCTION("GOOGLETRANSLATE(B1040,""id"",""en"")"),"['Not bad', 'help', 'application', 'hope', 'again']")</f>
        <v>['Not bad', 'help', 'application', 'hope', 'again']</v>
      </c>
      <c r="D1040" s="3">
        <v>5.0</v>
      </c>
    </row>
    <row r="1041" ht="15.75" customHeight="1">
      <c r="A1041" s="1">
        <v>1089.0</v>
      </c>
      <c r="B1041" s="3" t="s">
        <v>1030</v>
      </c>
      <c r="C1041" s="3" t="str">
        <f>IFERROR(__xludf.DUMMYFUNCTION("GOOGLETRANSLATE(B1041,""id"",""en"")"),"['Sometimes', 'like', 'slow', 'open', 'application', '']")</f>
        <v>['Sometimes', 'like', 'slow', 'open', 'application', '']</v>
      </c>
      <c r="D1041" s="3">
        <v>5.0</v>
      </c>
    </row>
    <row r="1042" ht="15.75" customHeight="1">
      <c r="A1042" s="1">
        <v>1090.0</v>
      </c>
      <c r="B1042" s="3" t="s">
        <v>1031</v>
      </c>
      <c r="C1042" s="3" t="str">
        <f>IFERROR(__xludf.DUMMYFUNCTION("GOOGLETRANSLATE(B1042,""id"",""en"")"),"['Application', 'Lalod', '']")</f>
        <v>['Application', 'Lalod', '']</v>
      </c>
      <c r="D1042" s="3">
        <v>1.0</v>
      </c>
    </row>
    <row r="1043" ht="15.75" customHeight="1">
      <c r="A1043" s="1">
        <v>1091.0</v>
      </c>
      <c r="B1043" s="3" t="s">
        <v>1032</v>
      </c>
      <c r="C1043" s="3" t="str">
        <f>IFERROR(__xludf.DUMMYFUNCTION("GOOGLETRANSLATE(B1043,""id"",""en"")"),"['application', 'version', 'newest', 'fresh', 'tasty', 'makes it easy', 'search', 'menu', 'features',' needed ',' input ',' felt ',' Annoying ',' Loading ',' Page ',' Features', 'Sometimes',' Like ',' Slow ',' Hope ',' Enhanced ',' Thank you ']")</f>
        <v>['application', 'version', 'newest', 'fresh', 'tasty', 'makes it easy', 'search', 'menu', 'features',' needed ',' input ',' felt ',' Annoying ',' Loading ',' Page ',' Features', 'Sometimes',' Like ',' Slow ',' Hope ',' Enhanced ',' Thank you ']</v>
      </c>
      <c r="D1043" s="3">
        <v>4.0</v>
      </c>
    </row>
    <row r="1044" ht="15.75" customHeight="1">
      <c r="A1044" s="1">
        <v>1092.0</v>
      </c>
      <c r="B1044" s="3" t="s">
        <v>1033</v>
      </c>
      <c r="C1044" s="3" t="str">
        <f>IFERROR(__xludf.DUMMYFUNCTION("GOOGLETRANSLATE(B1044,""id"",""en"")"),"['version', 'tks', '']")</f>
        <v>['version', 'tks', '']</v>
      </c>
      <c r="D1044" s="3">
        <v>4.0</v>
      </c>
    </row>
    <row r="1045" ht="15.75" customHeight="1">
      <c r="A1045" s="1">
        <v>1093.0</v>
      </c>
      <c r="B1045" s="3" t="s">
        <v>1034</v>
      </c>
      <c r="C1045" s="3" t="str">
        <f>IFERROR(__xludf.DUMMYFUNCTION("GOOGLETRANSLATE(B1045,""id"",""en"")"),"['easy', 'help', 'need', 'information']")</f>
        <v>['easy', 'help', 'need', 'information']</v>
      </c>
      <c r="D1045" s="3">
        <v>5.0</v>
      </c>
    </row>
    <row r="1046" ht="15.75" customHeight="1">
      <c r="A1046" s="1">
        <v>1094.0</v>
      </c>
      <c r="B1046" s="3" t="s">
        <v>1035</v>
      </c>
      <c r="C1046" s="3" t="str">
        <f>IFERROR(__xludf.DUMMYFUNCTION("GOOGLETRANSLATE(B1046,""id"",""en"")"),"['logout', 'forced', 'login', 'reset', 'interrupt', 'please', 'repair']")</f>
        <v>['logout', 'forced', 'login', 'reset', 'interrupt', 'please', 'repair']</v>
      </c>
      <c r="D1046" s="3">
        <v>3.0</v>
      </c>
    </row>
    <row r="1047" ht="15.75" customHeight="1">
      <c r="A1047" s="1">
        <v>1095.0</v>
      </c>
      <c r="B1047" s="3" t="s">
        <v>1036</v>
      </c>
      <c r="C1047" s="3" t="str">
        <f>IFERROR(__xludf.DUMMYFUNCTION("GOOGLETRANSLATE(B1047,""id"",""en"")"),"['update', 'the latest', 'data', 'base', 'cool', 'option', 'option', 'simple', 'easy', 'understandable', 'loading', 'developed', ' Because ',' like ',' Freez ',' Loading ',' appears', 'appears']")</f>
        <v>['update', 'the latest', 'data', 'base', 'cool', 'option', 'option', 'simple', 'easy', 'understandable', 'loading', 'developed', ' Because ',' like ',' Freez ',' Loading ',' appears', 'appears']</v>
      </c>
      <c r="D1047" s="3">
        <v>5.0</v>
      </c>
    </row>
    <row r="1048" ht="15.75" customHeight="1">
      <c r="A1048" s="1">
        <v>1096.0</v>
      </c>
      <c r="B1048" s="3" t="s">
        <v>1037</v>
      </c>
      <c r="C1048" s="3" t="str">
        <f>IFERROR(__xludf.DUMMYFUNCTION("GOOGLETRANSLATE(B1048,""id"",""en"")"),"['Application', 'Sangat', 'Help', 'Payment', 'Easy', 'Speed', 'Waifinya', 'Mantul', 'Mantab', 'Trobe', 'Rating', 'Love']")</f>
        <v>['Application', 'Sangat', 'Help', 'Payment', 'Easy', 'Speed', 'Waifinya', 'Mantul', 'Mantab', 'Trobe', 'Rating', 'Love']</v>
      </c>
      <c r="D1048" s="3">
        <v>5.0</v>
      </c>
    </row>
    <row r="1049" ht="15.75" customHeight="1">
      <c r="A1049" s="1">
        <v>1097.0</v>
      </c>
      <c r="B1049" s="3" t="s">
        <v>1038</v>
      </c>
      <c r="C1049" s="3" t="str">
        <f>IFERROR(__xludf.DUMMYFUNCTION("GOOGLETRANSLATE(B1049,""id"",""en"")"),"['Good', 'service', 'Network', 'Satisfied']")</f>
        <v>['Good', 'service', 'Network', 'Satisfied']</v>
      </c>
      <c r="D1049" s="3">
        <v>5.0</v>
      </c>
    </row>
    <row r="1050" ht="15.75" customHeight="1">
      <c r="A1050" s="1">
        <v>1098.0</v>
      </c>
      <c r="B1050" s="3" t="s">
        <v>1039</v>
      </c>
      <c r="C1050" s="3" t="str">
        <f>IFERROR(__xludf.DUMMYFUNCTION("GOOGLETRANSLATE(B1050,""id"",""en"")"),"['Min', 'the application', 'slow', 'error']")</f>
        <v>['Min', 'the application', 'slow', 'error']</v>
      </c>
      <c r="D1050" s="3">
        <v>5.0</v>
      </c>
    </row>
    <row r="1051" ht="15.75" customHeight="1">
      <c r="A1051" s="1">
        <v>1099.0</v>
      </c>
      <c r="B1051" s="3" t="s">
        <v>1040</v>
      </c>
      <c r="C1051" s="3" t="str">
        <f>IFERROR(__xludf.DUMMYFUNCTION("GOOGLETRANSLATE(B1051,""id"",""en"")"),"['Display', 'Fresh', 'Modern']")</f>
        <v>['Display', 'Fresh', 'Modern']</v>
      </c>
      <c r="D1051" s="3">
        <v>5.0</v>
      </c>
    </row>
    <row r="1052" ht="15.75" customHeight="1">
      <c r="A1052" s="1">
        <v>1100.0</v>
      </c>
      <c r="B1052" s="3" t="s">
        <v>441</v>
      </c>
      <c r="C1052" s="3" t="str">
        <f>IFERROR(__xludf.DUMMYFUNCTION("GOOGLETRANSLATE(B1052,""id"",""en"")"),"['', '']")</f>
        <v>['', '']</v>
      </c>
      <c r="D1052" s="3">
        <v>5.0</v>
      </c>
    </row>
    <row r="1053" ht="15.75" customHeight="1">
      <c r="A1053" s="1">
        <v>1101.0</v>
      </c>
      <c r="B1053" s="3" t="s">
        <v>1041</v>
      </c>
      <c r="C1053" s="3" t="str">
        <f>IFERROR(__xludf.DUMMYFUNCTION("GOOGLETRANSLATE(B1053,""id"",""en"")"),"['regret', 'update', 'fast', 'version', 'poor', 'want', 'buy', 'package', 'slow', 'ampunnnn']")</f>
        <v>['regret', 'update', 'fast', 'version', 'poor', 'want', 'buy', 'package', 'slow', 'ampunnnn']</v>
      </c>
      <c r="D1053" s="3">
        <v>2.0</v>
      </c>
    </row>
    <row r="1054" ht="15.75" customHeight="1">
      <c r="A1054" s="1">
        <v>1102.0</v>
      </c>
      <c r="B1054" s="3" t="s">
        <v>1042</v>
      </c>
      <c r="C1054" s="3" t="str">
        <f>IFERROR(__xludf.DUMMYFUNCTION("GOOGLETRANSLATE(B1054,""id"",""en"")"),"['Application', 'updated', 'slow', 'outside', 'limit', 'tolerance', 'customer', 'indihome', 'need', 'info', 'bill', 'delete', ' application ',' update ',' renewal ',' troublesome ',' user ',' increase ',' good ', ""]")</f>
        <v>['Application', 'updated', 'slow', 'outside', 'limit', 'tolerance', 'customer', 'indihome', 'need', 'info', 'bill', 'delete', ' application ',' update ',' renewal ',' troublesome ',' user ',' increase ',' good ', "]</v>
      </c>
      <c r="D1054" s="3">
        <v>1.0</v>
      </c>
    </row>
    <row r="1055" ht="15.75" customHeight="1">
      <c r="A1055" s="1">
        <v>1103.0</v>
      </c>
      <c r="B1055" s="3" t="s">
        <v>1043</v>
      </c>
      <c r="C1055" s="3" t="str">
        <f>IFERROR(__xludf.DUMMYFUNCTION("GOOGLETRANSLATE(B1055,""id"",""en"")"),"['patch', 'slow', ""]")</f>
        <v>['patch', 'slow', "]</v>
      </c>
      <c r="D1055" s="3">
        <v>1.0</v>
      </c>
    </row>
    <row r="1056" ht="15.75" customHeight="1">
      <c r="A1056" s="1">
        <v>1104.0</v>
      </c>
      <c r="B1056" s="3" t="s">
        <v>1044</v>
      </c>
      <c r="C1056" s="3" t="str">
        <f>IFERROR(__xludf.DUMMYFUNCTION("GOOGLETRANSLATE(B1056,""id"",""en"")"),"['Service', 'bad', 'technicians', 'Benerin', 'Network', 'wifi', 'all day', 'reasons', 'installation', ""]")</f>
        <v>['Service', 'bad', 'technicians', 'Benerin', 'Network', 'wifi', 'all day', 'reasons', 'installation', "]</v>
      </c>
      <c r="D1056" s="3">
        <v>1.0</v>
      </c>
    </row>
    <row r="1057" ht="15.75" customHeight="1">
      <c r="A1057" s="1">
        <v>1105.0</v>
      </c>
      <c r="B1057" s="3" t="s">
        <v>1045</v>
      </c>
      <c r="C1057" s="3" t="str">
        <f>IFERROR(__xludf.DUMMYFUNCTION("GOOGLETRANSLATE(B1057,""id"",""en"")"),"['application', 'broken', 'good', 'told', 'list', 'enter']")</f>
        <v>['application', 'broken', 'good', 'told', 'list', 'enter']</v>
      </c>
      <c r="D1057" s="3">
        <v>1.0</v>
      </c>
    </row>
    <row r="1058" ht="15.75" customHeight="1">
      <c r="A1058" s="1">
        <v>1107.0</v>
      </c>
      <c r="B1058" s="3" t="s">
        <v>1046</v>
      </c>
      <c r="C1058" s="3" t="str">
        <f>IFERROR(__xludf.DUMMYFUNCTION("GOOGLETRANSLATE(B1058,""id"",""en"")"),"['submit', 'complaints',' application ',' Myindihome ',' option ',' restart ',' modem ',' reset ',' modem ',' solution ',' network ',' connection ',' Down ',' disappointing ',' ']")</f>
        <v>['submit', 'complaints',' application ',' Myindihome ',' option ',' restart ',' modem ',' reset ',' modem ',' solution ',' network ',' connection ',' Down ',' disappointing ',' ']</v>
      </c>
      <c r="D1058" s="3">
        <v>1.0</v>
      </c>
    </row>
    <row r="1059" ht="15.75" customHeight="1">
      <c r="A1059" s="1">
        <v>1108.0</v>
      </c>
      <c r="B1059" s="3" t="s">
        <v>1047</v>
      </c>
      <c r="C1059" s="3" t="str">
        <f>IFERROR(__xludf.DUMMYFUNCTION("GOOGLETRANSLATE(B1059,""id"",""en"")"),"['Indihome', 'until', 'Kepliok', 'steady', 'unlimited', 'FUP', 'family', 'uenak', 'poll']")</f>
        <v>['Indihome', 'until', 'Kepliok', 'steady', 'unlimited', 'FUP', 'family', 'uenak', 'poll']</v>
      </c>
      <c r="D1059" s="3">
        <v>5.0</v>
      </c>
    </row>
    <row r="1060" ht="15.75" customHeight="1">
      <c r="A1060" s="1">
        <v>1109.0</v>
      </c>
      <c r="B1060" s="3" t="s">
        <v>1048</v>
      </c>
      <c r="C1060" s="3" t="str">
        <f>IFERROR(__xludf.DUMMYFUNCTION("GOOGLETRANSLATE(B1060,""id"",""en"")"),"['like', 'update', 'latest', 'simple', 'interesting']")</f>
        <v>['like', 'update', 'latest', 'simple', 'interesting']</v>
      </c>
      <c r="D1060" s="3">
        <v>5.0</v>
      </c>
    </row>
    <row r="1061" ht="15.75" customHeight="1">
      <c r="A1061" s="1">
        <v>1110.0</v>
      </c>
      <c r="B1061" s="3" t="s">
        <v>1049</v>
      </c>
      <c r="C1061" s="3" t="str">
        <f>IFERROR(__xludf.DUMMYFUNCTION("GOOGLETRANSLATE(B1061,""id"",""en"")"),"['update', 'difficult', 'login', 'complicated', 'password', 'use', 'number', 'update', 'user', 'difficult', ""]")</f>
        <v>['update', 'difficult', 'login', 'complicated', 'password', 'use', 'number', 'update', 'user', 'difficult', "]</v>
      </c>
      <c r="D1061" s="3">
        <v>1.0</v>
      </c>
    </row>
    <row r="1062" ht="15.75" customHeight="1">
      <c r="A1062" s="1">
        <v>1111.0</v>
      </c>
      <c r="B1062" s="3" t="s">
        <v>1050</v>
      </c>
      <c r="C1062" s="3" t="str">
        <f>IFERROR(__xludf.DUMMYFUNCTION("GOOGLETRANSLATE(B1062,""id"",""en"")"),"['update', 'service', 'application', 'interesting', 'easy', 'transaction', 'indihome']")</f>
        <v>['update', 'service', 'application', 'interesting', 'easy', 'transaction', 'indihome']</v>
      </c>
      <c r="D1062" s="3">
        <v>5.0</v>
      </c>
    </row>
    <row r="1063" ht="15.75" customHeight="1">
      <c r="A1063" s="1">
        <v>1112.0</v>
      </c>
      <c r="B1063" s="3" t="s">
        <v>1051</v>
      </c>
      <c r="C1063" s="3" t="str">
        <f>IFERROR(__xludf.DUMMYFUNCTION("GOOGLETRANSLATE(B1063,""id"",""en"")"),"['update', 'Mbps', 'unlimited', 'network', 'smooth', 'stable', 'Thanks', 'indihome']")</f>
        <v>['update', 'Mbps', 'unlimited', 'network', 'smooth', 'stable', 'Thanks', 'indihome']</v>
      </c>
      <c r="D1063" s="3">
        <v>5.0</v>
      </c>
    </row>
    <row r="1064" ht="15.75" customHeight="1">
      <c r="A1064" s="1">
        <v>1113.0</v>
      </c>
      <c r="B1064" s="3" t="s">
        <v>1052</v>
      </c>
      <c r="C1064" s="3" t="str">
        <f>IFERROR(__xludf.DUMMYFUNCTION("GOOGLETRANSLATE(B1064,""id"",""en"")"),"['Indihome', 'weve', 'Joss', 'application', 'Indihome', 'hope', 'front']")</f>
        <v>['Indihome', 'weve', 'Joss', 'application', 'Indihome', 'hope', 'front']</v>
      </c>
      <c r="D1064" s="3">
        <v>5.0</v>
      </c>
    </row>
    <row r="1065" ht="15.75" customHeight="1">
      <c r="A1065" s="1">
        <v>1114.0</v>
      </c>
      <c r="B1065" s="3" t="s">
        <v>1053</v>
      </c>
      <c r="C1065" s="3" t="str">
        <f>IFERROR(__xludf.DUMMYFUNCTION("GOOGLETRANSLATE(B1065,""id"",""en"")"),"['Current', 'Internet', 'Indihome', 'home', 'The application', '']")</f>
        <v>['Current', 'Internet', 'Indihome', 'home', 'The application', '']</v>
      </c>
      <c r="D1065" s="3">
        <v>5.0</v>
      </c>
    </row>
    <row r="1066" ht="15.75" customHeight="1">
      <c r="A1066" s="1">
        <v>1115.0</v>
      </c>
      <c r="B1066" s="3" t="s">
        <v>1054</v>
      </c>
      <c r="C1066" s="3" t="str">
        <f>IFERROR(__xludf.DUMMYFUNCTION("GOOGLETRANSLATE(B1066,""id"",""en"")"),"['Report', 'internet', 'slow', '']")</f>
        <v>['Report', 'internet', 'slow', '']</v>
      </c>
      <c r="D1066" s="3">
        <v>1.0</v>
      </c>
    </row>
    <row r="1067" ht="15.75" customHeight="1">
      <c r="A1067" s="1">
        <v>1116.0</v>
      </c>
      <c r="B1067" s="3" t="s">
        <v>1055</v>
      </c>
      <c r="C1067" s="3" t="str">
        <f>IFERROR(__xludf.DUMMYFUNCTION("GOOGLETRANSLATE(B1067,""id"",""en"")"),"['Cool', 'APP', 'Well', 'Done', 'Telkom', 'And', 'Indihome', 'Excellent', 'Services']")</f>
        <v>['Cool', 'APP', 'Well', 'Done', 'Telkom', 'And', 'Indihome', 'Excellent', 'Services']</v>
      </c>
      <c r="D1067" s="3">
        <v>5.0</v>
      </c>
    </row>
    <row r="1068" ht="15.75" customHeight="1">
      <c r="A1068" s="1">
        <v>1117.0</v>
      </c>
      <c r="B1068" s="3" t="s">
        <v>1056</v>
      </c>
      <c r="C1068" s="3" t="str">
        <f>IFERROR(__xludf.DUMMYFUNCTION("GOOGLETRANSLATE(B1068,""id"",""en"")"),"['Error', 'gapapa', 'min', 'spirit']")</f>
        <v>['Error', 'gapapa', 'min', 'spirit']</v>
      </c>
      <c r="D1068" s="3">
        <v>1.0</v>
      </c>
    </row>
    <row r="1069" ht="15.75" customHeight="1">
      <c r="A1069" s="1">
        <v>1118.0</v>
      </c>
      <c r="B1069" s="3" t="s">
        <v>1057</v>
      </c>
      <c r="C1069" s="3" t="str">
        <f>IFERROR(__xludf.DUMMYFUNCTION("GOOGLETRANSLATE(B1069,""id"",""en"")"),"['Mending', 'update', 'slow', 'really', 'the application', 'perfect', 'launch', 'Boz']")</f>
        <v>['Mending', 'update', 'slow', 'really', 'the application', 'perfect', 'launch', 'Boz']</v>
      </c>
      <c r="D1069" s="3">
        <v>1.0</v>
      </c>
    </row>
    <row r="1070" ht="15.75" customHeight="1">
      <c r="A1070" s="1">
        <v>1119.0</v>
      </c>
      <c r="B1070" s="3" t="s">
        <v>1058</v>
      </c>
      <c r="C1070" s="3" t="str">
        <f>IFERROR(__xludf.DUMMYFUNCTION("GOOGLETRANSLATE(B1070,""id"",""en"")"),"['Report', 'disorder', 'via', 'application', 'easy', 'technician', 'fast', 'dateng']")</f>
        <v>['Report', 'disorder', 'via', 'application', 'easy', 'technician', 'fast', 'dateng']</v>
      </c>
      <c r="D1070" s="3">
        <v>5.0</v>
      </c>
    </row>
    <row r="1071" ht="15.75" customHeight="1">
      <c r="A1071" s="1">
        <v>1120.0</v>
      </c>
      <c r="B1071" s="3" t="s">
        <v>1059</v>
      </c>
      <c r="C1071" s="3" t="str">
        <f>IFERROR(__xludf.DUMMYFUNCTION("GOOGLETRANSLATE(B1071,""id"",""en"")"),"['Display', 'application', 'SGT', 'Fresh', 'Partners']")</f>
        <v>['Display', 'application', 'SGT', 'Fresh', 'Partners']</v>
      </c>
      <c r="D1071" s="3">
        <v>5.0</v>
      </c>
    </row>
    <row r="1072" ht="15.75" customHeight="1">
      <c r="A1072" s="1">
        <v>1121.0</v>
      </c>
      <c r="B1072" s="3" t="s">
        <v>1060</v>
      </c>
      <c r="C1072" s="3" t="str">
        <f>IFERROR(__xludf.DUMMYFUNCTION("GOOGLETRANSLATE(B1072,""id"",""en"")"),"['Useful', 'Very', 'Application', 'Myindihome', 'Pay', 'Bill']")</f>
        <v>['Useful', 'Very', 'Application', 'Myindihome', 'Pay', 'Bill']</v>
      </c>
      <c r="D1072" s="3">
        <v>5.0</v>
      </c>
    </row>
    <row r="1073" ht="15.75" customHeight="1">
      <c r="A1073" s="1">
        <v>1122.0</v>
      </c>
      <c r="B1073" s="3" t="s">
        <v>1061</v>
      </c>
      <c r="C1073" s="3" t="str">
        <f>IFERROR(__xludf.DUMMYFUNCTION("GOOGLETRANSLATE(B1073,""id"",""en"")"),"['Satisfied', 'Indihome', 'Service', 'Bintang', '']")</f>
        <v>['Satisfied', 'Indihome', 'Service', 'Bintang', '']</v>
      </c>
      <c r="D1073" s="3">
        <v>5.0</v>
      </c>
    </row>
    <row r="1074" ht="15.75" customHeight="1">
      <c r="A1074" s="1">
        <v>1123.0</v>
      </c>
      <c r="B1074" s="3" t="s">
        <v>1062</v>
      </c>
      <c r="C1074" s="3" t="str">
        <f>IFERROR(__xludf.DUMMYFUNCTION("GOOGLETRANSLATE(B1074,""id"",""en"")"),"['Convenience', 'Manage', 'Service', 'Indihome', 'Application']")</f>
        <v>['Convenience', 'Manage', 'Service', 'Indihome', 'Application']</v>
      </c>
      <c r="D1074" s="3">
        <v>5.0</v>
      </c>
    </row>
    <row r="1075" ht="15.75" customHeight="1">
      <c r="A1075" s="1">
        <v>1124.0</v>
      </c>
      <c r="B1075" s="3" t="s">
        <v>1063</v>
      </c>
      <c r="C1075" s="3" t="str">
        <f>IFERROR(__xludf.DUMMYFUNCTION("GOOGLETRANSLATE(B1075,""id"",""en"")"),"['Application', 'present', 'adopted', 'lifestye', 'person', 'indo', 'top', 'deh']")</f>
        <v>['Application', 'present', 'adopted', 'lifestye', 'person', 'indo', 'top', 'deh']</v>
      </c>
      <c r="D1075" s="3">
        <v>5.0</v>
      </c>
    </row>
    <row r="1076" ht="15.75" customHeight="1">
      <c r="A1076" s="1">
        <v>1125.0</v>
      </c>
      <c r="B1076" s="3" t="s">
        <v>1064</v>
      </c>
      <c r="C1076" s="3" t="str">
        <f>IFERROR(__xludf.DUMMYFUNCTION("GOOGLETRANSLATE(B1076,""id"",""en"")"),"['Application', 'Latest', 'Comfortable', 'Easy']")</f>
        <v>['Application', 'Latest', 'Comfortable', 'Easy']</v>
      </c>
      <c r="D1076" s="3">
        <v>5.0</v>
      </c>
    </row>
    <row r="1077" ht="15.75" customHeight="1">
      <c r="A1077" s="1">
        <v>1126.0</v>
      </c>
      <c r="B1077" s="3" t="s">
        <v>1065</v>
      </c>
      <c r="C1077" s="3" t="str">
        <f>IFERROR(__xludf.DUMMYFUNCTION("GOOGLETRANSLATE(B1077,""id"",""en"")"),"['woi', 'the application', 'ugly', 'simple', 'slow', 'features', 'opened', '']")</f>
        <v>['woi', 'the application', 'ugly', 'simple', 'slow', 'features', 'opened', '']</v>
      </c>
      <c r="D1077" s="3">
        <v>1.0</v>
      </c>
    </row>
    <row r="1078" ht="15.75" customHeight="1">
      <c r="A1078" s="1">
        <v>1127.0</v>
      </c>
      <c r="B1078" s="3" t="s">
        <v>1066</v>
      </c>
      <c r="C1078" s="3" t="str">
        <f>IFERROR(__xludf.DUMMYFUNCTION("GOOGLETRANSLATE(B1078,""id"",""en"")"),"['The application', 'Good', 'Helpful', 'Lemot', '']")</f>
        <v>['The application', 'Good', 'Helpful', 'Lemot', '']</v>
      </c>
      <c r="D1078" s="3">
        <v>5.0</v>
      </c>
    </row>
    <row r="1079" ht="15.75" customHeight="1">
      <c r="A1079" s="1">
        <v>1128.0</v>
      </c>
      <c r="B1079" s="3" t="s">
        <v>1067</v>
      </c>
      <c r="C1079" s="3" t="str">
        <f>IFERROR(__xludf.DUMMYFUNCTION("GOOGLETRANSLATE(B1079,""id"",""en"")"),"['Good', 'Application', 'Come', 'Disappointed', 'Customer']")</f>
        <v>['Good', 'Application', 'Come', 'Disappointed', 'Customer']</v>
      </c>
      <c r="D1079" s="3">
        <v>5.0</v>
      </c>
    </row>
    <row r="1080" ht="15.75" customHeight="1">
      <c r="A1080" s="1">
        <v>1129.0</v>
      </c>
      <c r="B1080" s="3" t="s">
        <v>833</v>
      </c>
      <c r="C1080" s="3" t="str">
        <f>IFERROR(__xludf.DUMMYFUNCTION("GOOGLETRANSLATE(B1080,""id"",""en"")"),"['Good']")</f>
        <v>['Good']</v>
      </c>
      <c r="D1080" s="3">
        <v>5.0</v>
      </c>
    </row>
    <row r="1081" ht="15.75" customHeight="1">
      <c r="A1081" s="1">
        <v>1130.0</v>
      </c>
      <c r="B1081" s="3" t="s">
        <v>1068</v>
      </c>
      <c r="C1081" s="3" t="str">
        <f>IFERROR(__xludf.DUMMYFUNCTION("GOOGLETRANSLATE(B1081,""id"",""en"")"),"['paraah', 'here', 'disappointed', 'indihome', 'complaint', 'application', 'login', 'written', 'increase', 'service', 'ngadu', 'technician', ' Nggk ',' response ',' competitors', 'banyaak', 'lhooo', 'offer', 'interesting', 'convenience', 'class',' indihom"&amp;"e ',' lho ',' let ',' donk ' , 'FAITH', 'MOVER', 'Hold', 'Must', 'Moving', 'Haluan', '']")</f>
        <v>['paraah', 'here', 'disappointed', 'indihome', 'complaint', 'application', 'login', 'written', 'increase', 'service', 'ngadu', 'technician', ' Nggk ',' response ',' competitors', 'banyaak', 'lhooo', 'offer', 'interesting', 'convenience', 'class',' indihome ',' lho ',' let ',' donk ' , 'FAITH', 'MOVER', 'Hold', 'Must', 'Moving', 'Haluan', '']</v>
      </c>
      <c r="D1081" s="3">
        <v>1.0</v>
      </c>
    </row>
    <row r="1082" ht="15.75" customHeight="1">
      <c r="A1082" s="1">
        <v>1131.0</v>
      </c>
      <c r="B1082" s="3" t="s">
        <v>1069</v>
      </c>
      <c r="C1082" s="3" t="str">
        <f>IFERROR(__xludf.DUMMYFUNCTION("GOOGLETRANSLATE(B1082,""id"",""en"")"),"['updated', 'knp', 'difficult', 'check', 'device', 'connected', 'quota', 'please', 'repair', ""]")</f>
        <v>['updated', 'knp', 'difficult', 'check', 'device', 'connected', 'quota', 'please', 'repair', "]</v>
      </c>
      <c r="D1082" s="3">
        <v>2.0</v>
      </c>
    </row>
    <row r="1083" ht="15.75" customHeight="1">
      <c r="A1083" s="1">
        <v>1132.0</v>
      </c>
      <c r="B1083" s="3" t="s">
        <v>1070</v>
      </c>
      <c r="C1083" s="3" t="str">
        <f>IFERROR(__xludf.DUMMYFUNCTION("GOOGLETRANSLATE(B1083,""id"",""en"")"),"['enter', 'myindihome', 'hard', 'forgiveness']")</f>
        <v>['enter', 'myindihome', 'hard', 'forgiveness']</v>
      </c>
      <c r="D1083" s="3">
        <v>1.0</v>
      </c>
    </row>
    <row r="1084" ht="15.75" customHeight="1">
      <c r="A1084" s="1">
        <v>1133.0</v>
      </c>
      <c r="B1084" s="3" t="s">
        <v>1071</v>
      </c>
      <c r="C1084" s="3" t="str">
        <f>IFERROR(__xludf.DUMMYFUNCTION("GOOGLETRANSLATE(B1084,""id"",""en"")"),"['Satisfied', 'application', 'staple', 'The', 'Best', 'deh', 'indihome', ""]")</f>
        <v>['Satisfied', 'application', 'staple', 'The', 'Best', 'deh', 'indihome', "]</v>
      </c>
      <c r="D1084" s="3">
        <v>5.0</v>
      </c>
    </row>
    <row r="1085" ht="15.75" customHeight="1">
      <c r="A1085" s="1">
        <v>1134.0</v>
      </c>
      <c r="B1085" s="3" t="s">
        <v>1072</v>
      </c>
      <c r="C1085" s="3" t="str">
        <f>IFERROR(__xludf.DUMMYFUNCTION("GOOGLETRANSLATE(B1085,""id"",""en"")"),"['smga', 'stlh', 'update', 'feature', 'bgs', 'lbh', 'makeup', 'dlm', 'access', '']")</f>
        <v>['smga', 'stlh', 'update', 'feature', 'bgs', 'lbh', 'makeup', 'dlm', 'access', '']</v>
      </c>
      <c r="D1085" s="3">
        <v>5.0</v>
      </c>
    </row>
    <row r="1086" ht="15.75" customHeight="1">
      <c r="A1086" s="1">
        <v>1135.0</v>
      </c>
      <c r="B1086" s="3" t="s">
        <v>1073</v>
      </c>
      <c r="C1086" s="3" t="str">
        <f>IFERROR(__xludf.DUMMYFUNCTION("GOOGLETRANSLATE(B1086,""id"",""en"")"),"['Good', 'complete', 'menu']")</f>
        <v>['Good', 'complete', 'menu']</v>
      </c>
      <c r="D1086" s="3">
        <v>5.0</v>
      </c>
    </row>
    <row r="1087" ht="15.75" customHeight="1">
      <c r="A1087" s="1">
        <v>1136.0</v>
      </c>
      <c r="B1087" s="3" t="s">
        <v>1074</v>
      </c>
      <c r="C1087" s="3" t="str">
        <f>IFERROR(__xludf.DUMMYFUNCTION("GOOGLETRANSLATE(B1087,""id"",""en"")"),"['subscribe', 'indiehome', 'named', 'Speedy', 'moment', 'process',' pass', 'network', 'indiehome', 'hope', 'hope', 'indiehome', ' his front ',' offer ',' package ',' save ',' network ',' increase ',' quality ',' ']")</f>
        <v>['subscribe', 'indiehome', 'named', 'Speedy', 'moment', 'process',' pass', 'network', 'indiehome', 'hope', 'hope', 'indiehome', ' his front ',' offer ',' package ',' save ',' network ',' increase ',' quality ',' ']</v>
      </c>
      <c r="D1087" s="3">
        <v>5.0</v>
      </c>
    </row>
    <row r="1088" ht="15.75" customHeight="1">
      <c r="A1088" s="1">
        <v>1137.0</v>
      </c>
      <c r="B1088" s="3" t="s">
        <v>1075</v>
      </c>
      <c r="C1088" s="3" t="str">
        <f>IFERROR(__xludf.DUMMYFUNCTION("GOOGLETRANSLATE(B1088,""id"",""en"")"),"['Sorry', 'complaint', 'Date', 'Visit', 'Saturday', 'date', 'NOP', 'Disruption', 'Direct', 'Fast', 'Processed', 'Tuesday', ' TGL ',' NOP ',' Disruption ',' dedicated ',' complaint ',' Schedule ',' Technician ',' date ',' NOP ',' December ',' Tah ',' repai"&amp;"r ',' His disturbance ' , 'please', 'material', 'consideration', 'thanks']")</f>
        <v>['Sorry', 'complaint', 'Date', 'Visit', 'Saturday', 'date', 'NOP', 'Disruption', 'Direct', 'Fast', 'Processed', 'Tuesday', ' TGL ',' NOP ',' Disruption ',' dedicated ',' complaint ',' Schedule ',' Technician ',' date ',' NOP ',' December ',' Tah ',' repair ',' His disturbance ' , 'please', 'material', 'consideration', 'thanks']</v>
      </c>
      <c r="D1088" s="3">
        <v>3.0</v>
      </c>
    </row>
    <row r="1089" ht="15.75" customHeight="1">
      <c r="A1089" s="1">
        <v>1138.0</v>
      </c>
      <c r="B1089" s="3" t="s">
        <v>1076</v>
      </c>
      <c r="C1089" s="3" t="str">
        <f>IFERROR(__xludf.DUMMYFUNCTION("GOOGLETRANSLATE(B1089,""id"",""en"")"),"['Download', 'History', 'Bill', 'Payment']")</f>
        <v>['Download', 'History', 'Bill', 'Payment']</v>
      </c>
      <c r="D1089" s="3">
        <v>1.0</v>
      </c>
    </row>
    <row r="1090" ht="15.75" customHeight="1">
      <c r="A1090" s="1">
        <v>1139.0</v>
      </c>
      <c r="B1090" s="3" t="s">
        <v>1077</v>
      </c>
      <c r="C1090" s="3" t="str">
        <f>IFERROR(__xludf.DUMMYFUNCTION("GOOGLETRANSLATE(B1090,""id"",""en"")"),"['application', 'complete', 'menu', 'in it', 'cool', '']")</f>
        <v>['application', 'complete', 'menu', 'in it', 'cool', '']</v>
      </c>
      <c r="D1090" s="3">
        <v>5.0</v>
      </c>
    </row>
    <row r="1091" ht="15.75" customHeight="1">
      <c r="A1091" s="1">
        <v>1140.0</v>
      </c>
      <c r="B1091" s="3" t="s">
        <v>1078</v>
      </c>
      <c r="C1091" s="3" t="str">
        <f>IFERROR(__xludf.DUMMYFUNCTION("GOOGLETRANSLATE(B1091,""id"",""en"")"),"['Cool', 'Its Function', 'Help', 'User', 'Friendly']")</f>
        <v>['Cool', 'Its Function', 'Help', 'User', 'Friendly']</v>
      </c>
      <c r="D1091" s="3">
        <v>5.0</v>
      </c>
    </row>
    <row r="1092" ht="15.75" customHeight="1">
      <c r="A1092" s="1">
        <v>1141.0</v>
      </c>
      <c r="B1092" s="3" t="s">
        <v>1079</v>
      </c>
      <c r="C1092" s="3" t="str">
        <f>IFERROR(__xludf.DUMMYFUNCTION("GOOGLETRANSLATE(B1092,""id"",""en"")"),"['Application', 'Lamban', 'Error']")</f>
        <v>['Application', 'Lamban', 'Error']</v>
      </c>
      <c r="D1092" s="3">
        <v>1.0</v>
      </c>
    </row>
    <row r="1093" ht="15.75" customHeight="1">
      <c r="A1093" s="1">
        <v>1142.0</v>
      </c>
      <c r="B1093" s="3" t="s">
        <v>1080</v>
      </c>
      <c r="C1093" s="3" t="str">
        <f>IFERROR(__xludf.DUMMYFUNCTION("GOOGLETRANSLATE(B1093,""id"",""en"")"),"['apk', 'failed', 'login', 'just']")</f>
        <v>['apk', 'failed', 'login', 'just']</v>
      </c>
      <c r="D1093" s="3">
        <v>1.0</v>
      </c>
    </row>
    <row r="1094" ht="15.75" customHeight="1">
      <c r="A1094" s="1">
        <v>1143.0</v>
      </c>
      <c r="B1094" s="3" t="s">
        <v>1081</v>
      </c>
      <c r="C1094" s="3" t="str">
        <f>IFERROR(__xludf.DUMMYFUNCTION("GOOGLETRANSLATE(B1094,""id"",""en"")"),"['Display', 'Simple', 'Elegant', '']")</f>
        <v>['Display', 'Simple', 'Elegant', '']</v>
      </c>
      <c r="D1094" s="3">
        <v>5.0</v>
      </c>
    </row>
    <row r="1095" ht="15.75" customHeight="1">
      <c r="A1095" s="1">
        <v>1144.0</v>
      </c>
      <c r="B1095" s="3" t="s">
        <v>1082</v>
      </c>
      <c r="C1095" s="3" t="str">
        <f>IFERROR(__xludf.DUMMYFUNCTION("GOOGLETRANSLATE(B1095,""id"",""en"")"),"['Increase']")</f>
        <v>['Increase']</v>
      </c>
      <c r="D1095" s="3">
        <v>5.0</v>
      </c>
    </row>
    <row r="1096" ht="15.75" customHeight="1">
      <c r="A1096" s="1">
        <v>1145.0</v>
      </c>
      <c r="B1096" s="3" t="s">
        <v>1083</v>
      </c>
      <c r="C1096" s="3" t="str">
        <f>IFERROR(__xludf.DUMMYFUNCTION("GOOGLETRANSLATE(B1096,""id"",""en"")"),"['Severe', 'update', 'slow', 'told', 'login', 'enter', 'enter', '']")</f>
        <v>['Severe', 'update', 'slow', 'told', 'login', 'enter', 'enter', '']</v>
      </c>
      <c r="D1096" s="3">
        <v>1.0</v>
      </c>
    </row>
    <row r="1097" ht="15.75" customHeight="1">
      <c r="A1097" s="1">
        <v>1146.0</v>
      </c>
      <c r="B1097" s="3" t="s">
        <v>1084</v>
      </c>
      <c r="C1097" s="3" t="str">
        <f>IFERROR(__xludf.DUMMYFUNCTION("GOOGLETRANSLATE(B1097,""id"",""en"")"),"['Thank you', 'Indihome', 'Easy to', 'Features',' Features', 'Salah', 'Only', 'Robot', 'Help', 'Fill', 'Form', 'Registration', ' features', 'subscribe', 'option', 'select', 'according to', 'package', 'feature', 'catchplay', 'choice', 'entertainment', 'add"&amp;"itional', 'enthuser', 'game' , 'voucher', 'makes it easy', 'user', 'Indihome', 'frierce', ""]")</f>
        <v>['Thank you', 'Indihome', 'Easy to', 'Features',' Features', 'Salah', 'Only', 'Robot', 'Help', 'Fill', 'Form', 'Registration', ' features', 'subscribe', 'option', 'select', 'according to', 'package', 'feature', 'catchplay', 'choice', 'entertainment', 'additional', 'enthuser', 'game' , 'voucher', 'makes it easy', 'user', 'Indihome', 'frierce', "]</v>
      </c>
      <c r="D1097" s="3">
        <v>5.0</v>
      </c>
    </row>
    <row r="1098" ht="15.75" customHeight="1">
      <c r="A1098" s="1">
        <v>1147.0</v>
      </c>
      <c r="B1098" s="3" t="s">
        <v>1085</v>
      </c>
      <c r="C1098" s="3" t="str">
        <f>IFERROR(__xludf.DUMMYFUNCTION("GOOGLETRANSLATE(B1098,""id"",""en"")"),"['Upgrade', 'account', 'log', 'out', 'log', 'number', 'mobile', 'registered', 'application', 'change', 'dininghujung', 'number', ' advantages', 'numbers',' report ',' change ',' beg ',' repaired ',' need ',' the application ', ""]")</f>
        <v>['Upgrade', 'account', 'log', 'out', 'log', 'number', 'mobile', 'registered', 'application', 'change', 'dininghujung', 'number', ' advantages', 'numbers',' report ',' change ',' beg ',' repaired ',' need ',' the application ', "]</v>
      </c>
      <c r="D1098" s="3">
        <v>1.0</v>
      </c>
    </row>
    <row r="1099" ht="15.75" customHeight="1">
      <c r="A1099" s="1">
        <v>1148.0</v>
      </c>
      <c r="B1099" s="3" t="s">
        <v>1086</v>
      </c>
      <c r="C1099" s="3" t="str">
        <f>IFERROR(__xludf.DUMMYFUNCTION("GOOGLETRANSLATE(B1099,""id"",""en"")"),"['slow', 'slow', 'concentrated', 'direct', 'respond', 'mantappp', '']")</f>
        <v>['slow', 'slow', 'concentrated', 'direct', 'respond', 'mantappp', '']</v>
      </c>
      <c r="D1099" s="3">
        <v>5.0</v>
      </c>
    </row>
    <row r="1100" ht="15.75" customHeight="1">
      <c r="A1100" s="1">
        <v>1149.0</v>
      </c>
      <c r="B1100" s="3" t="s">
        <v>1087</v>
      </c>
      <c r="C1100" s="3" t="str">
        <f>IFERROR(__xludf.DUMMYFUNCTION("GOOGLETRANSLATE(B1100,""id"",""en"")"),"['Feelings',' report ',' disorder ',' asleed ',' deh ',' since ',' updated ',' good ',' slow ',' konesi ',' los', 'report', ' Appearing ',' Please ',' Sorry ',' Improved ',' Pelaya ',' Update ',' Play ',' Store ', ""]")</f>
        <v>['Feelings',' report ',' disorder ',' asleed ',' deh ',' since ',' updated ',' good ',' slow ',' konesi ',' los', 'report', ' Appearing ',' Please ',' Sorry ',' Improved ',' Pelaya ',' Update ',' Play ',' Store ', "]</v>
      </c>
      <c r="D1100" s="3">
        <v>1.0</v>
      </c>
    </row>
    <row r="1101" ht="15.75" customHeight="1">
      <c r="A1101" s="1">
        <v>1150.0</v>
      </c>
      <c r="B1101" s="3" t="s">
        <v>1088</v>
      </c>
      <c r="C1101" s="3" t="str">
        <f>IFERROR(__xludf.DUMMYFUNCTION("GOOGLETRANSLATE(B1101,""id"",""en"")"),"['ugly', 'quality', 'internet', 'slow', 'severe', 'then', 'comment', 'delete', 'cie', 'delete', 'mulu', 'comment', ' wkkwkw ',' knp ',' afraid ',' ']")</f>
        <v>['ugly', 'quality', 'internet', 'slow', 'severe', 'then', 'comment', 'delete', 'cie', 'delete', 'mulu', 'comment', ' wkkwkw ',' knp ',' afraid ',' ']</v>
      </c>
      <c r="D1101" s="3">
        <v>1.0</v>
      </c>
    </row>
    <row r="1102" ht="15.75" customHeight="1">
      <c r="A1102" s="1">
        <v>1151.0</v>
      </c>
      <c r="B1102" s="3" t="s">
        <v>1089</v>
      </c>
      <c r="C1102" s="3" t="str">
        <f>IFERROR(__xludf.DUMMYFUNCTION("GOOGLETRANSLATE(B1102,""id"",""en"")"),"['Indihome', 'slow', 'bngt', 'udh', 'bnyk', 'customer', 'mah', 'lag', 'bkn', 'increase', 'stupid', ' Indihome ',' God ',' Bngt ',' Indihome ',' Leet ',' BKN ',' Annoyed ',' Useful ',' Bngt ']")</f>
        <v>['Indihome', 'slow', 'bngt', 'udh', 'bnyk', 'customer', 'mah', 'lag', 'bkn', 'increase', 'stupid', ' Indihome ',' God ',' Bngt ',' Indihome ',' Leet ',' BKN ',' Annoyed ',' Useful ',' Bngt ']</v>
      </c>
      <c r="D1102" s="3">
        <v>1.0</v>
      </c>
    </row>
    <row r="1103" ht="15.75" customHeight="1">
      <c r="A1103" s="1">
        <v>1152.0</v>
      </c>
      <c r="B1103" s="3" t="s">
        <v>1090</v>
      </c>
      <c r="C1103" s="3" t="str">
        <f>IFERROR(__xludf.DUMMYFUNCTION("GOOGLETRANSLATE(B1103,""id"",""en"")"),"['morning', 'wifi', 'Indihome', 'access', 'internet', 'process', 'online', 'child', 'school', 'disturbed']")</f>
        <v>['morning', 'wifi', 'Indihome', 'access', 'internet', 'process', 'online', 'child', 'school', 'disturbed']</v>
      </c>
      <c r="D1103" s="3">
        <v>3.0</v>
      </c>
    </row>
    <row r="1104" ht="15.75" customHeight="1">
      <c r="A1104" s="1">
        <v>1153.0</v>
      </c>
      <c r="B1104" s="3" t="s">
        <v>1091</v>
      </c>
      <c r="C1104" s="3" t="str">
        <f>IFERROR(__xludf.DUMMYFUNCTION("GOOGLETRANSLATE(B1104,""id"",""en"")"),"['Lemot', 'Leet', ""]")</f>
        <v>['Lemot', 'Leet', "]</v>
      </c>
      <c r="D1104" s="3">
        <v>1.0</v>
      </c>
    </row>
    <row r="1105" ht="15.75" customHeight="1">
      <c r="A1105" s="1">
        <v>1154.0</v>
      </c>
      <c r="B1105" s="3" t="s">
        <v>1092</v>
      </c>
      <c r="C1105" s="3" t="str">
        <f>IFERROR(__xludf.DUMMYFUNCTION("GOOGLETRANSLATE(B1105,""id"",""en"")"),"['iki', 'developer', 'the application', 'coding', 'kagak', 'slow', 'mercy', 'error', 'mulu', 'update', 'update', 'test', ' Try ',' internal ',' public ']")</f>
        <v>['iki', 'developer', 'the application', 'coding', 'kagak', 'slow', 'mercy', 'error', 'mulu', 'update', 'update', 'test', ' Try ',' internal ',' public ']</v>
      </c>
      <c r="D1105" s="3">
        <v>1.0</v>
      </c>
    </row>
    <row r="1106" ht="15.75" customHeight="1">
      <c r="A1106" s="1">
        <v>1155.0</v>
      </c>
      <c r="B1106" s="3" t="s">
        <v>1093</v>
      </c>
      <c r="C1106" s="3" t="str">
        <f>IFERROR(__xludf.DUMMYFUNCTION("GOOGLETRANSLATE(B1106,""id"",""en"")"),"['Yok', 'attack', 'yok', 'internet', 'slow', 'slow', 'slow']")</f>
        <v>['Yok', 'attack', 'yok', 'internet', 'slow', 'slow', 'slow']</v>
      </c>
      <c r="D1106" s="3">
        <v>1.0</v>
      </c>
    </row>
    <row r="1107" ht="15.75" customHeight="1">
      <c r="A1107" s="1">
        <v>1156.0</v>
      </c>
      <c r="B1107" s="3" t="s">
        <v>1094</v>
      </c>
      <c r="C1107" s="3" t="str">
        <f>IFERROR(__xludf.DUMMYFUNCTION("GOOGLETRANSLATE(B1107,""id"",""en"")"),"['Service', 'carcass',' UDH ',' WEEK ',' Internet ',' Road ',' Turn ',' Pay ',' Late ',' Lgsung ',' isoir ',' complain ',' Wes', 'replace', 'NANK', 'MNC', 'cheap', 'service', 'promo', 'iki', 'reality', ""]")</f>
        <v>['Service', 'carcass',' UDH ',' WEEK ',' Internet ',' Road ',' Turn ',' Pay ',' Late ',' Lgsung ',' isoir ',' complain ',' Wes', 'replace', 'NANK', 'MNC', 'cheap', 'service', 'promo', 'iki', 'reality', "]</v>
      </c>
      <c r="D1107" s="3">
        <v>1.0</v>
      </c>
    </row>
    <row r="1108" ht="15.75" customHeight="1">
      <c r="A1108" s="1">
        <v>1157.0</v>
      </c>
      <c r="B1108" s="3" t="s">
        <v>1095</v>
      </c>
      <c r="C1108" s="3" t="str">
        <f>IFERROR(__xludf.DUMMYFUNCTION("GOOGLETRANSLATE(B1108,""id"",""en"")"),"['Application', 'slow', 'slow', 'connection', 'fast', '']")</f>
        <v>['Application', 'slow', 'slow', 'connection', 'fast', '']</v>
      </c>
      <c r="D1108" s="3">
        <v>1.0</v>
      </c>
    </row>
    <row r="1109" ht="15.75" customHeight="1">
      <c r="A1109" s="1">
        <v>1160.0</v>
      </c>
      <c r="B1109" s="3" t="s">
        <v>1096</v>
      </c>
      <c r="C1109" s="3" t="str">
        <f>IFERROR(__xludf.DUMMYFUNCTION("GOOGLETRANSLATE(B1109,""id"",""en"")"),"['application', 'wahid', '']")</f>
        <v>['application', 'wahid', '']</v>
      </c>
      <c r="D1109" s="3">
        <v>5.0</v>
      </c>
    </row>
    <row r="1110" ht="15.75" customHeight="1">
      <c r="A1110" s="1">
        <v>1161.0</v>
      </c>
      <c r="B1110" s="3" t="s">
        <v>1097</v>
      </c>
      <c r="C1110" s="3" t="str">
        <f>IFERROR(__xludf.DUMMYFUNCTION("GOOGLETRANSLATE(B1110,""id"",""en"")"),"['Where', 'Features', 'Complaints', 'Service', 'HBIS', 'Update', 'Lost', ""]")</f>
        <v>['Where', 'Features', 'Complaints', 'Service', 'HBIS', 'Update', 'Lost', "]</v>
      </c>
      <c r="D1110" s="3">
        <v>1.0</v>
      </c>
    </row>
    <row r="1111" ht="15.75" customHeight="1">
      <c r="A1111" s="1">
        <v>1163.0</v>
      </c>
      <c r="B1111" s="3" t="s">
        <v>1098</v>
      </c>
      <c r="C1111" s="3" t="str">
        <f>IFERROR(__xludf.DUMMYFUNCTION("GOOGLETRANSLATE(B1111,""id"",""en"")"),"['thank', 'Kasih', 'easy', 'check', '']")</f>
        <v>['thank', 'Kasih', 'easy', 'check', '']</v>
      </c>
      <c r="D1111" s="3">
        <v>5.0</v>
      </c>
    </row>
    <row r="1112" ht="15.75" customHeight="1">
      <c r="A1112" s="1">
        <v>1164.0</v>
      </c>
      <c r="B1112" s="3" t="s">
        <v>1099</v>
      </c>
      <c r="C1112" s="3" t="str">
        <f>IFERROR(__xludf.DUMMYFUNCTION("GOOGLETRANSLATE(B1112,""id"",""en"")"),"['application', 'good', 'easy', 'application', 'sometimes', 'click', 'need', 'open', 'click']")</f>
        <v>['application', 'good', 'easy', 'application', 'sometimes', 'click', 'need', 'open', 'click']</v>
      </c>
      <c r="D1112" s="3">
        <v>5.0</v>
      </c>
    </row>
    <row r="1113" ht="15.75" customHeight="1">
      <c r="A1113" s="1">
        <v>1165.0</v>
      </c>
      <c r="B1113" s="3" t="s">
        <v>1100</v>
      </c>
      <c r="C1113" s="3" t="str">
        <f>IFERROR(__xludf.DUMMYFUNCTION("GOOGLETRANSLATE(B1113,""id"",""en"")"),"['Cuih']")</f>
        <v>['Cuih']</v>
      </c>
      <c r="D1113" s="3">
        <v>1.0</v>
      </c>
    </row>
    <row r="1114" ht="15.75" customHeight="1">
      <c r="A1114" s="1">
        <v>1166.0</v>
      </c>
      <c r="B1114" s="3" t="s">
        <v>1101</v>
      </c>
      <c r="C1114" s="3" t="str">
        <f>IFERROR(__xludf.DUMMYFUNCTION("GOOGLETRANSLATE(B1114,""id"",""en"")"),"['Application', 'smooth']")</f>
        <v>['Application', 'smooth']</v>
      </c>
      <c r="D1114" s="3">
        <v>5.0</v>
      </c>
    </row>
    <row r="1115" ht="15.75" customHeight="1">
      <c r="A1115" s="1">
        <v>1167.0</v>
      </c>
      <c r="B1115" s="3" t="s">
        <v>1102</v>
      </c>
      <c r="C1115" s="3" t="str">
        <f>IFERROR(__xludf.DUMMYFUNCTION("GOOGLETRANSLATE(B1115,""id"",""en"")"),"['signal', 'like', 'missing', '']")</f>
        <v>['signal', 'like', 'missing', '']</v>
      </c>
      <c r="D1115" s="3">
        <v>3.0</v>
      </c>
    </row>
    <row r="1116" ht="15.75" customHeight="1">
      <c r="A1116" s="1">
        <v>1168.0</v>
      </c>
      <c r="B1116" s="3" t="s">
        <v>1103</v>
      </c>
      <c r="C1116" s="3" t="str">
        <f>IFERROR(__xludf.DUMMYFUNCTION("GOOGLETRANSLATE(B1116,""id"",""en"")"),"['Lemot', 'ATIII']")</f>
        <v>['Lemot', 'ATIII']</v>
      </c>
      <c r="D1116" s="3">
        <v>1.0</v>
      </c>
    </row>
    <row r="1117" ht="15.75" customHeight="1">
      <c r="A1117" s="1">
        <v>1169.0</v>
      </c>
      <c r="B1117" s="3" t="s">
        <v>1104</v>
      </c>
      <c r="C1117" s="3" t="str">
        <f>IFERROR(__xludf.DUMMYFUNCTION("GOOGLETRANSLATE(B1117,""id"",""en"")"),"['Most', 'disorder', 'a day', 'times', 'ngegulating', 'bnget', 'job', 'cave', 'gini', 'mending', 'cave', 'moved']")</f>
        <v>['Most', 'disorder', 'a day', 'times', 'ngegulating', 'bnget', 'job', 'cave', 'gini', 'mending', 'cave', 'moved']</v>
      </c>
      <c r="D1117" s="3">
        <v>1.0</v>
      </c>
    </row>
    <row r="1118" ht="15.75" customHeight="1">
      <c r="A1118" s="1">
        <v>1170.0</v>
      </c>
      <c r="B1118" s="3" t="s">
        <v>1105</v>
      </c>
      <c r="C1118" s="3" t="str">
        <f>IFERROR(__xludf.DUMMYFUNCTION("GOOGLETRANSLATE(B1118,""id"",""en"")"),"['application', 'slow', 'buy', 'package', 'failed', 'application']")</f>
        <v>['application', 'slow', 'buy', 'package', 'failed', 'application']</v>
      </c>
      <c r="D1118" s="3">
        <v>1.0</v>
      </c>
    </row>
    <row r="1119" ht="15.75" customHeight="1">
      <c r="A1119" s="1">
        <v>1171.0</v>
      </c>
      <c r="B1119" s="3" t="s">
        <v>1106</v>
      </c>
      <c r="C1119" s="3" t="str">
        <f>IFERROR(__xludf.DUMMYFUNCTION("GOOGLETRANSLATE(B1119,""id"",""en"")"),"['TPilan', 'interesting', 'update', 'profile', 'failed', 'request', 'acts', 'continue', 'appasi', 'in demand', 'trimakasih']")</f>
        <v>['TPilan', 'interesting', 'update', 'profile', 'failed', 'request', 'acts', 'continue', 'appasi', 'in demand', 'trimakasih']</v>
      </c>
      <c r="D1119" s="3">
        <v>5.0</v>
      </c>
    </row>
    <row r="1120" ht="15.75" customHeight="1">
      <c r="A1120" s="1">
        <v>1172.0</v>
      </c>
      <c r="B1120" s="3" t="s">
        <v>1107</v>
      </c>
      <c r="C1120" s="3" t="str">
        <f>IFERROR(__xludf.DUMMYFUNCTION("GOOGLETRANSLATE(B1120,""id"",""en"")"),"['Not bad', 'Sometimes', 'Leet', '']")</f>
        <v>['Not bad', 'Sometimes', 'Leet', '']</v>
      </c>
      <c r="D1120" s="3">
        <v>3.0</v>
      </c>
    </row>
    <row r="1121" ht="15.75" customHeight="1">
      <c r="A1121" s="1">
        <v>1173.0</v>
      </c>
      <c r="B1121" s="3" t="s">
        <v>1108</v>
      </c>
      <c r="C1121" s="3" t="str">
        <f>IFERROR(__xludf.DUMMYFUNCTION("GOOGLETRANSLATE(B1121,""id"",""en"")"),"['application', 'good', 'recommendation', 'application', 'update', 'lag', 'loading', 'advice', 'vocer', 'game', 'mobile', 'legends',' Pubg ',' AOV ',' Etc. ',' Mobile ',' Legends', 'No', 'Play', 'Indonesia']")</f>
        <v>['application', 'good', 'recommendation', 'application', 'update', 'lag', 'loading', 'advice', 'vocer', 'game', 'mobile', 'legends',' Pubg ',' AOV ',' Etc. ',' Mobile ',' Legends', 'No', 'Play', 'Indonesia']</v>
      </c>
      <c r="D1121" s="3">
        <v>5.0</v>
      </c>
    </row>
    <row r="1122" ht="15.75" customHeight="1">
      <c r="A1122" s="1">
        <v>1174.0</v>
      </c>
      <c r="B1122" s="3" t="s">
        <v>1109</v>
      </c>
      <c r="C1122" s="3" t="str">
        <f>IFERROR(__xludf.DUMMYFUNCTION("GOOGLETRANSLATE(B1122,""id"",""en"")"),"['best']")</f>
        <v>['best']</v>
      </c>
      <c r="D1122" s="3">
        <v>5.0</v>
      </c>
    </row>
    <row r="1123" ht="15.75" customHeight="1">
      <c r="A1123" s="1">
        <v>1175.0</v>
      </c>
      <c r="B1123" s="3" t="s">
        <v>1110</v>
      </c>
      <c r="C1123" s="3" t="str">
        <f>IFERROR(__xludf.DUMMYFUNCTION("GOOGLETRANSLATE(B1123,""id"",""en"")"),"['Helpful', 'thank', 'love', 'indihome']")</f>
        <v>['Helpful', 'thank', 'love', 'indihome']</v>
      </c>
      <c r="D1123" s="3">
        <v>5.0</v>
      </c>
    </row>
    <row r="1124" ht="15.75" customHeight="1">
      <c r="A1124" s="1">
        <v>1176.0</v>
      </c>
      <c r="B1124" s="3" t="s">
        <v>1111</v>
      </c>
      <c r="C1124" s="3" t="str">
        <f>IFERROR(__xludf.DUMMYFUNCTION("GOOGLETRANSLATE(B1124,""id"",""en"")"),"['application', 'version', 'the latest', 'easy', 'access', 'instructions', '']")</f>
        <v>['application', 'version', 'the latest', 'easy', 'access', 'instructions', '']</v>
      </c>
      <c r="D1124" s="3">
        <v>5.0</v>
      </c>
    </row>
    <row r="1125" ht="15.75" customHeight="1">
      <c r="A1125" s="1">
        <v>1177.0</v>
      </c>
      <c r="B1125" s="3" t="s">
        <v>1112</v>
      </c>
      <c r="C1125" s="3" t="str">
        <f>IFERROR(__xludf.DUMMYFUNCTION("GOOGLETRANSLATE(B1125,""id"",""en"")"),"['signal', 'Indihom', 'ugly', 'apk', 'ugly', 'times', 'waterpam', 'men']")</f>
        <v>['signal', 'Indihom', 'ugly', 'apk', 'ugly', 'times', 'waterpam', 'men']</v>
      </c>
      <c r="D1125" s="3">
        <v>1.0</v>
      </c>
    </row>
    <row r="1126" ht="15.75" customHeight="1">
      <c r="A1126" s="1">
        <v>1178.0</v>
      </c>
      <c r="B1126" s="3" t="s">
        <v>1113</v>
      </c>
      <c r="C1126" s="3" t="str">
        <f>IFERROR(__xludf.DUMMYFUNCTION("GOOGLETRANSLATE(B1126,""id"",""en"")"),"['update', 'application', 'slow', 'enter', 'number', 'service', 'indihomen', 'difficult', 'please', 'fix', '']")</f>
        <v>['update', 'application', 'slow', 'enter', 'number', 'service', 'indihomen', 'difficult', 'please', 'fix', '']</v>
      </c>
      <c r="D1126" s="3">
        <v>1.0</v>
      </c>
    </row>
    <row r="1127" ht="15.75" customHeight="1">
      <c r="A1127" s="1">
        <v>1179.0</v>
      </c>
      <c r="B1127" s="3" t="s">
        <v>1114</v>
      </c>
      <c r="C1127" s="3" t="str">
        <f>IFERROR(__xludf.DUMMYFUNCTION("GOOGLETRANSLATE(B1127,""id"",""en"")"),"['The application', 'good', 'obstacles', 'wifi', 'fast', 'handled', 'indihome', 'thank you', '']")</f>
        <v>['The application', 'good', 'obstacles', 'wifi', 'fast', 'handled', 'indihome', 'thank you', '']</v>
      </c>
      <c r="D1127" s="3">
        <v>5.0</v>
      </c>
    </row>
    <row r="1128" ht="15.75" customHeight="1">
      <c r="A1128" s="1">
        <v>1180.0</v>
      </c>
      <c r="B1128" s="3" t="s">
        <v>1115</v>
      </c>
      <c r="C1128" s="3" t="str">
        <f>IFERROR(__xludf.DUMMYFUNCTION("GOOGLETRANSLATE(B1128,""id"",""en"")"),"['update', 'update', 'cook', 'yes',' sync ',' data ',' data ',' categorized ',' data ',' data ',' told ',' list ',' Enter ',' Try ',' database ',' sell ',' partner ',' that's', 'star', 'Mines',' Gue ',' Mines', 'application', '']")</f>
        <v>['update', 'update', 'cook', 'yes',' sync ',' data ',' data ',' categorized ',' data ',' data ',' told ',' list ',' Enter ',' Try ',' database ',' sell ',' partner ',' that's', 'star', 'Mines',' Gue ',' Mines', 'application', '']</v>
      </c>
      <c r="D1128" s="3">
        <v>1.0</v>
      </c>
    </row>
    <row r="1129" ht="15.75" customHeight="1">
      <c r="A1129" s="1">
        <v>1181.0</v>
      </c>
      <c r="B1129" s="3" t="s">
        <v>1116</v>
      </c>
      <c r="C1129" s="3" t="str">
        <f>IFERROR(__xludf.DUMMYFUNCTION("GOOGLETRANSLATE(B1129,""id"",""en"")"),"['Severe', 'updated', 'TPI', 'enter', 'application', 'update', 'makes it easier', 'TPI', 'make it difficult', 'Severe']")</f>
        <v>['Severe', 'updated', 'TPI', 'enter', 'application', 'update', 'makes it easier', 'TPI', 'make it difficult', 'Severe']</v>
      </c>
      <c r="D1129" s="3">
        <v>1.0</v>
      </c>
    </row>
    <row r="1130" ht="15.75" customHeight="1">
      <c r="A1130" s="1">
        <v>1182.0</v>
      </c>
      <c r="B1130" s="3" t="s">
        <v>1117</v>
      </c>
      <c r="C1130" s="3" t="str">
        <f>IFERROR(__xludf.DUMMYFUNCTION("GOOGLETRANSLATE(B1130,""id"",""en"")"),"['help']")</f>
        <v>['help']</v>
      </c>
      <c r="D1130" s="3">
        <v>5.0</v>
      </c>
    </row>
    <row r="1131" ht="15.75" customHeight="1">
      <c r="A1131" s="1">
        <v>1183.0</v>
      </c>
      <c r="B1131" s="3" t="s">
        <v>1118</v>
      </c>
      <c r="C1131" s="3" t="str">
        <f>IFERROR(__xludf.DUMMYFUNCTION("GOOGLETRANSLATE(B1131,""id"",""en"")"),"['report', 'LBH', 'fast']")</f>
        <v>['report', 'LBH', 'fast']</v>
      </c>
      <c r="D1131" s="3">
        <v>5.0</v>
      </c>
    </row>
    <row r="1132" ht="15.75" customHeight="1">
      <c r="A1132" s="1">
        <v>1184.0</v>
      </c>
      <c r="B1132" s="3" t="s">
        <v>1119</v>
      </c>
      <c r="C1132" s="3" t="str">
        <f>IFERROR(__xludf.DUMMYFUNCTION("GOOGLETRANSLATE(B1132,""id"",""en"")"),"['serious', 'update', 'login']")</f>
        <v>['serious', 'update', 'login']</v>
      </c>
      <c r="D1132" s="3">
        <v>1.0</v>
      </c>
    </row>
    <row r="1133" ht="15.75" customHeight="1">
      <c r="A1133" s="1">
        <v>1185.0</v>
      </c>
      <c r="B1133" s="3" t="s">
        <v>1120</v>
      </c>
      <c r="C1133" s="3" t="str">
        <f>IFERROR(__xludf.DUMMYFUNCTION("GOOGLETRANSLATE(B1133,""id"",""en"")"),"['repair', '']")</f>
        <v>['repair', '']</v>
      </c>
      <c r="D1133" s="3">
        <v>1.0</v>
      </c>
    </row>
    <row r="1134" ht="15.75" customHeight="1">
      <c r="A1134" s="1">
        <v>1186.0</v>
      </c>
      <c r="B1134" s="3" t="s">
        <v>1121</v>
      </c>
      <c r="C1134" s="3" t="str">
        <f>IFERROR(__xludf.DUMMYFUNCTION("GOOGLETRANSLATE(B1134,""id"",""en"")"),"['crazy', 'ugly', 'really', 'the application', 'update', 'severe']")</f>
        <v>['crazy', 'ugly', 'really', 'the application', 'update', 'severe']</v>
      </c>
      <c r="D1134" s="3">
        <v>1.0</v>
      </c>
    </row>
    <row r="1135" ht="15.75" customHeight="1">
      <c r="A1135" s="1">
        <v>1187.0</v>
      </c>
      <c r="B1135" s="3" t="s">
        <v>1122</v>
      </c>
      <c r="C1135" s="3" t="str">
        <f>IFERROR(__xludf.DUMMYFUNCTION("GOOGLETRANSLATE(B1135,""id"",""en"")"),"['complain', 'Internet', 'connected', 'responded', 'Dichat', 'told', 'restart', 'modem', 'unplug', 'cable', 'blkg', 'mode', ' Confected ']")</f>
        <v>['complain', 'Internet', 'connected', 'responded', 'Dichat', 'told', 'restart', 'modem', 'unplug', 'cable', 'blkg', 'mode', ' Confected ']</v>
      </c>
      <c r="D1135" s="3">
        <v>1.0</v>
      </c>
    </row>
    <row r="1136" ht="15.75" customHeight="1">
      <c r="A1136" s="1">
        <v>1188.0</v>
      </c>
      <c r="B1136" s="3" t="s">
        <v>1123</v>
      </c>
      <c r="C1136" s="3" t="str">
        <f>IFERROR(__xludf.DUMMYFUNCTION("GOOGLETRANSLATE(B1136,""id"",""en"")"),"['Comfortable', 'simple', 'useful']")</f>
        <v>['Comfortable', 'simple', 'useful']</v>
      </c>
      <c r="D1136" s="3">
        <v>5.0</v>
      </c>
    </row>
    <row r="1137" ht="15.75" customHeight="1">
      <c r="A1137" s="1">
        <v>1189.0</v>
      </c>
      <c r="B1137" s="3" t="s">
        <v>1124</v>
      </c>
      <c r="C1137" s="3" t="str">
        <f>IFERROR(__xludf.DUMMYFUNCTION("GOOGLETRANSLATE(B1137,""id"",""en"")"),"['Out', 'update', 'ugly', 'confused']")</f>
        <v>['Out', 'update', 'ugly', 'confused']</v>
      </c>
      <c r="D1137" s="3">
        <v>1.0</v>
      </c>
    </row>
    <row r="1138" ht="15.75" customHeight="1">
      <c r="A1138" s="1">
        <v>1190.0</v>
      </c>
      <c r="B1138" s="3" t="s">
        <v>39</v>
      </c>
      <c r="C1138" s="3" t="str">
        <f>IFERROR(__xludf.DUMMYFUNCTION("GOOGLETRANSLATE(B1138,""id"",""en"")"),"['Application', 'slow']")</f>
        <v>['Application', 'slow']</v>
      </c>
      <c r="D1138" s="3">
        <v>1.0</v>
      </c>
    </row>
    <row r="1139" ht="15.75" customHeight="1">
      <c r="A1139" s="1">
        <v>1191.0</v>
      </c>
      <c r="B1139" s="3" t="s">
        <v>1125</v>
      </c>
      <c r="C1139" s="3" t="str">
        <f>IFERROR(__xludf.DUMMYFUNCTION("GOOGLETRANSLATE(B1139,""id"",""en"")"),"['uda', 'update', 'mending', 'downgrade', 'version', 'dech', 'disappointed', 'times',' uda ',' use ',' indihome ',' maybe ',' Threat ',' Update ',' Version ',' Feature ',' Renew ',' Speed ​​',' Lost ',' Application ',' Please ',' Application ',' Blum ',' "&amp;"Test ',' Release ' , 'Cuman', 'Please', 'Sorry', 'Dadly', 'comfortable', 'ISP', 'Region', 'Disconnect', 'Network', 'Disappointing', 'Calculation', 'System', ' FUP ',' ']")</f>
        <v>['uda', 'update', 'mending', 'downgrade', 'version', 'dech', 'disappointed', 'times',' uda ',' use ',' indihome ',' maybe ',' Threat ',' Update ',' Version ',' Feature ',' Renew ',' Speed ​​',' Lost ',' Application ',' Please ',' Application ',' Blum ',' Test ',' Release ' , 'Cuman', 'Please', 'Sorry', 'Dadly', 'comfortable', 'ISP', 'Region', 'Disconnect', 'Network', 'Disappointing', 'Calculation', 'System', ' FUP ',' ']</v>
      </c>
      <c r="D1139" s="3">
        <v>1.0</v>
      </c>
    </row>
    <row r="1140" ht="15.75" customHeight="1">
      <c r="A1140" s="1">
        <v>1192.0</v>
      </c>
      <c r="B1140" s="3" t="s">
        <v>1126</v>
      </c>
      <c r="C1140" s="3" t="str">
        <f>IFERROR(__xludf.DUMMYFUNCTION("GOOGLETRANSLATE(B1140,""id"",""en"")"),"['Seneng', 'Indihome', 'hope', 'advanced', 'provider', 'best', 'Indonesia', 'Aamiin']")</f>
        <v>['Seneng', 'Indihome', 'hope', 'advanced', 'provider', 'best', 'Indonesia', 'Aamiin']</v>
      </c>
      <c r="D1140" s="3">
        <v>5.0</v>
      </c>
    </row>
    <row r="1141" ht="15.75" customHeight="1">
      <c r="A1141" s="1">
        <v>1193.0</v>
      </c>
      <c r="B1141" s="3" t="s">
        <v>1127</v>
      </c>
      <c r="C1141" s="3" t="str">
        <f>IFERROR(__xludf.DUMMYFUNCTION("GOOGLETRANSLATE(B1141,""id"",""en"")"),"['Update', 'Logout', 'Login', '']")</f>
        <v>['Update', 'Logout', 'Login', '']</v>
      </c>
      <c r="D1141" s="3">
        <v>5.0</v>
      </c>
    </row>
    <row r="1142" ht="15.75" customHeight="1">
      <c r="A1142" s="1">
        <v>1194.0</v>
      </c>
      <c r="B1142" s="3" t="s">
        <v>1128</v>
      </c>
      <c r="C1142" s="3" t="str">
        <f>IFERROR(__xludf.DUMMYFUNCTION("GOOGLETRANSLATE(B1142,""id"",""en"")"),"['Login', 'Nomer', 'SATA', 'Register', 'Active', 'Please', 'Add', 'Method', 'Verification', 'Login', 'Email', ""]")</f>
        <v>['Login', 'Nomer', 'SATA', 'Register', 'Active', 'Please', 'Add', 'Method', 'Verification', 'Login', 'Email', "]</v>
      </c>
      <c r="D1142" s="3">
        <v>1.0</v>
      </c>
    </row>
    <row r="1143" ht="15.75" customHeight="1">
      <c r="A1143" s="1">
        <v>1195.0</v>
      </c>
      <c r="B1143" s="3" t="s">
        <v>1129</v>
      </c>
      <c r="C1143" s="3" t="str">
        <f>IFERROR(__xludf.DUMMYFUNCTION("GOOGLETRANSLATE(B1143,""id"",""en"")"),"['Please', 'repaired', 'The application', 'lag', 'Severe', 'Plislah']")</f>
        <v>['Please', 'repaired', 'The application', 'lag', 'Severe', 'Plislah']</v>
      </c>
      <c r="D1143" s="3">
        <v>1.0</v>
      </c>
    </row>
    <row r="1144" ht="15.75" customHeight="1">
      <c r="A1144" s="1">
        <v>1196.0</v>
      </c>
      <c r="B1144" s="3" t="s">
        <v>1130</v>
      </c>
      <c r="C1144" s="3" t="str">
        <f>IFERROR(__xludf.DUMMYFUNCTION("GOOGLETRANSLATE(B1144,""id"",""en"")"),"['Severe', 'Application', 'Display', 'Ryesel', 'Update']")</f>
        <v>['Severe', 'Application', 'Display', 'Ryesel', 'Update']</v>
      </c>
      <c r="D1144" s="3">
        <v>1.0</v>
      </c>
    </row>
    <row r="1145" ht="15.75" customHeight="1">
      <c r="A1145" s="1">
        <v>1197.0</v>
      </c>
      <c r="B1145" s="3" t="s">
        <v>1131</v>
      </c>
      <c r="C1145" s="3" t="str">
        <f>IFERROR(__xludf.DUMMYFUNCTION("GOOGLETRANSLATE(B1145,""id"",""en"")"),"['Login', 'wrong', 'pass', 'CMA', 'application', 'update', 'then', 'signal', 'down', 'gmn', 'lose', 'competitor']")</f>
        <v>['Login', 'wrong', 'pass', 'CMA', 'application', 'update', 'then', 'signal', 'down', 'gmn', 'lose', 'competitor']</v>
      </c>
      <c r="D1145" s="3">
        <v>1.0</v>
      </c>
    </row>
    <row r="1146" ht="15.75" customHeight="1">
      <c r="A1146" s="1">
        <v>1198.0</v>
      </c>
      <c r="B1146" s="3" t="s">
        <v>1132</v>
      </c>
      <c r="C1146" s="3" t="str">
        <f>IFERROR(__xludf.DUMMYFUNCTION("GOOGLETRANSLATE(B1146,""id"",""en"")"),"['Indihome', 'disorder']")</f>
        <v>['Indihome', 'disorder']</v>
      </c>
      <c r="D1146" s="3">
        <v>1.0</v>
      </c>
    </row>
    <row r="1147" ht="15.75" customHeight="1">
      <c r="A1147" s="1">
        <v>1199.0</v>
      </c>
      <c r="B1147" s="3" t="s">
        <v>1133</v>
      </c>
      <c r="C1147" s="3" t="str">
        <f>IFERROR(__xludf.DUMMYFUNCTION("GOOGLETRANSLATE(B1147,""id"",""en"")"),"['Nge', 'lag', 'Mulu', 'Rain', 'Rain', 'Jadiin', 'Alesan', 'lag', ""]")</f>
        <v>['Nge', 'lag', 'Mulu', 'Rain', 'Rain', 'Jadiin', 'Alesan', 'lag', "]</v>
      </c>
      <c r="D1147" s="3">
        <v>1.0</v>
      </c>
    </row>
    <row r="1148" ht="15.75" customHeight="1">
      <c r="A1148" s="1">
        <v>1200.0</v>
      </c>
      <c r="B1148" s="3" t="s">
        <v>1134</v>
      </c>
      <c r="C1148" s="3" t="str">
        <f>IFERROR(__xludf.DUMMYFUNCTION("GOOGLETRANSLATE(B1148,""id"",""en"")"),"['steady', 'already', 'login', 'fix', 'heavy']")</f>
        <v>['steady', 'already', 'login', 'fix', 'heavy']</v>
      </c>
      <c r="D1148" s="3">
        <v>5.0</v>
      </c>
    </row>
    <row r="1149" ht="15.75" customHeight="1">
      <c r="A1149" s="1">
        <v>1201.0</v>
      </c>
      <c r="B1149" s="3" t="s">
        <v>441</v>
      </c>
      <c r="C1149" s="3" t="str">
        <f>IFERROR(__xludf.DUMMYFUNCTION("GOOGLETRANSLATE(B1149,""id"",""en"")"),"['', '']")</f>
        <v>['', '']</v>
      </c>
      <c r="D1149" s="3">
        <v>5.0</v>
      </c>
    </row>
    <row r="1150" ht="15.75" customHeight="1">
      <c r="A1150" s="1">
        <v>1202.0</v>
      </c>
      <c r="B1150" s="3" t="s">
        <v>1135</v>
      </c>
      <c r="C1150" s="3" t="str">
        <f>IFERROR(__xludf.DUMMYFUNCTION("GOOGLETRANSLATE(B1150,""id"",""en"")"),"['check', 'payment', 'Indihome', 'repeat', 'password', 'many', 'times',' enter ',' forget ',' payment ',' finished ',' indihome ',' Fear ',' forget ',' pay ',' check ',' Wkt ​​',' pay ',' thank you ']")</f>
        <v>['check', 'payment', 'Indihome', 'repeat', 'password', 'many', 'times',' enter ',' forget ',' payment ',' finished ',' indihome ',' Fear ',' forget ',' pay ',' check ',' Wkt ​​',' pay ',' thank you ']</v>
      </c>
      <c r="D1150" s="3">
        <v>1.0</v>
      </c>
    </row>
    <row r="1151" ht="15.75" customHeight="1">
      <c r="A1151" s="1">
        <v>1204.0</v>
      </c>
      <c r="B1151" s="3" t="s">
        <v>1136</v>
      </c>
      <c r="C1151" s="3" t="str">
        <f>IFERROR(__xludf.DUMMYFUNCTION("GOOGLETRANSLATE(B1151,""id"",""en"")"),"['Haduhhh', 'Application', 'Update', 'Jdi', 'Ribet', 'Liat', 'Simple', 'Ajh', 'JNG', 'People', 'Jdi', 'Keder', ' SOD ',' AJH ',' appears', 'Register', 'Package', 'Ancurrrrrrr']")</f>
        <v>['Haduhhh', 'Application', 'Update', 'Jdi', 'Ribet', 'Liat', 'Simple', 'Ajh', 'JNG', 'People', 'Jdi', 'Keder', ' SOD ',' AJH ',' appears', 'Register', 'Package', 'Ancurrrrrrr']</v>
      </c>
      <c r="D1151" s="3">
        <v>1.0</v>
      </c>
    </row>
    <row r="1152" ht="15.75" customHeight="1">
      <c r="A1152" s="1">
        <v>1205.0</v>
      </c>
      <c r="B1152" s="3" t="s">
        <v>1137</v>
      </c>
      <c r="C1152" s="3" t="str">
        <f>IFERROR(__xludf.DUMMYFUNCTION("GOOGLETRANSLATE(B1152,""id"",""en"")"),"['Bill', 'Please', 'Explanation']")</f>
        <v>['Bill', 'Please', 'Explanation']</v>
      </c>
      <c r="D1152" s="3">
        <v>1.0</v>
      </c>
    </row>
    <row r="1153" ht="15.75" customHeight="1">
      <c r="A1153" s="1">
        <v>1206.0</v>
      </c>
      <c r="B1153" s="3" t="s">
        <v>1138</v>
      </c>
      <c r="C1153" s="3" t="str">
        <f>IFERROR(__xludf.DUMMYFUNCTION("GOOGLETRANSLATE(B1153,""id"",""en"")"),"['menu', 'package', 'jealous', 'customer', 'equation', 'price', '']")</f>
        <v>['menu', 'package', 'jealous', 'customer', 'equation', 'price', '']</v>
      </c>
      <c r="D1153" s="3">
        <v>1.0</v>
      </c>
    </row>
    <row r="1154" ht="15.75" customHeight="1">
      <c r="A1154" s="1">
        <v>1207.0</v>
      </c>
      <c r="B1154" s="3" t="s">
        <v>1139</v>
      </c>
      <c r="C1154" s="3" t="str">
        <f>IFERROR(__xludf.DUMMYFUNCTION("GOOGLETRANSLATE(B1154,""id"",""en"")"),"['smooth', 'fox', 'star', 'slow', 'use', 'really', 'expensive', 'cooperating', 'internet', 'wasteful']")</f>
        <v>['smooth', 'fox', 'star', 'slow', 'use', 'really', 'expensive', 'cooperating', 'internet', 'wasteful']</v>
      </c>
      <c r="D1154" s="3">
        <v>2.0</v>
      </c>
    </row>
    <row r="1155" ht="15.75" customHeight="1">
      <c r="A1155" s="1">
        <v>1208.0</v>
      </c>
      <c r="B1155" s="3" t="s">
        <v>1140</v>
      </c>
      <c r="C1155" s="3" t="str">
        <f>IFERROR(__xludf.DUMMYFUNCTION("GOOGLETRANSLATE(B1155,""id"",""en"")"),"['Slow', 'Very', 'Verification', 'Nga', 'Enter', 'Code', 'Email', 'Enter', 'Application', 'Muter', 'WiFi', 'SPT', ' Please ',' Repaired ',' Update ',' Application ',' How ',' Forward ',' Loading ']")</f>
        <v>['Slow', 'Very', 'Verification', 'Nga', 'Enter', 'Code', 'Email', 'Enter', 'Application', 'Muter', 'WiFi', 'SPT', ' Please ',' Repaired ',' Update ',' Application ',' How ',' Forward ',' Loading ']</v>
      </c>
      <c r="D1155" s="3">
        <v>1.0</v>
      </c>
    </row>
    <row r="1156" ht="15.75" customHeight="1">
      <c r="A1156" s="1">
        <v>1211.0</v>
      </c>
      <c r="B1156" s="3" t="s">
        <v>1141</v>
      </c>
      <c r="C1156" s="3" t="str">
        <f>IFERROR(__xludf.DUMMYFUNCTION("GOOGLETRANSLATE(B1156,""id"",""en"")"),"['application', 'bad', 'ngadattttt', 'just', 'application', 'service', 'signal', 'bad', 'down', 'grade', 'ribet', 'banged', ' TLP ',' Many ',' already ',' Costs', 'Credit', 'Indihome', 'Closed', 'Cast', 'Service', 'Kayak', 'Ada', 'Casik', 'Products' , 'li"&amp;"e', 'expensive', 'product', 'dilapidated', 'subscription', 'tasty', 'indihome', 'so provider', 'entry', 'Arwa', 'home', ' The cable is', 'Mending', 'Move', 'Recommend']")</f>
        <v>['application', 'bad', 'ngadattttt', 'just', 'application', 'service', 'signal', 'bad', 'down', 'grade', 'ribet', 'banged', ' TLP ',' Many ',' already ',' Costs', 'Credit', 'Indihome', 'Closed', 'Cast', 'Service', 'Kayak', 'Ada', 'Casik', 'Products' , 'lie', 'expensive', 'product', 'dilapidated', 'subscription', 'tasty', 'indihome', 'so provider', 'entry', 'Arwa', 'home', ' The cable is', 'Mending', 'Move', 'Recommend']</v>
      </c>
      <c r="D1156" s="3">
        <v>1.0</v>
      </c>
    </row>
    <row r="1157" ht="15.75" customHeight="1">
      <c r="A1157" s="1">
        <v>1212.0</v>
      </c>
      <c r="B1157" s="3" t="s">
        <v>1142</v>
      </c>
      <c r="C1157" s="3" t="str">
        <f>IFERROR(__xludf.DUMMYFUNCTION("GOOGLETRANSLATE(B1157,""id"",""en"")"),"['Not bad', 'practical', 'easy', '']")</f>
        <v>['Not bad', 'practical', 'easy', '']</v>
      </c>
      <c r="D1157" s="3">
        <v>5.0</v>
      </c>
    </row>
    <row r="1158" ht="15.75" customHeight="1">
      <c r="A1158" s="1">
        <v>1213.0</v>
      </c>
      <c r="B1158" s="3" t="s">
        <v>1143</v>
      </c>
      <c r="C1158" s="3" t="str">
        <f>IFERROR(__xludf.DUMMYFUNCTION("GOOGLETRANSLATE(B1158,""id"",""en"")"),"['Launching', 'User', 'Testing', 'Class', 'Telkom', 'Indiehome', ""]")</f>
        <v>['Launching', 'User', 'Testing', 'Class', 'Telkom', 'Indiehome', "]</v>
      </c>
      <c r="D1158" s="3">
        <v>1.0</v>
      </c>
    </row>
    <row r="1159" ht="15.75" customHeight="1">
      <c r="A1159" s="1">
        <v>1214.0</v>
      </c>
      <c r="B1159" s="3" t="s">
        <v>1144</v>
      </c>
      <c r="C1159" s="3" t="str">
        <f>IFERROR(__xludf.DUMMYFUNCTION("GOOGLETRANSLATE(B1159,""id"",""en"")"),"['IndiHome', 'severe', 'slow', 'application', 'logout', 'enter', 'password', 'wrong', 'right', 'complicated', 'really', 'skrg']")</f>
        <v>['IndiHome', 'severe', 'slow', 'application', 'logout', 'enter', 'password', 'wrong', 'right', 'complicated', 'really', 'skrg']</v>
      </c>
      <c r="D1159" s="3">
        <v>1.0</v>
      </c>
    </row>
    <row r="1160" ht="15.75" customHeight="1">
      <c r="A1160" s="1">
        <v>1215.0</v>
      </c>
      <c r="B1160" s="3" t="s">
        <v>1145</v>
      </c>
      <c r="C1160" s="3" t="str">
        <f>IFERROR(__xludf.DUMMYFUNCTION("GOOGLETRANSLATE(B1160,""id"",""en"")"),"['Disappointed', 'update', 'new', 'told', 'login', 'reset', 'wrong', 'password', 'told', 'waiting', 'hours', 'completed']")</f>
        <v>['Disappointed', 'update', 'new', 'told', 'login', 'reset', 'wrong', 'password', 'told', 'waiting', 'hours', 'completed']</v>
      </c>
      <c r="D1160" s="3">
        <v>1.0</v>
      </c>
    </row>
    <row r="1161" ht="15.75" customHeight="1">
      <c r="A1161" s="1">
        <v>1216.0</v>
      </c>
      <c r="B1161" s="3" t="s">
        <v>1146</v>
      </c>
      <c r="C1161" s="3" t="str">
        <f>IFERROR(__xludf.DUMMYFUNCTION("GOOGLETRANSLATE(B1161,""id"",""en"")"),"['Safety', 'Indihome', 'Indihome', 'City', 'job', 'need', 'access',' internet ',' Indihome ',' mejadi ',' choice ',' best ',' Help ',' Trima ',' Love ',' Indihome ', ""]")</f>
        <v>['Safety', 'Indihome', 'Indihome', 'City', 'job', 'need', 'access',' internet ',' Indihome ',' mejadi ',' choice ',' best ',' Help ',' Trima ',' Love ',' Indihome ', "]</v>
      </c>
      <c r="D1161" s="3">
        <v>5.0</v>
      </c>
    </row>
    <row r="1162" ht="15.75" customHeight="1">
      <c r="A1162" s="1">
        <v>1217.0</v>
      </c>
      <c r="B1162" s="3" t="s">
        <v>1147</v>
      </c>
      <c r="C1162" s="3" t="str">
        <f>IFERROR(__xludf.DUMMYFUNCTION("GOOGLETRANSLATE(B1162,""id"",""en"")"),"['signal', 'rich', 'pig']")</f>
        <v>['signal', 'rich', 'pig']</v>
      </c>
      <c r="D1162" s="3">
        <v>1.0</v>
      </c>
    </row>
    <row r="1163" ht="15.75" customHeight="1">
      <c r="A1163" s="1">
        <v>1218.0</v>
      </c>
      <c r="B1163" s="3" t="s">
        <v>1148</v>
      </c>
      <c r="C1163" s="3" t="str">
        <f>IFERROR(__xludf.DUMMYFUNCTION("GOOGLETRANSLATE(B1163,""id"",""en"")"),"['good']")</f>
        <v>['good']</v>
      </c>
      <c r="D1163" s="3">
        <v>5.0</v>
      </c>
    </row>
    <row r="1164" ht="15.75" customHeight="1">
      <c r="A1164" s="1">
        <v>1219.0</v>
      </c>
      <c r="B1164" s="3" t="s">
        <v>1149</v>
      </c>
      <c r="C1164" s="3" t="str">
        <f>IFERROR(__xludf.DUMMYFUNCTION("GOOGLETRANSLATE(B1164,""id"",""en"")"),"['Alhamdulillah', 'Good', 'Thank', 'Love']")</f>
        <v>['Alhamdulillah', 'Good', 'Thank', 'Love']</v>
      </c>
      <c r="D1164" s="3">
        <v>4.0</v>
      </c>
    </row>
    <row r="1165" ht="15.75" customHeight="1">
      <c r="A1165" s="1">
        <v>1220.0</v>
      </c>
      <c r="B1165" s="3" t="s">
        <v>1150</v>
      </c>
      <c r="C1165" s="3" t="str">
        <f>IFERROR(__xludf.DUMMYFUNCTION("GOOGLETRANSLATE(B1165,""id"",""en"")"),"['thank', 'love', 'indihome', 'indihome', 'best']")</f>
        <v>['thank', 'love', 'indihome', 'indihome', 'best']</v>
      </c>
      <c r="D1165" s="3">
        <v>5.0</v>
      </c>
    </row>
    <row r="1166" ht="15.75" customHeight="1">
      <c r="A1166" s="1">
        <v>1221.0</v>
      </c>
      <c r="B1166" s="3" t="s">
        <v>1151</v>
      </c>
      <c r="C1166" s="3" t="str">
        <f>IFERROR(__xludf.DUMMYFUNCTION("GOOGLETRANSLATE(B1166,""id"",""en"")"),"['slow', 'bug', 'report', 'disruption', 'error', 'uda', 'Benerin', 'disappointed', ""]")</f>
        <v>['slow', 'bug', 'report', 'disruption', 'error', 'uda', 'Benerin', 'disappointed', "]</v>
      </c>
      <c r="D1166" s="3">
        <v>1.0</v>
      </c>
    </row>
    <row r="1167" ht="15.75" customHeight="1">
      <c r="A1167" s="1">
        <v>1222.0</v>
      </c>
      <c r="B1167" s="3" t="s">
        <v>1152</v>
      </c>
      <c r="C1167" s="3" t="str">
        <f>IFERROR(__xludf.DUMMYFUNCTION("GOOGLETRANSLATE(B1167,""id"",""en"")"),"['Package', 'difficult', 'gmna']")</f>
        <v>['Package', 'difficult', 'gmna']</v>
      </c>
      <c r="D1167" s="3">
        <v>1.0</v>
      </c>
    </row>
    <row r="1168" ht="15.75" customHeight="1">
      <c r="A1168" s="1">
        <v>1223.0</v>
      </c>
      <c r="B1168" s="3" t="s">
        <v>1153</v>
      </c>
      <c r="C1168" s="3" t="str">
        <f>IFERROR(__xludf.DUMMYFUNCTION("GOOGLETRANSLATE(B1168,""id"",""en"")"),"['Application', 'enter', 'skrg', 'internet', 'dipake', 'bill', 'udh', 'paid', 'gmna', 'nie', 'his responsibility', '']")</f>
        <v>['Application', 'enter', 'skrg', 'internet', 'dipake', 'bill', 'udh', 'paid', 'gmna', 'nie', 'his responsibility', '']</v>
      </c>
      <c r="D1168" s="3">
        <v>1.0</v>
      </c>
    </row>
    <row r="1169" ht="15.75" customHeight="1">
      <c r="A1169" s="1">
        <v>1224.0</v>
      </c>
      <c r="B1169" s="3" t="s">
        <v>1154</v>
      </c>
      <c r="C1169" s="3" t="str">
        <f>IFERROR(__xludf.DUMMYFUNCTION("GOOGLETRANSLATE(B1169,""id"",""en"")"),"['Download', 'Myindihome', 'info', 'TTG', 'Indihome', 'Indira', 'as',' DPT ',' Points', 'times',' payment ',' month ',' making it easier ',' myindihome ',' the latest ',' slow ',' ']")</f>
        <v>['Download', 'Myindihome', 'info', 'TTG', 'Indihome', 'Indira', 'as',' DPT ',' Points', 'times',' payment ',' month ',' making it easier ',' myindihome ',' the latest ',' slow ',' ']</v>
      </c>
      <c r="D1169" s="3">
        <v>5.0</v>
      </c>
    </row>
    <row r="1170" ht="15.75" customHeight="1">
      <c r="A1170" s="1">
        <v>1226.0</v>
      </c>
      <c r="B1170" s="3" t="s">
        <v>1155</v>
      </c>
      <c r="C1170" s="3" t="str">
        <f>IFERROR(__xludf.DUMMYFUNCTION("GOOGLETRANSLATE(B1170,""id"",""en"")"),"['Package', 'Mbps', 'price', 'expensive']")</f>
        <v>['Package', 'Mbps', 'price', 'expensive']</v>
      </c>
      <c r="D1170" s="3">
        <v>5.0</v>
      </c>
    </row>
    <row r="1171" ht="15.75" customHeight="1">
      <c r="A1171" s="1">
        <v>1227.0</v>
      </c>
      <c r="B1171" s="3" t="s">
        <v>1156</v>
      </c>
      <c r="C1171" s="3" t="str">
        <f>IFERROR(__xludf.DUMMYFUNCTION("GOOGLETRANSLATE(B1171,""id"",""en"")"),"['beneficial', '']")</f>
        <v>['beneficial', '']</v>
      </c>
      <c r="D1171" s="3">
        <v>5.0</v>
      </c>
    </row>
    <row r="1172" ht="15.75" customHeight="1">
      <c r="A1172" s="1">
        <v>1228.0</v>
      </c>
      <c r="B1172" s="3" t="s">
        <v>1157</v>
      </c>
      <c r="C1172" s="3" t="str">
        <f>IFERROR(__xludf.DUMMYFUNCTION("GOOGLETRANSLATE(B1172,""id"",""en"")"),"['application', 'artificial', 'child', 'child', 'pkl']")</f>
        <v>['application', 'artificial', 'child', 'child', 'pkl']</v>
      </c>
      <c r="D1172" s="3">
        <v>1.0</v>
      </c>
    </row>
    <row r="1173" ht="15.75" customHeight="1">
      <c r="A1173" s="1">
        <v>1229.0</v>
      </c>
      <c r="B1173" s="3" t="s">
        <v>1158</v>
      </c>
      <c r="C1173" s="3" t="str">
        <f>IFERROR(__xludf.DUMMYFUNCTION("GOOGLETRANSLATE(B1173,""id"",""en"")"),"['APK', 'smooth', 'knp', 'apk', 'appears',' android ',' uninstall ',' download ',' reset ',' list ',' user ',' email ',' number ',' TTP ',' Login ']")</f>
        <v>['APK', 'smooth', 'knp', 'apk', 'appears',' android ',' uninstall ',' download ',' reset ',' list ',' user ',' email ',' number ',' TTP ',' Login ']</v>
      </c>
      <c r="D1173" s="3">
        <v>3.0</v>
      </c>
    </row>
    <row r="1174" ht="15.75" customHeight="1">
      <c r="A1174" s="1">
        <v>1230.0</v>
      </c>
      <c r="B1174" s="3" t="s">
        <v>1159</v>
      </c>
      <c r="C1174" s="3" t="str">
        <f>IFERROR(__xludf.DUMMYFUNCTION("GOOGLETRANSLATE(B1174,""id"",""en"")"),"['Content', 'share', 'solution']")</f>
        <v>['Content', 'share', 'solution']</v>
      </c>
      <c r="D1174" s="3">
        <v>4.0</v>
      </c>
    </row>
    <row r="1175" ht="15.75" customHeight="1">
      <c r="A1175" s="1">
        <v>1232.0</v>
      </c>
      <c r="B1175" s="3" t="s">
        <v>1160</v>
      </c>
      <c r="C1175" s="3" t="str">
        <f>IFERROR(__xludf.DUMMYFUNCTION("GOOGLETRANSLATE(B1175,""id"",""en"")"),"['Bug', 'Update', 'Please', 'Repaired', 'Thank you', '']")</f>
        <v>['Bug', 'Update', 'Please', 'Repaired', 'Thank you', '']</v>
      </c>
      <c r="D1175" s="3">
        <v>1.0</v>
      </c>
    </row>
    <row r="1176" ht="15.75" customHeight="1">
      <c r="A1176" s="1">
        <v>1233.0</v>
      </c>
      <c r="B1176" s="3" t="s">
        <v>1161</v>
      </c>
      <c r="C1176" s="3" t="str">
        <f>IFERROR(__xludf.DUMMYFUNCTION("GOOGLETRANSLATE(B1176,""id"",""en"")"),"['Myindihome', 'version', 'Latest', 'Features', 'Connected', 'Network', 'WiFi', 'Karna', 'Version', 'Feature', '']")</f>
        <v>['Myindihome', 'version', 'Latest', 'Features', 'Connected', 'Network', 'WiFi', 'Karna', 'Version', 'Feature', '']</v>
      </c>
      <c r="D1176" s="3">
        <v>3.0</v>
      </c>
    </row>
    <row r="1177" ht="15.75" customHeight="1">
      <c r="A1177" s="1">
        <v>1234.0</v>
      </c>
      <c r="B1177" s="3" t="s">
        <v>1162</v>
      </c>
      <c r="C1177" s="3" t="str">
        <f>IFERROR(__xludf.DUMMYFUNCTION("GOOGLETRANSLATE(B1177,""id"",""en"")"),"['Application', 'upgraded', 'slow', ""]")</f>
        <v>['Application', 'upgraded', 'slow', "]</v>
      </c>
      <c r="D1177" s="3">
        <v>1.0</v>
      </c>
    </row>
    <row r="1178" ht="15.75" customHeight="1">
      <c r="A1178" s="1">
        <v>1235.0</v>
      </c>
      <c r="B1178" s="3" t="s">
        <v>1163</v>
      </c>
      <c r="C1178" s="3" t="str">
        <f>IFERROR(__xludf.DUMMYFUNCTION("GOOGLETRANSLATE(B1178,""id"",""en"")"),"['Practical', 'simple', 'easy']")</f>
        <v>['Practical', 'simple', 'easy']</v>
      </c>
      <c r="D1178" s="3">
        <v>5.0</v>
      </c>
    </row>
    <row r="1179" ht="15.75" customHeight="1">
      <c r="A1179" s="1">
        <v>1236.0</v>
      </c>
      <c r="B1179" s="3" t="s">
        <v>1164</v>
      </c>
      <c r="C1179" s="3" t="str">
        <f>IFERROR(__xludf.DUMMYFUNCTION("GOOGLETRANSLATE(B1179,""id"",""en"")"),"['Update', 'The application', 'slow', ""]")</f>
        <v>['Update', 'The application', 'slow', "]</v>
      </c>
      <c r="D1179" s="3">
        <v>2.0</v>
      </c>
    </row>
    <row r="1180" ht="15.75" customHeight="1">
      <c r="A1180" s="1">
        <v>1237.0</v>
      </c>
      <c r="B1180" s="3" t="s">
        <v>1165</v>
      </c>
      <c r="C1180" s="3" t="str">
        <f>IFERROR(__xludf.DUMMYFUNCTION("GOOGLETRANSLATE(B1180,""id"",""en"")"),"['Application', 'heavy', 'Wooy', '']")</f>
        <v>['Application', 'heavy', 'Wooy', '']</v>
      </c>
      <c r="D1180" s="3">
        <v>1.0</v>
      </c>
    </row>
    <row r="1181" ht="15.75" customHeight="1">
      <c r="A1181" s="1">
        <v>1238.0</v>
      </c>
      <c r="B1181" s="3" t="s">
        <v>14</v>
      </c>
      <c r="C1181" s="3" t="str">
        <f>IFERROR(__xludf.DUMMYFUNCTION("GOOGLETRANSLATE(B1181,""id"",""en"")"),"Of course")</f>
        <v>Of course</v>
      </c>
      <c r="D1181" s="3">
        <v>2.0</v>
      </c>
    </row>
    <row r="1182" ht="15.75" customHeight="1">
      <c r="A1182" s="1">
        <v>1239.0</v>
      </c>
      <c r="B1182" s="3" t="s">
        <v>1166</v>
      </c>
      <c r="C1182" s="3" t="str">
        <f>IFERROR(__xludf.DUMMYFUNCTION("GOOGLETRANSLATE(B1182,""id"",""en"")"),"['happy', 'deh', 'application', 'indihome', 'wlau', 'win', 'gift', 'exchange', 'point', 'TPI', 'winner', 'real', ' ']")</f>
        <v>['happy', 'deh', 'application', 'indihome', 'wlau', 'win', 'gift', 'exchange', 'point', 'TPI', 'winner', 'real', ' ']</v>
      </c>
      <c r="D1182" s="3">
        <v>5.0</v>
      </c>
    </row>
    <row r="1183" ht="15.75" customHeight="1">
      <c r="A1183" s="1">
        <v>1240.0</v>
      </c>
      <c r="B1183" s="3" t="s">
        <v>1167</v>
      </c>
      <c r="C1183" s="3" t="str">
        <f>IFERROR(__xludf.DUMMYFUNCTION("GOOGLETRANSLATE(B1183,""id"",""en"")"),"['LEG', 'See', 'YouTube', 'muter', 'padah', 'use', 'wifi', 'detrimental', 'funds',' according to ',' agreement ',' pairs', ' Indihome ',' Speed ​​',' Mbps', 'cable']")</f>
        <v>['LEG', 'See', 'YouTube', 'muter', 'padah', 'use', 'wifi', 'detrimental', 'funds',' according to ',' agreement ',' pairs', ' Indihome ',' Speed ​​',' Mbps', 'cable']</v>
      </c>
      <c r="D1183" s="3">
        <v>1.0</v>
      </c>
    </row>
    <row r="1184" ht="15.75" customHeight="1">
      <c r="A1184" s="1">
        <v>1241.0</v>
      </c>
      <c r="B1184" s="3" t="s">
        <v>1168</v>
      </c>
      <c r="C1184" s="3" t="str">
        <f>IFERROR(__xludf.DUMMYFUNCTION("GOOGLETRANSLATE(B1184,""id"",""en"")"),"['application', 'BUMN', 'server', 'slow', 'bngtt', 'ngepain', 'enter', 'account', 'bet', 'snail']")</f>
        <v>['application', 'BUMN', 'server', 'slow', 'bngtt', 'ngepain', 'enter', 'account', 'bet', 'snail']</v>
      </c>
      <c r="D1184" s="3">
        <v>1.0</v>
      </c>
    </row>
    <row r="1185" ht="15.75" customHeight="1">
      <c r="A1185" s="1">
        <v>1242.0</v>
      </c>
      <c r="B1185" s="3" t="s">
        <v>1169</v>
      </c>
      <c r="C1185" s="3" t="str">
        <f>IFERROR(__xludf.DUMMYFUNCTION("GOOGLETRANSLATE(B1185,""id"",""en"")"),"['waduuuh', 'application', '']")</f>
        <v>['waduuuh', 'application', '']</v>
      </c>
      <c r="D1185" s="3">
        <v>3.0</v>
      </c>
    </row>
    <row r="1186" ht="15.75" customHeight="1">
      <c r="A1186" s="1">
        <v>1243.0</v>
      </c>
      <c r="B1186" s="3" t="s">
        <v>1170</v>
      </c>
      <c r="C1186" s="3" t="str">
        <f>IFERROR(__xludf.DUMMYFUNCTION("GOOGLETRANSLATE(B1186,""id"",""en"")"),"['', 'Nov', 'disorder', 'access', 'internet', 'fix', 'tomorrow', 'sktr', 'clock', 'afternoon', 'Nov', 'afternoon', 'interference' ',' Total ',' clock ',' compensation ',' kah ',' ']")</f>
        <v>['', 'Nov', 'disorder', 'access', 'internet', 'fix', 'tomorrow', 'sktr', 'clock', 'afternoon', 'Nov', 'afternoon', 'interference' ',' Total ',' clock ',' compensation ',' kah ',' ']</v>
      </c>
      <c r="D1186" s="3">
        <v>1.0</v>
      </c>
    </row>
    <row r="1187" ht="15.75" customHeight="1">
      <c r="A1187" s="1">
        <v>1244.0</v>
      </c>
      <c r="B1187" s="3" t="s">
        <v>1171</v>
      </c>
      <c r="C1187" s="3" t="str">
        <f>IFERROR(__xludf.DUMMYFUNCTION("GOOGLETRANSLATE(B1187,""id"",""en"")"),"['update', 'slow', 'login', 'complicated', 'option', 'report', 'disorder']")</f>
        <v>['update', 'slow', 'login', 'complicated', 'option', 'report', 'disorder']</v>
      </c>
      <c r="D1187" s="3">
        <v>1.0</v>
      </c>
    </row>
    <row r="1188" ht="15.75" customHeight="1">
      <c r="A1188" s="1">
        <v>1245.0</v>
      </c>
      <c r="B1188" s="3" t="s">
        <v>1172</v>
      </c>
      <c r="C1188" s="3" t="str">
        <f>IFERROR(__xludf.DUMMYFUNCTION("GOOGLETRANSLATE(B1188,""id"",""en"")"),"['best', 'Indihome', 'subscription', 'speed', 'Mbps',' mainly ',' top ',' rare ',' obstacle ',' and that ',' obstacle ',' direct ',' Report ',' MyIndihome ',' Direct ',' Garcep ',' Technician ',' Direct ',' Suggestion ',' Fix ',' Application ',' Myindihom"&amp;"e ',' Error ',' Lemot ',' Thank "" , 'love', '']")</f>
        <v>['best', 'Indihome', 'subscription', 'speed', 'Mbps',' mainly ',' top ',' rare ',' obstacle ',' and that ',' obstacle ',' direct ',' Report ',' MyIndihome ',' Direct ',' Garcep ',' Technician ',' Direct ',' Suggestion ',' Fix ',' Application ',' Myindihome ',' Error ',' Lemot ',' Thank " , 'love', '']</v>
      </c>
      <c r="D1188" s="3">
        <v>5.0</v>
      </c>
    </row>
    <row r="1189" ht="15.75" customHeight="1">
      <c r="A1189" s="1">
        <v>1246.0</v>
      </c>
      <c r="B1189" s="3" t="s">
        <v>1173</v>
      </c>
      <c r="C1189" s="3" t="str">
        <f>IFERROR(__xludf.DUMMYFUNCTION("GOOGLETRANSLATE(B1189,""id"",""en"")"),"['application', 'slow', 'open', 'menu', 'need', 'menu', 'report', 'disorder', 'fail', 'submit', 'internet', 'smooth']")</f>
        <v>['application', 'slow', 'open', 'menu', 'need', 'menu', 'report', 'disorder', 'fail', 'submit', 'internet', 'smooth']</v>
      </c>
      <c r="D1189" s="3">
        <v>1.0</v>
      </c>
    </row>
    <row r="1190" ht="15.75" customHeight="1">
      <c r="A1190" s="1">
        <v>1247.0</v>
      </c>
      <c r="B1190" s="3" t="s">
        <v>1174</v>
      </c>
      <c r="C1190" s="3" t="str">
        <f>IFERROR(__xludf.DUMMYFUNCTION("GOOGLETRANSLATE(B1190,""id"",""en"")"),"['Steady', 'help', ""]")</f>
        <v>['Steady', 'help', "]</v>
      </c>
      <c r="D1190" s="3">
        <v>5.0</v>
      </c>
    </row>
    <row r="1191" ht="15.75" customHeight="1">
      <c r="A1191" s="1">
        <v>1248.0</v>
      </c>
      <c r="B1191" s="3" t="s">
        <v>1175</v>
      </c>
      <c r="C1191" s="3" t="str">
        <f>IFERROR(__xludf.DUMMYFUNCTION("GOOGLETRANSLATE(B1191,""id"",""en"")"),"['Fix', 'released', 'public', 'severe', 'beta', 'version', 'stable', 'kah', '']")</f>
        <v>['Fix', 'released', 'public', 'severe', 'beta', 'version', 'stable', 'kah', '']</v>
      </c>
      <c r="D1191" s="3">
        <v>1.0</v>
      </c>
    </row>
    <row r="1192" ht="15.75" customHeight="1">
      <c r="A1192" s="1">
        <v>1249.0</v>
      </c>
      <c r="B1192" s="3" t="s">
        <v>1176</v>
      </c>
      <c r="C1192" s="3" t="str">
        <f>IFERROR(__xludf.DUMMYFUNCTION("GOOGLETRANSLATE(B1192,""id"",""en"")"),"['', 'Service', 'responsive', 'happy', 'enjoy', 'service', 'Available', 'Thank you', 'Jaya', ""]")</f>
        <v>['', 'Service', 'responsive', 'happy', 'enjoy', 'service', 'Available', 'Thank you', 'Jaya', "]</v>
      </c>
      <c r="D1192" s="3">
        <v>5.0</v>
      </c>
    </row>
    <row r="1193" ht="15.75" customHeight="1">
      <c r="A1193" s="1">
        <v>1250.0</v>
      </c>
      <c r="B1193" s="3" t="s">
        <v>1177</v>
      </c>
      <c r="C1193" s="3" t="str">
        <f>IFERROR(__xludf.DUMMYFUNCTION("GOOGLETRANSLATE(B1193,""id"",""en"")"),"['Disappointed', 'version', 'good', 'package', 'subscription', 'foam', 'mistake', 'annoyed', 'customer', 'comfortable']")</f>
        <v>['Disappointed', 'version', 'good', 'package', 'subscription', 'foam', 'mistake', 'annoyed', 'customer', 'comfortable']</v>
      </c>
      <c r="D1193" s="3">
        <v>1.0</v>
      </c>
    </row>
    <row r="1194" ht="15.75" customHeight="1">
      <c r="A1194" s="1">
        <v>1251.0</v>
      </c>
      <c r="B1194" s="3" t="s">
        <v>1178</v>
      </c>
      <c r="C1194" s="3" t="str">
        <f>IFERROR(__xludf.DUMMYFUNCTION("GOOGLETRANSLATE(B1194,""id"",""en"")"),"['min', 'tlg', 'application', 'indihome', 'kid', 'enter', 'login', 'login', 'writing', 'mhn', 'sorry', 'improvement', ' Services', 'Donk', 'Donk', 'Maintenance', 'Bencharuan', 'System', 'Inovasis',' Consumers', 'Assume', 'Tends',' Negative ',' Service ', "&amp;"""]")</f>
        <v>['min', 'tlg', 'application', 'indihome', 'kid', 'enter', 'login', 'login', 'writing', 'mhn', 'sorry', 'improvement', ' Services', 'Donk', 'Donk', 'Maintenance', 'Bencharuan', 'System', 'Inovasis',' Consumers', 'Assume', 'Tends',' Negative ',' Service ', "]</v>
      </c>
      <c r="D1194" s="3">
        <v>1.0</v>
      </c>
    </row>
    <row r="1195" ht="15.75" customHeight="1">
      <c r="A1195" s="1">
        <v>1252.0</v>
      </c>
      <c r="B1195" s="3" t="s">
        <v>1179</v>
      </c>
      <c r="C1195" s="3" t="str">
        <f>IFERROR(__xludf.DUMMYFUNCTION("GOOGLETRANSLATE(B1195,""id"",""en"")"),"['Disappointed', 'Network', 'Indihome', 'Loss', 'Pay', 'Bill', 'Network', 'Leet', 'Laptop', 'Connect']")</f>
        <v>['Disappointed', 'Network', 'Indihome', 'Loss', 'Pay', 'Bill', 'Network', 'Leet', 'Laptop', 'Connect']</v>
      </c>
      <c r="D1195" s="3">
        <v>1.0</v>
      </c>
    </row>
    <row r="1196" ht="15.75" customHeight="1">
      <c r="A1196" s="1">
        <v>1253.0</v>
      </c>
      <c r="B1196" s="3" t="s">
        <v>1180</v>
      </c>
      <c r="C1196" s="3" t="str">
        <f>IFERROR(__xludf.DUMMYFUNCTION("GOOGLETRANSLATE(B1196,""id"",""en"")"),"['Abis', 'update', 'complicated', 'really', 'the application', 'enter', 'please', 'application', 'simple', 'easy', ""]")</f>
        <v>['Abis', 'update', 'complicated', 'really', 'the application', 'enter', 'please', 'application', 'simple', 'easy', "]</v>
      </c>
      <c r="D1196" s="3">
        <v>1.0</v>
      </c>
    </row>
    <row r="1197" ht="15.75" customHeight="1">
      <c r="A1197" s="1">
        <v>1254.0</v>
      </c>
      <c r="B1197" s="3" t="s">
        <v>1181</v>
      </c>
      <c r="C1197" s="3" t="str">
        <f>IFERROR(__xludf.DUMMYFUNCTION("GOOGLETRANSLATE(B1197,""id"",""en"")"),"['likes', 'application', 'Indihome', 'version', 'the latest', 'features', 'complete', 'info', 'need', 'application', '']")</f>
        <v>['likes', 'application', 'Indihome', 'version', 'the latest', 'features', 'complete', 'info', 'need', 'application', '']</v>
      </c>
      <c r="D1197" s="3">
        <v>5.0</v>
      </c>
    </row>
    <row r="1198" ht="15.75" customHeight="1">
      <c r="A1198" s="1">
        <v>1255.0</v>
      </c>
      <c r="B1198" s="3" t="s">
        <v>1148</v>
      </c>
      <c r="C1198" s="3" t="str">
        <f>IFERROR(__xludf.DUMMYFUNCTION("GOOGLETRANSLATE(B1198,""id"",""en"")"),"['good']")</f>
        <v>['good']</v>
      </c>
      <c r="D1198" s="3">
        <v>5.0</v>
      </c>
    </row>
    <row r="1199" ht="15.75" customHeight="1">
      <c r="A1199" s="1">
        <v>1256.0</v>
      </c>
      <c r="B1199" s="3" t="s">
        <v>1182</v>
      </c>
      <c r="C1199" s="3" t="str">
        <f>IFERROR(__xludf.DUMMYFUNCTION("GOOGLETRANSLATE(B1199,""id"",""en"")"),"['Bgus', 'Increase', 'Lemot']")</f>
        <v>['Bgus', 'Increase', 'Lemot']</v>
      </c>
      <c r="D1199" s="3">
        <v>5.0</v>
      </c>
    </row>
    <row r="1200" ht="15.75" customHeight="1">
      <c r="A1200" s="1">
        <v>1257.0</v>
      </c>
      <c r="B1200" s="3" t="s">
        <v>1183</v>
      </c>
      <c r="C1200" s="3" t="str">
        <f>IFERROR(__xludf.DUMMYFUNCTION("GOOGLETRANSLATE(B1200,""id"",""en"")"),"['Review', 'reply', 'automatic', 'machine', 'action', 'complaints',' apk ',' try ',' dwload ',' times', 'that's',' signal ',' WiFi ',' Indihom ',' Lemoooottt ',' Bangat ',' Hub ',' turned off ',' Operator ',' BLM ',' finished ',' Talk ',' Bill ',' Sllu ',"&amp;"' Pay ' , 'Service', 'Indihome', '']")</f>
        <v>['Review', 'reply', 'automatic', 'machine', 'action', 'complaints',' apk ',' try ',' dwload ',' times', 'that's',' signal ',' WiFi ',' Indihom ',' Lemoooottt ',' Bangat ',' Hub ',' turned off ',' Operator ',' BLM ',' finished ',' Talk ',' Bill ',' Sllu ',' Pay ' , 'Service', 'Indihome', '']</v>
      </c>
      <c r="D1200" s="3">
        <v>1.0</v>
      </c>
    </row>
    <row r="1201" ht="15.75" customHeight="1">
      <c r="A1201" s="1">
        <v>1258.0</v>
      </c>
      <c r="B1201" s="3" t="s">
        <v>1184</v>
      </c>
      <c r="C1201" s="3" t="str">
        <f>IFERROR(__xludf.DUMMYFUNCTION("GOOGLETRANSLATE(B1201,""id"",""en"")"),"['', 'Mantab']")</f>
        <v>['', 'Mantab']</v>
      </c>
      <c r="D1201" s="3">
        <v>5.0</v>
      </c>
    </row>
    <row r="1202" ht="15.75" customHeight="1">
      <c r="A1202" s="1">
        <v>1259.0</v>
      </c>
      <c r="B1202" s="3" t="s">
        <v>1185</v>
      </c>
      <c r="C1202" s="3" t="str">
        <f>IFERROR(__xludf.DUMMYFUNCTION("GOOGLETRANSLATE(B1202,""id"",""en"")"),"['slow', 'team', 'dodol', 'try', 'application', 'launching', '']")</f>
        <v>['slow', 'team', 'dodol', 'try', 'application', 'launching', '']</v>
      </c>
      <c r="D1202" s="3">
        <v>1.0</v>
      </c>
    </row>
    <row r="1203" ht="15.75" customHeight="1">
      <c r="A1203" s="1">
        <v>1260.0</v>
      </c>
      <c r="B1203" s="3" t="s">
        <v>1186</v>
      </c>
      <c r="C1203" s="3" t="str">
        <f>IFERROR(__xludf.DUMMYFUNCTION("GOOGLETRANSLATE(B1203,""id"",""en"")"),"['update', 'chaotic', 'opened', 'no', 'warning', 'device', 'rooted', 'standard', 'no', 'root', 'try', 'cellphone', ' only ',' renew ',' speed ',' no ',' disorder ',' system ',' paraaah ',' disappointed ',' subscribe ',' indihome ',' please ',' fix ',' com"&amp;"pany ' , 'Country', 'chaotic', '']")</f>
        <v>['update', 'chaotic', 'opened', 'no', 'warning', 'device', 'rooted', 'standard', 'no', 'root', 'try', 'cellphone', ' only ',' renew ',' speed ',' no ',' disorder ',' system ',' paraaah ',' disappointed ',' subscribe ',' indihome ',' please ',' fix ',' company ' , 'Country', 'chaotic', '']</v>
      </c>
      <c r="D1203" s="3">
        <v>1.0</v>
      </c>
    </row>
    <row r="1204" ht="15.75" customHeight="1">
      <c r="A1204" s="1">
        <v>1261.0</v>
      </c>
      <c r="B1204" s="3" t="s">
        <v>1187</v>
      </c>
      <c r="C1204" s="3" t="str">
        <f>IFERROR(__xludf.DUMMYFUNCTION("GOOGLETRANSLATE(B1204,""id"",""en"")"),"['Application', 'complete', 'user', 'freindly']")</f>
        <v>['Application', 'complete', 'user', 'freindly']</v>
      </c>
      <c r="D1204" s="3">
        <v>5.0</v>
      </c>
    </row>
    <row r="1205" ht="15.75" customHeight="1">
      <c r="A1205" s="1">
        <v>1262.0</v>
      </c>
      <c r="B1205" s="3" t="s">
        <v>1188</v>
      </c>
      <c r="C1205" s="3" t="str">
        <f>IFERROR(__xludf.DUMMYFUNCTION("GOOGLETRANSLATE(B1205,""id"",""en"")"),"['Network', 'Indihome', 'slow', 'Sekang', 'Please', 'Enhanced', 'Customer', 'Move', 'Kelain']")</f>
        <v>['Network', 'Indihome', 'slow', 'Sekang', 'Please', 'Enhanced', 'Customer', 'Move', 'Kelain']</v>
      </c>
      <c r="D1205" s="3">
        <v>3.0</v>
      </c>
    </row>
    <row r="1206" ht="15.75" customHeight="1">
      <c r="A1206" s="1">
        <v>1263.0</v>
      </c>
      <c r="B1206" s="3" t="s">
        <v>1189</v>
      </c>
      <c r="C1206" s="3" t="str">
        <f>IFERROR(__xludf.DUMMYFUNCTION("GOOGLETRANSLATE(B1206,""id"",""en"")"),"['APLKSI', 'newest', 'Loading', 'Mhon', 'Tuk', 'repaired', 'Spaya', 'BSA', 'accessed', 'lbih', 'fast']")</f>
        <v>['APLKSI', 'newest', 'Loading', 'Mhon', 'Tuk', 'repaired', 'Spaya', 'BSA', 'accessed', 'lbih', 'fast']</v>
      </c>
      <c r="D1206" s="3">
        <v>2.0</v>
      </c>
    </row>
    <row r="1207" ht="15.75" customHeight="1">
      <c r="A1207" s="1">
        <v>1264.0</v>
      </c>
      <c r="B1207" s="3" t="s">
        <v>1190</v>
      </c>
      <c r="C1207" s="3" t="str">
        <f>IFERROR(__xludf.DUMMYFUNCTION("GOOGLETRANSLATE(B1207,""id"",""en"")"),"['Indihome', 'Leading', '']")</f>
        <v>['Indihome', 'Leading', '']</v>
      </c>
      <c r="D1207" s="3">
        <v>5.0</v>
      </c>
    </row>
    <row r="1208" ht="15.75" customHeight="1">
      <c r="A1208" s="1">
        <v>1265.0</v>
      </c>
      <c r="B1208" s="3" t="s">
        <v>1191</v>
      </c>
      <c r="C1208" s="3" t="str">
        <f>IFERROR(__xludf.DUMMYFUNCTION("GOOGLETRANSLATE(B1208,""id"",""en"")"),"['application', 'smooth', 'smooth', 'update', 'version', 'latest', 'knp', 'waste', 'open', 'application', 'super', 'lemoooottt', ' poool ',' strange ']")</f>
        <v>['application', 'smooth', 'smooth', 'update', 'version', 'latest', 'knp', 'waste', 'open', 'application', 'super', 'lemoooottt', ' poool ',' strange ']</v>
      </c>
      <c r="D1208" s="3">
        <v>1.0</v>
      </c>
    </row>
    <row r="1209" ht="15.75" customHeight="1">
      <c r="A1209" s="1">
        <v>1266.0</v>
      </c>
      <c r="B1209" s="3" t="s">
        <v>1192</v>
      </c>
      <c r="C1209" s="3" t="str">
        <f>IFERROR(__xludf.DUMMYFUNCTION("GOOGLETRANSLATE(B1209,""id"",""en"")"),"['upspeed', 'fast', 'really', 'stay', 'click', 'already', 'auto', 'upgrade', '']")</f>
        <v>['upspeed', 'fast', 'really', 'stay', 'click', 'already', 'auto', 'upgrade', '']</v>
      </c>
      <c r="D1209" s="3">
        <v>5.0</v>
      </c>
    </row>
    <row r="1210" ht="15.75" customHeight="1">
      <c r="A1210" s="1">
        <v>1267.0</v>
      </c>
      <c r="B1210" s="3" t="s">
        <v>1193</v>
      </c>
      <c r="C1210" s="3" t="str">
        <f>IFERROR(__xludf.DUMMYFUNCTION("GOOGLETRANSLATE(B1210,""id"",""en"")"),"['subscribe', 'Alhamdulillah', 'payment', 'smooth', 'connection', 'smooth', 'connection', 'like', 'drop', 'play', 'game', 'network', ' Down ',' Hopefully ',' Indihome ',' fix ',' Permasalah ', ""]")</f>
        <v>['subscribe', 'Alhamdulillah', 'payment', 'smooth', 'connection', 'smooth', 'connection', 'like', 'drop', 'play', 'game', 'network', ' Down ',' Hopefully ',' Indihome ',' fix ',' Permasalah ', "]</v>
      </c>
      <c r="D1210" s="3">
        <v>5.0</v>
      </c>
    </row>
    <row r="1211" ht="15.75" customHeight="1">
      <c r="A1211" s="1">
        <v>1268.0</v>
      </c>
      <c r="B1211" s="3" t="s">
        <v>1194</v>
      </c>
      <c r="C1211" s="3" t="str">
        <f>IFERROR(__xludf.DUMMYFUNCTION("GOOGLETRANSLATE(B1211,""id"",""en"")"),"['It's easy', 'consumers', 'offer', 'promo', 'making it easier', 'costs', 'use', 'work', 'Indihome', 'Success', 'telatuh']")</f>
        <v>['It's easy', 'consumers', 'offer', 'promo', 'making it easier', 'costs', 'use', 'work', 'Indihome', 'Success', 'telatuh']</v>
      </c>
      <c r="D1211" s="3">
        <v>5.0</v>
      </c>
    </row>
    <row r="1212" ht="15.75" customHeight="1">
      <c r="A1212" s="1">
        <v>1270.0</v>
      </c>
      <c r="B1212" s="3" t="s">
        <v>1195</v>
      </c>
      <c r="C1212" s="3" t="str">
        <f>IFERROR(__xludf.DUMMYFUNCTION("GOOGLETRANSLATE(B1212,""id"",""en"")"),"['Sometimes', 'bad', 'sometimes', 'good', 'yaa', 'name', 'person']")</f>
        <v>['Sometimes', 'bad', 'sometimes', 'good', 'yaa', 'name', 'person']</v>
      </c>
      <c r="D1212" s="3">
        <v>5.0</v>
      </c>
    </row>
    <row r="1213" ht="15.75" customHeight="1">
      <c r="A1213" s="1">
        <v>1271.0</v>
      </c>
      <c r="B1213" s="3" t="s">
        <v>1196</v>
      </c>
      <c r="C1213" s="3" t="str">
        <f>IFERROR(__xludf.DUMMYFUNCTION("GOOGLETRANSLATE(B1213,""id"",""en"")"),"['Download', 'Report', 'Monthly', 'Application', 'Asemmm']")</f>
        <v>['Download', 'Report', 'Monthly', 'Application', 'Asemmm']</v>
      </c>
      <c r="D1213" s="3">
        <v>1.0</v>
      </c>
    </row>
    <row r="1214" ht="15.75" customHeight="1">
      <c r="A1214" s="1">
        <v>1272.0</v>
      </c>
      <c r="B1214" s="3" t="s">
        <v>1197</v>
      </c>
      <c r="C1214" s="3" t="str">
        <f>IFERROR(__xludf.DUMMYFUNCTION("GOOGLETRANSLATE(B1214,""id"",""en"")"),"['Effective', 'service', 'handling', 'information', 'bill', '']")</f>
        <v>['Effective', 'service', 'handling', 'information', 'bill', '']</v>
      </c>
      <c r="D1214" s="3">
        <v>5.0</v>
      </c>
    </row>
    <row r="1215" ht="15.75" customHeight="1">
      <c r="A1215" s="1">
        <v>1273.0</v>
      </c>
      <c r="B1215" s="3" t="s">
        <v>1198</v>
      </c>
      <c r="C1215" s="3" t="str">
        <f>IFERROR(__xludf.DUMMYFUNCTION("GOOGLETRANSLATE(B1215,""id"",""en"")"),"['heavy', 'really', 'application', 'open', 'profile', 'improvement', 'service', 'network', 'normal', 'application', 'light', 'that's']")</f>
        <v>['heavy', 'really', 'application', 'open', 'profile', 'improvement', 'service', 'network', 'normal', 'application', 'light', 'that's']</v>
      </c>
      <c r="D1215" s="3">
        <v>3.0</v>
      </c>
    </row>
    <row r="1216" ht="15.75" customHeight="1">
      <c r="A1216" s="1">
        <v>1274.0</v>
      </c>
      <c r="B1216" s="3" t="s">
        <v>1199</v>
      </c>
      <c r="C1216" s="3" t="str">
        <f>IFERROR(__xludf.DUMMYFUNCTION("GOOGLETRANSLATE(B1216,""id"",""en"")"),"['Alhamdulillah', 'User', 'Indihome', 'Skrng', 'Alhamdulillah', 'internet', 'smooth', 'ajaa', 'smg', 'smooth', 'Jaya', 'yaa', ' children ',' zoom ',' home ',' thank ',' love ',' ']")</f>
        <v>['Alhamdulillah', 'User', 'Indihome', 'Skrng', 'Alhamdulillah', 'internet', 'smooth', 'ajaa', 'smg', 'smooth', 'Jaya', 'yaa', ' children ',' zoom ',' home ',' thank ',' love ',' ']</v>
      </c>
      <c r="D1216" s="3">
        <v>5.0</v>
      </c>
    </row>
    <row r="1217" ht="15.75" customHeight="1">
      <c r="A1217" s="1">
        <v>1275.0</v>
      </c>
      <c r="B1217" s="3" t="s">
        <v>1200</v>
      </c>
      <c r="C1217" s="3" t="str">
        <f>IFERROR(__xludf.DUMMYFUNCTION("GOOGLETRANSLATE(B1217,""id"",""en"")"),"['Help', 'please', 'repaired', 'bug', ""]")</f>
        <v>['Help', 'please', 'repaired', 'bug', "]</v>
      </c>
      <c r="D1217" s="3">
        <v>5.0</v>
      </c>
    </row>
    <row r="1218" ht="15.75" customHeight="1">
      <c r="A1218" s="1">
        <v>1276.0</v>
      </c>
      <c r="B1218" s="3" t="s">
        <v>1201</v>
      </c>
      <c r="C1218" s="3" t="str">
        <f>IFERROR(__xludf.DUMMYFUNCTION("GOOGLETRANSLATE(B1218,""id"",""en"")"),"['Apps', 'Indihome', 'Latest', 'Cool', 'No', 'Different', 'Donwlod', 'Hopefully', 'Indihome', 'Jaya', 'Success']")</f>
        <v>['Apps', 'Indihome', 'Latest', 'Cool', 'No', 'Different', 'Donwlod', 'Hopefully', 'Indihome', 'Jaya', 'Success']</v>
      </c>
      <c r="D1218" s="3">
        <v>5.0</v>
      </c>
    </row>
    <row r="1219" ht="15.75" customHeight="1">
      <c r="A1219" s="1">
        <v>1277.0</v>
      </c>
      <c r="B1219" s="3" t="s">
        <v>1202</v>
      </c>
      <c r="C1219" s="3" t="str">
        <f>IFERROR(__xludf.DUMMYFUNCTION("GOOGLETRANSLATE(B1219,""id"",""en"")"),"['Comfortable', 'Network', 'Kosan', 'complained', 'UDH', 'Tide', 'Tool', 'Signal', 'Good', 'Thanking', 'Love', ""]")</f>
        <v>['Comfortable', 'Network', 'Kosan', 'complained', 'UDH', 'Tide', 'Tool', 'Signal', 'Good', 'Thanking', 'Love', "]</v>
      </c>
      <c r="D1219" s="3">
        <v>5.0</v>
      </c>
    </row>
    <row r="1220" ht="15.75" customHeight="1">
      <c r="A1220" s="1">
        <v>1278.0</v>
      </c>
      <c r="B1220" s="3" t="s">
        <v>1203</v>
      </c>
      <c r="C1220" s="3" t="str">
        <f>IFERROR(__xludf.DUMMYFUNCTION("GOOGLETRANSLATE(B1220,""id"",""en"")"),"['Easy', 'Help', 'Mengontr', 'Indihome']")</f>
        <v>['Easy', 'Help', 'Mengontr', 'Indihome']</v>
      </c>
      <c r="D1220" s="3">
        <v>5.0</v>
      </c>
    </row>
    <row r="1221" ht="15.75" customHeight="1">
      <c r="A1221" s="1">
        <v>1279.0</v>
      </c>
      <c r="B1221" s="3" t="s">
        <v>1204</v>
      </c>
      <c r="C1221" s="3" t="str">
        <f>IFERROR(__xludf.DUMMYFUNCTION("GOOGLETRANSLATE(B1221,""id"",""en"")"),"['Like it', 'good', 'optimization', 'system', 'sometimes', 'error', 'that's']")</f>
        <v>['Like it', 'good', 'optimization', 'system', 'sometimes', 'error', 'that's']</v>
      </c>
      <c r="D1221" s="3">
        <v>5.0</v>
      </c>
    </row>
    <row r="1222" ht="15.75" customHeight="1">
      <c r="A1222" s="1">
        <v>1280.0</v>
      </c>
      <c r="B1222" s="3" t="s">
        <v>1205</v>
      </c>
      <c r="C1222" s="3" t="str">
        <f>IFERROR(__xludf.DUMMYFUNCTION("GOOGLETRANSLATE(B1222,""id"",""en"")"),"['Out', 'update', 'application', 'good', 'easy', 'mantapp', 'continue']")</f>
        <v>['Out', 'update', 'application', 'good', 'easy', 'mantapp', 'continue']</v>
      </c>
      <c r="D1222" s="3">
        <v>5.0</v>
      </c>
    </row>
    <row r="1223" ht="15.75" customHeight="1">
      <c r="A1223" s="1">
        <v>1281.0</v>
      </c>
      <c r="B1223" s="3" t="s">
        <v>1206</v>
      </c>
      <c r="C1223" s="3" t="str">
        <f>IFERROR(__xludf.DUMMYFUNCTION("GOOGLETRANSLATE(B1223,""id"",""en"")"),"['Perfect', 'times', 'the application', 'responds', 'slow']")</f>
        <v>['Perfect', 'times', 'the application', 'responds', 'slow']</v>
      </c>
      <c r="D1223" s="3">
        <v>3.0</v>
      </c>
    </row>
    <row r="1224" ht="15.75" customHeight="1">
      <c r="A1224" s="1">
        <v>1282.0</v>
      </c>
      <c r="B1224" s="3" t="s">
        <v>1207</v>
      </c>
      <c r="C1224" s="3" t="str">
        <f>IFERROR(__xludf.DUMMYFUNCTION("GOOGLETRANSLATE(B1224,""id"",""en"")"),"['application', 'slow', 'opened', 'redmi', 'note', 'ram', 'GB', 'subscription', 'indihome', 'mbps']")</f>
        <v>['application', 'slow', 'opened', 'redmi', 'note', 'ram', 'GB', 'subscription', 'indihome', 'mbps']</v>
      </c>
      <c r="D1224" s="3">
        <v>4.0</v>
      </c>
    </row>
    <row r="1225" ht="15.75" customHeight="1">
      <c r="A1225" s="1">
        <v>1283.0</v>
      </c>
      <c r="B1225" s="3" t="s">
        <v>1208</v>
      </c>
      <c r="C1225" s="3" t="str">
        <f>IFERROR(__xludf.DUMMYFUNCTION("GOOGLETRANSLATE(B1225,""id"",""en"")"),"['TOP', 'Affairs', 'Speed', 'Internet', 'Thank', 'Love']")</f>
        <v>['TOP', 'Affairs', 'Speed', 'Internet', 'Thank', 'Love']</v>
      </c>
      <c r="D1225" s="3">
        <v>5.0</v>
      </c>
    </row>
    <row r="1226" ht="15.75" customHeight="1">
      <c r="A1226" s="1">
        <v>1284.0</v>
      </c>
      <c r="B1226" s="3" t="s">
        <v>1209</v>
      </c>
      <c r="C1226" s="3" t="str">
        <f>IFERROR(__xludf.DUMMYFUNCTION("GOOGLETRANSLATE(B1226,""id"",""en"")"),"['Alhamdulillah', 'Current', 'Hopefully', 'Indihome', 'In the first']")</f>
        <v>['Alhamdulillah', 'Current', 'Hopefully', 'Indihome', 'In the first']</v>
      </c>
      <c r="D1226" s="3">
        <v>5.0</v>
      </c>
    </row>
    <row r="1227" ht="15.75" customHeight="1">
      <c r="A1227" s="1">
        <v>1285.0</v>
      </c>
      <c r="B1227" s="3" t="s">
        <v>1210</v>
      </c>
      <c r="C1227" s="3" t="str">
        <f>IFERROR(__xludf.DUMMYFUNCTION("GOOGLETRANSLATE(B1227,""id"",""en"")"),"['Network', 'bad', 'service', 'bad']")</f>
        <v>['Network', 'bad', 'service', 'bad']</v>
      </c>
      <c r="D1227" s="3">
        <v>1.0</v>
      </c>
    </row>
    <row r="1228" ht="15.75" customHeight="1">
      <c r="A1228" s="1">
        <v>1286.0</v>
      </c>
      <c r="B1228" s="3" t="s">
        <v>1211</v>
      </c>
      <c r="C1228" s="3" t="str">
        <f>IFERROR(__xludf.DUMMYFUNCTION("GOOGLETRANSLATE(B1228,""id"",""en"")"),"['Application', 'Update', 'Logout', '']")</f>
        <v>['Application', 'Update', 'Logout', '']</v>
      </c>
      <c r="D1228" s="3">
        <v>5.0</v>
      </c>
    </row>
    <row r="1229" ht="15.75" customHeight="1">
      <c r="A1229" s="1">
        <v>1287.0</v>
      </c>
      <c r="B1229" s="3" t="s">
        <v>1212</v>
      </c>
      <c r="C1229" s="3" t="str">
        <f>IFERROR(__xludf.DUMMYFUNCTION("GOOGLETRANSLATE(B1229,""id"",""en"")"),"['application', 'updet', 'login', 'expensive', 'complicated', 'get', 'FUP', 'CBUT', 'subscription', 'BYR', 'BLN', 'late', ' Minutes', 'LSNG', 'isolir', 'Please', 'Advertising', 'Good', 'Service', 'satisfying']")</f>
        <v>['application', 'updet', 'login', 'expensive', 'complicated', 'get', 'FUP', 'CBUT', 'subscription', 'BYR', 'BLN', 'late', ' Minutes', 'LSNG', 'isolir', 'Please', 'Advertising', 'Good', 'Service', 'satisfying']</v>
      </c>
      <c r="D1229" s="3">
        <v>1.0</v>
      </c>
    </row>
    <row r="1230" ht="15.75" customHeight="1">
      <c r="A1230" s="1">
        <v>1288.0</v>
      </c>
      <c r="B1230" s="3" t="s">
        <v>1213</v>
      </c>
      <c r="C1230" s="3" t="str">
        <f>IFERROR(__xludf.DUMMYFUNCTION("GOOGLETRANSLATE(B1230,""id"",""en"")"),"['Accustomed', 'Different', 'Version', 'Help', 'Tuker', 'Voucher', '']")</f>
        <v>['Accustomed', 'Different', 'Version', 'Help', 'Tuker', 'Voucher', '']</v>
      </c>
      <c r="D1230" s="3">
        <v>4.0</v>
      </c>
    </row>
    <row r="1231" ht="15.75" customHeight="1">
      <c r="A1231" s="1">
        <v>1289.0</v>
      </c>
      <c r="B1231" s="3" t="s">
        <v>1214</v>
      </c>
      <c r="C1231" s="3" t="str">
        <f>IFERROR(__xludf.DUMMYFUNCTION("GOOGLETRANSLATE(B1231,""id"",""en"")"),"['Severe', 'Indihome', 'Internet', 'On', 'complaint', 'answer', 'work', 'serious', 'customers', 'disappointed']")</f>
        <v>['Severe', 'Indihome', 'Internet', 'On', 'complaint', 'answer', 'work', 'serious', 'customers', 'disappointed']</v>
      </c>
      <c r="D1231" s="3">
        <v>1.0</v>
      </c>
    </row>
    <row r="1232" ht="15.75" customHeight="1">
      <c r="A1232" s="1">
        <v>1290.0</v>
      </c>
      <c r="B1232" s="3" t="s">
        <v>1215</v>
      </c>
      <c r="C1232" s="3" t="str">
        <f>IFERROR(__xludf.DUMMYFUNCTION("GOOGLETRANSLATE(B1232,""id"",""en"")"),"['Knp', 'Login', 'App', 'Indihome', 'SKNG', 'UDH', 'Entering', 'TLP', 'Login', 'Solution', ""]")</f>
        <v>['Knp', 'Login', 'App', 'Indihome', 'SKNG', 'UDH', 'Entering', 'TLP', 'Login', 'Solution', "]</v>
      </c>
      <c r="D1232" s="3">
        <v>3.0</v>
      </c>
    </row>
    <row r="1233" ht="15.75" customHeight="1">
      <c r="A1233" s="1">
        <v>1291.0</v>
      </c>
      <c r="B1233" s="3" t="s">
        <v>1216</v>
      </c>
      <c r="C1233" s="3" t="str">
        <f>IFERROR(__xludf.DUMMYFUNCTION("GOOGLETRANSLATE(B1233,""id"",""en"")"),"['update', 'application', 'application', 'slow', 'really']")</f>
        <v>['update', 'application', 'application', 'slow', 'really']</v>
      </c>
      <c r="D1233" s="3">
        <v>1.0</v>
      </c>
    </row>
    <row r="1234" ht="15.75" customHeight="1">
      <c r="A1234" s="1">
        <v>1292.0</v>
      </c>
      <c r="B1234" s="3" t="s">
        <v>1217</v>
      </c>
      <c r="C1234" s="3" t="str">
        <f>IFERROR(__xludf.DUMMYFUNCTION("GOOGLETRANSLATE(B1234,""id"",""en"")"),"['APFRED', 'Application', 'Taste', 'Downgrade', 'Lemot', 'Abis']")</f>
        <v>['APFRED', 'Application', 'Taste', 'Downgrade', 'Lemot', 'Abis']</v>
      </c>
      <c r="D1234" s="3">
        <v>1.0</v>
      </c>
    </row>
    <row r="1235" ht="15.75" customHeight="1">
      <c r="A1235" s="1">
        <v>1293.0</v>
      </c>
      <c r="B1235" s="3" t="s">
        <v>1218</v>
      </c>
      <c r="C1235" s="3" t="str">
        <f>IFERROR(__xludf.DUMMYFUNCTION("GOOGLETRANSLATE(B1235,""id"",""en"")"),"['Bagusan', 'APK', 'Easy', 'Complete', 'APK', 'Ribet', 'Disadvantages', 'Mending', 'APK']")</f>
        <v>['Bagusan', 'APK', 'Easy', 'Complete', 'APK', 'Ribet', 'Disadvantages', 'Mending', 'APK']</v>
      </c>
      <c r="D1235" s="3">
        <v>1.0</v>
      </c>
    </row>
    <row r="1236" ht="15.75" customHeight="1">
      <c r="A1236" s="1">
        <v>1294.0</v>
      </c>
      <c r="B1236" s="3" t="s">
        <v>1219</v>
      </c>
      <c r="C1236" s="3" t="str">
        <f>IFERROR(__xludf.DUMMYFUNCTION("GOOGLETRANSLATE(B1236,""id"",""en"")"),"['Lemot', 'Ribet']")</f>
        <v>['Lemot', 'Ribet']</v>
      </c>
      <c r="D1236" s="3">
        <v>1.0</v>
      </c>
    </row>
    <row r="1237" ht="15.75" customHeight="1">
      <c r="A1237" s="1">
        <v>1295.0</v>
      </c>
      <c r="B1237" s="3" t="s">
        <v>1220</v>
      </c>
      <c r="C1237" s="3" t="str">
        <f>IFERROR(__xludf.DUMMYFUNCTION("GOOGLETRANSLATE(B1237,""id"",""en"")"),"['Severe', 'application', 'open', 'application', 'difficult', 'submit', 'complaint', 'lbh', 'difficult', 'telkom', 'expert', 'lbh', ' Jago ',' internet ',' at home ',' bln ',' problematic ',' times', 'poor', 'basically', 'disappointed', 'Telkom', ""]")</f>
        <v>['Severe', 'application', 'open', 'application', 'difficult', 'submit', 'complaint', 'lbh', 'difficult', 'telkom', 'expert', 'lbh', ' Jago ',' internet ',' at home ',' bln ',' problematic ',' times', 'poor', 'basically', 'disappointed', 'Telkom', "]</v>
      </c>
      <c r="D1237" s="3">
        <v>1.0</v>
      </c>
    </row>
    <row r="1238" ht="15.75" customHeight="1">
      <c r="A1238" s="1">
        <v>1296.0</v>
      </c>
      <c r="B1238" s="3" t="s">
        <v>1221</v>
      </c>
      <c r="C1238" s="3" t="str">
        <f>IFERROR(__xludf.DUMMYFUNCTION("GOOGLETRANSLATE(B1238,""id"",""en"")"),"['entry', 'ngak', 'once', 'password', 'wrong', 'password', 'loading', 'oldaaaaaaaaaa', '']")</f>
        <v>['entry', 'ngak', 'once', 'password', 'wrong', 'password', 'loading', 'oldaaaaaaaaaa', '']</v>
      </c>
      <c r="D1238" s="3">
        <v>1.0</v>
      </c>
    </row>
    <row r="1239" ht="15.75" customHeight="1">
      <c r="A1239" s="1">
        <v>1297.0</v>
      </c>
      <c r="B1239" s="3" t="s">
        <v>1222</v>
      </c>
      <c r="C1239" s="3" t="str">
        <f>IFERROR(__xludf.DUMMYFUNCTION("GOOGLETRANSLATE(B1239,""id"",""en"")"),"['Leg', 'really', 'anjng']")</f>
        <v>['Leg', 'really', 'anjng']</v>
      </c>
      <c r="D1239" s="3">
        <v>1.0</v>
      </c>
    </row>
    <row r="1240" ht="15.75" customHeight="1">
      <c r="A1240" s="1">
        <v>1298.0</v>
      </c>
      <c r="B1240" s="3" t="s">
        <v>1223</v>
      </c>
      <c r="C1240" s="3" t="str">
        <f>IFERROR(__xludf.DUMMYFUNCTION("GOOGLETRANSLATE(B1240,""id"",""en"")"),"['Please', 'Team', 'Development', 'Application', 'Bener', 'work', 'company', 'Plat', 'Red', 'Jngn', 'Shy', 'Update', ' Hasn't it ',' good ',' bnyak ',' bug ',' ']")</f>
        <v>['Please', 'Team', 'Development', 'Application', 'Bener', 'work', 'company', 'Plat', 'Red', 'Jngn', 'Shy', 'Update', ' Hasn't it ',' good ',' bnyak ',' bug ',' ']</v>
      </c>
      <c r="D1240" s="3">
        <v>2.0</v>
      </c>
    </row>
    <row r="1241" ht="15.75" customHeight="1">
      <c r="A1241" s="1">
        <v>1299.0</v>
      </c>
      <c r="B1241" s="3" t="s">
        <v>1224</v>
      </c>
      <c r="C1241" s="3" t="str">
        <f>IFERROR(__xludf.DUMMYFUNCTION("GOOGLETRANSLATE(B1241,""id"",""en"")"),"['Log', 'TPI', 'Use', 'Improved', 'Service']")</f>
        <v>['Log', 'TPI', 'Use', 'Improved', 'Service']</v>
      </c>
      <c r="D1241" s="3">
        <v>1.0</v>
      </c>
    </row>
    <row r="1242" ht="15.75" customHeight="1">
      <c r="A1242" s="1">
        <v>1300.0</v>
      </c>
      <c r="B1242" s="3" t="s">
        <v>1148</v>
      </c>
      <c r="C1242" s="3" t="str">
        <f>IFERROR(__xludf.DUMMYFUNCTION("GOOGLETRANSLATE(B1242,""id"",""en"")"),"['good']")</f>
        <v>['good']</v>
      </c>
      <c r="D1242" s="3">
        <v>1.0</v>
      </c>
    </row>
    <row r="1243" ht="15.75" customHeight="1">
      <c r="A1243" s="1">
        <v>1301.0</v>
      </c>
      <c r="B1243" s="3" t="s">
        <v>1225</v>
      </c>
      <c r="C1243" s="3" t="str">
        <f>IFERROR(__xludf.DUMMYFUNCTION("GOOGLETRANSLATE(B1243,""id"",""en"")"),"['Trobe', 'slow', 'smooth', 'pay', ""]")</f>
        <v>['Trobe', 'slow', 'smooth', 'pay', "]</v>
      </c>
      <c r="D1243" s="3">
        <v>1.0</v>
      </c>
    </row>
    <row r="1244" ht="15.75" customHeight="1">
      <c r="A1244" s="1">
        <v>1302.0</v>
      </c>
      <c r="B1244" s="3" t="s">
        <v>1226</v>
      </c>
      <c r="C1244" s="3" t="str">
        <f>IFERROR(__xludf.DUMMYFUNCTION("GOOGLETRANSLATE(B1244,""id"",""en"")"),"['Baguussss']")</f>
        <v>['Baguussss']</v>
      </c>
      <c r="D1244" s="3">
        <v>5.0</v>
      </c>
    </row>
    <row r="1245" ht="15.75" customHeight="1">
      <c r="A1245" s="1">
        <v>1303.0</v>
      </c>
      <c r="B1245" s="3" t="s">
        <v>1227</v>
      </c>
      <c r="C1245" s="3" t="str">
        <f>IFERROR(__xludf.DUMMYFUNCTION("GOOGLETRANSLATE(B1245,""id"",""en"")"),"['sqngat', 'help']")</f>
        <v>['sqngat', 'help']</v>
      </c>
      <c r="D1245" s="3">
        <v>5.0</v>
      </c>
    </row>
    <row r="1246" ht="15.75" customHeight="1">
      <c r="A1246" s="1">
        <v>1304.0</v>
      </c>
      <c r="B1246" s="3" t="s">
        <v>1228</v>
      </c>
      <c r="C1246" s="3" t="str">
        <f>IFERROR(__xludf.DUMMYFUNCTION("GOOGLETRANSLATE(B1246,""id"",""en"")"),"['SNGT', 'LIKE', 'Application', 'DOVER', 'MERAYAINY']")</f>
        <v>['SNGT', 'LIKE', 'Application', 'DOVER', 'MERAYAINY']</v>
      </c>
      <c r="D1246" s="3">
        <v>5.0</v>
      </c>
    </row>
    <row r="1247" ht="15.75" customHeight="1">
      <c r="A1247" s="1">
        <v>1305.0</v>
      </c>
      <c r="B1247" s="3" t="s">
        <v>1229</v>
      </c>
      <c r="C1247" s="3" t="str">
        <f>IFERROR(__xludf.DUMMYFUNCTION("GOOGLETRANSLATE(B1247,""id"",""en"")"),"['Help', 'Indihome', 'What', 'Performance', 'WiFi', 'Clinic', 'Lost', 'Lost', 'Already', 'Report', 'A Day', 'Already', ' rich ',' drink ',' medicine ',' already ',' follow ',' etc. ',' until ',' skrng ',' people ',' emotion ',' sii ',' gosh ',' bnrr ' , '"&amp;"little']")</f>
        <v>['Help', 'Indihome', 'What', 'Performance', 'WiFi', 'Clinic', 'Lost', 'Lost', 'Already', 'Report', 'A Day', 'Already', ' rich ',' drink ',' medicine ',' already ',' follow ',' etc. ',' until ',' skrng ',' people ',' emotion ',' sii ',' gosh ',' bnrr ' , 'little']</v>
      </c>
      <c r="D1247" s="3">
        <v>1.0</v>
      </c>
    </row>
    <row r="1248" ht="15.75" customHeight="1">
      <c r="A1248" s="1">
        <v>1306.0</v>
      </c>
      <c r="B1248" s="3" t="s">
        <v>1230</v>
      </c>
      <c r="C1248" s="3" t="str">
        <f>IFERROR(__xludf.DUMMYFUNCTION("GOOGLETRANSLATE(B1248,""id"",""en"")"),"['network', 'smooth', 'steady', 'hope', 'spirit', 'indhome', 'best', '']")</f>
        <v>['network', 'smooth', 'steady', 'hope', 'spirit', 'indhome', 'best', '']</v>
      </c>
      <c r="D1248" s="3">
        <v>5.0</v>
      </c>
    </row>
    <row r="1249" ht="15.75" customHeight="1">
      <c r="A1249" s="1">
        <v>1307.0</v>
      </c>
      <c r="B1249" s="3" t="s">
        <v>1231</v>
      </c>
      <c r="C1249" s="3" t="str">
        <f>IFERROR(__xludf.DUMMYFUNCTION("GOOGLETRANSLATE(B1249,""id"",""en"")"),"['Service', 'fast', 'accurate']")</f>
        <v>['Service', 'fast', 'accurate']</v>
      </c>
      <c r="D1249" s="3">
        <v>5.0</v>
      </c>
    </row>
    <row r="1250" ht="15.75" customHeight="1">
      <c r="A1250" s="1">
        <v>1308.0</v>
      </c>
      <c r="B1250" s="3" t="s">
        <v>1232</v>
      </c>
      <c r="C1250" s="3" t="str">
        <f>IFERROR(__xludf.DUMMYFUNCTION("GOOGLETRANSLATE(B1250,""id"",""en"")"),"['App', 'Help', 'App', 'Kmrin', 'Update', 'appears',' logo ',' Indihome ',' appears', 'logo', 'Android', 'apakh', ' FIXED ',' Suggestion ',' ']")</f>
        <v>['App', 'Help', 'App', 'Kmrin', 'Update', 'appears',' logo ',' Indihome ',' appears', 'logo', 'Android', 'apakh', ' FIXED ',' Suggestion ',' ']</v>
      </c>
      <c r="D1250" s="3">
        <v>5.0</v>
      </c>
    </row>
    <row r="1251" ht="15.75" customHeight="1">
      <c r="A1251" s="1">
        <v>1309.0</v>
      </c>
      <c r="B1251" s="3" t="s">
        <v>1233</v>
      </c>
      <c r="C1251" s="3" t="str">
        <f>IFERROR(__xludf.DUMMYFUNCTION("GOOGLETRANSLATE(B1251,""id"",""en"")"),"['emang', 'aspects',' interface ',' modern ',' features', 'display', 'menu', 'good', 'TPI', 'Please', 'loading', 'application', ' repaired ',' here ',' slow ',' opened ',' network ',' internet ',' stable ']")</f>
        <v>['emang', 'aspects',' interface ',' modern ',' features', 'display', 'menu', 'good', 'TPI', 'Please', 'loading', 'application', ' repaired ',' here ',' slow ',' opened ',' network ',' internet ',' stable ']</v>
      </c>
      <c r="D1251" s="3">
        <v>5.0</v>
      </c>
    </row>
    <row r="1252" ht="15.75" customHeight="1">
      <c r="A1252" s="1">
        <v>1310.0</v>
      </c>
      <c r="B1252" s="3" t="s">
        <v>39</v>
      </c>
      <c r="C1252" s="3" t="str">
        <f>IFERROR(__xludf.DUMMYFUNCTION("GOOGLETRANSLATE(B1252,""id"",""en"")"),"['Application', 'slow']")</f>
        <v>['Application', 'slow']</v>
      </c>
      <c r="D1252" s="3">
        <v>1.0</v>
      </c>
    </row>
    <row r="1253" ht="15.75" customHeight="1">
      <c r="A1253" s="1">
        <v>1311.0</v>
      </c>
      <c r="B1253" s="3" t="s">
        <v>1234</v>
      </c>
      <c r="C1253" s="3" t="str">
        <f>IFERROR(__xludf.DUMMYFUNCTION("GOOGLETRANSLATE(B1253,""id"",""en"")"),"['hope', 'good', 'nextx']")</f>
        <v>['hope', 'good', 'nextx']</v>
      </c>
      <c r="D1253" s="3">
        <v>5.0</v>
      </c>
    </row>
    <row r="1254" ht="15.75" customHeight="1">
      <c r="A1254" s="1">
        <v>1312.0</v>
      </c>
      <c r="B1254" s="3" t="s">
        <v>1235</v>
      </c>
      <c r="C1254" s="3" t="str">
        <f>IFERROR(__xludf.DUMMYFUNCTION("GOOGLETRANSLATE(B1254,""id"",""en"")"),"['See', 'use', 'GMANA']")</f>
        <v>['See', 'use', 'GMANA']</v>
      </c>
      <c r="D1254" s="3">
        <v>1.0</v>
      </c>
    </row>
    <row r="1255" ht="15.75" customHeight="1">
      <c r="A1255" s="1">
        <v>1313.0</v>
      </c>
      <c r="B1255" s="3" t="s">
        <v>1236</v>
      </c>
      <c r="C1255" s="3" t="str">
        <f>IFERROR(__xludf.DUMMYFUNCTION("GOOGLETRANSLATE(B1255,""id"",""en"")"),"['Please', 'Features', 'Features', 'Plus', 'Details', 'Thanks', ""]")</f>
        <v>['Please', 'Features', 'Features', 'Plus', 'Details', 'Thanks', "]</v>
      </c>
      <c r="D1255" s="3">
        <v>4.0</v>
      </c>
    </row>
    <row r="1256" ht="15.75" customHeight="1">
      <c r="A1256" s="1">
        <v>1314.0</v>
      </c>
      <c r="B1256" s="3" t="s">
        <v>1237</v>
      </c>
      <c r="C1256" s="3" t="str">
        <f>IFERROR(__xludf.DUMMYFUNCTION("GOOGLETRANSLATE(B1256,""id"",""en"")"),"['App', 'garbage']")</f>
        <v>['App', 'garbage']</v>
      </c>
      <c r="D1256" s="3">
        <v>1.0</v>
      </c>
    </row>
    <row r="1257" ht="15.75" customHeight="1">
      <c r="A1257" s="1">
        <v>1315.0</v>
      </c>
      <c r="B1257" s="3" t="s">
        <v>1238</v>
      </c>
      <c r="C1257" s="3" t="str">
        <f>IFERROR(__xludf.DUMMYFUNCTION("GOOGLETRANSLATE(B1257,""id"",""en"")"),"['satisfying', 'service', 'internet', 'stable', 'disorder', 'mantappp']")</f>
        <v>['satisfying', 'service', 'internet', 'stable', 'disorder', 'mantappp']</v>
      </c>
      <c r="D1257" s="3">
        <v>5.0</v>
      </c>
    </row>
    <row r="1258" ht="15.75" customHeight="1">
      <c r="A1258" s="1">
        <v>1316.0</v>
      </c>
      <c r="B1258" s="3" t="s">
        <v>1239</v>
      </c>
      <c r="C1258" s="3" t="str">
        <f>IFERROR(__xludf.DUMMYFUNCTION("GOOGLETRANSLATE(B1258,""id"",""en"")"),"['update', 'the latest', 'slow', 'severe', 'emng', 'update', 'times',' user ',' interface ',' good ',' just ',' good ',' accessed ',' slow ',' mending ',' deh ',' ']")</f>
        <v>['update', 'the latest', 'slow', 'severe', 'emng', 'update', 'times',' user ',' interface ',' good ',' just ',' good ',' accessed ',' slow ',' mending ',' deh ',' ']</v>
      </c>
      <c r="D1258" s="3">
        <v>1.0</v>
      </c>
    </row>
    <row r="1259" ht="15.75" customHeight="1">
      <c r="A1259" s="1">
        <v>1317.0</v>
      </c>
      <c r="B1259" s="3" t="s">
        <v>1240</v>
      </c>
      <c r="C1259" s="3" t="str">
        <f>IFERROR(__xludf.DUMMYFUNCTION("GOOGLETRANSLATE(B1259,""id"",""en"")"),"['Display', 'App', 'Response', 'Fast', 'Response', 'Problems']")</f>
        <v>['Display', 'App', 'Response', 'Fast', 'Response', 'Problems']</v>
      </c>
      <c r="D1259" s="3">
        <v>5.0</v>
      </c>
    </row>
    <row r="1260" ht="15.75" customHeight="1">
      <c r="A1260" s="1">
        <v>1318.0</v>
      </c>
      <c r="B1260" s="3" t="s">
        <v>1241</v>
      </c>
      <c r="C1260" s="3" t="str">
        <f>IFERROR(__xludf.DUMMYFUNCTION("GOOGLETRANSLATE(B1260,""id"",""en"")"),"['Application', 'Det', 'Alhamdulillah', 'Good']")</f>
        <v>['Application', 'Det', 'Alhamdulillah', 'Good']</v>
      </c>
      <c r="D1260" s="3">
        <v>5.0</v>
      </c>
    </row>
    <row r="1261" ht="15.75" customHeight="1">
      <c r="A1261" s="1">
        <v>1319.0</v>
      </c>
      <c r="B1261" s="3" t="s">
        <v>1242</v>
      </c>
      <c r="C1261" s="3" t="str">
        <f>IFERROR(__xludf.DUMMYFUNCTION("GOOGLETRANSLATE(B1261,""id"",""en"")"),"['Telkom', 'already', 'network', 'ugly', 'expensive', 'FUP', 'fast', 'abis',' application ',' slow ',' forgiveness', 'stay', ' Wait ',' ISP ',' already ',' finished ',' masamu ',' plate ',' red ']")</f>
        <v>['Telkom', 'already', 'network', 'ugly', 'expensive', 'FUP', 'fast', 'abis',' application ',' slow ',' forgiveness', 'stay', ' Wait ',' ISP ',' already ',' finished ',' masamu ',' plate ',' red ']</v>
      </c>
      <c r="D1261" s="3">
        <v>1.0</v>
      </c>
    </row>
    <row r="1262" ht="15.75" customHeight="1">
      <c r="A1262" s="1">
        <v>1320.0</v>
      </c>
      <c r="B1262" s="3" t="s">
        <v>1243</v>
      </c>
      <c r="C1262" s="3" t="str">
        <f>IFERROR(__xludf.DUMMYFUNCTION("GOOGLETRANSLATE(B1262,""id"",""en"")"),"['Confused', 'Bagusan']")</f>
        <v>['Confused', 'Bagusan']</v>
      </c>
      <c r="D1262" s="3">
        <v>3.0</v>
      </c>
    </row>
    <row r="1263" ht="15.75" customHeight="1">
      <c r="A1263" s="1">
        <v>1321.0</v>
      </c>
      <c r="B1263" s="3" t="s">
        <v>1244</v>
      </c>
      <c r="C1263" s="3" t="str">
        <f>IFERROR(__xludf.DUMMYFUNCTION("GOOGLETRANSLATE(B1263,""id"",""en"")"),"['Blum', 'payment', 'bills', 'smooth', 'display', 'application', 'easy', 'understood', ""]")</f>
        <v>['Blum', 'payment', 'bills', 'smooth', 'display', 'application', 'easy', 'understood', "]</v>
      </c>
      <c r="D1263" s="3">
        <v>5.0</v>
      </c>
    </row>
    <row r="1264" ht="15.75" customHeight="1">
      <c r="A1264" s="1">
        <v>1322.0</v>
      </c>
      <c r="B1264" s="3" t="s">
        <v>1245</v>
      </c>
      <c r="C1264" s="3" t="str">
        <f>IFERROR(__xludf.DUMMYFUNCTION("GOOGLETRANSLATE(B1264,""id"",""en"")"),"['Slide', 'fast', 'pay', 'cheap', '']")</f>
        <v>['Slide', 'fast', 'pay', 'cheap', '']</v>
      </c>
      <c r="D1264" s="3">
        <v>5.0</v>
      </c>
    </row>
    <row r="1265" ht="15.75" customHeight="1">
      <c r="A1265" s="1">
        <v>1323.0</v>
      </c>
      <c r="B1265" s="3" t="s">
        <v>1246</v>
      </c>
      <c r="C1265" s="3" t="str">
        <f>IFERROR(__xludf.DUMMYFUNCTION("GOOGLETRANSLATE(B1265,""id"",""en"")"),"['The program', 'good', 'use', 'easy', 'service', 'trimks', 'indhihome']")</f>
        <v>['The program', 'good', 'use', 'easy', 'service', 'trimks', 'indhihome']</v>
      </c>
      <c r="D1265" s="3">
        <v>5.0</v>
      </c>
    </row>
    <row r="1266" ht="15.75" customHeight="1">
      <c r="A1266" s="1">
        <v>1324.0</v>
      </c>
      <c r="B1266" s="3" t="s">
        <v>1247</v>
      </c>
      <c r="C1266" s="3" t="str">
        <f>IFERROR(__xludf.DUMMYFUNCTION("GOOGLETRANSLATE(B1266,""id"",""en"")"),"['Application', 'Indihome', 'Easy', 'Educating', 'Features',' Features', 'Limit', 'Payment', 'Easy', 'Info', 'Info', 'Update', ' application', '']")</f>
        <v>['Application', 'Indihome', 'Easy', 'Educating', 'Features',' Features', 'Limit', 'Payment', 'Easy', 'Info', 'Info', 'Update', ' application', '']</v>
      </c>
      <c r="D1266" s="3">
        <v>5.0</v>
      </c>
    </row>
    <row r="1267" ht="15.75" customHeight="1">
      <c r="A1267" s="1">
        <v>1325.0</v>
      </c>
      <c r="B1267" s="3" t="s">
        <v>1248</v>
      </c>
      <c r="C1267" s="3" t="str">
        <f>IFERROR(__xludf.DUMMYFUNCTION("GOOGLETRANSLATE(B1267,""id"",""en"")"),"['promo']")</f>
        <v>['promo']</v>
      </c>
      <c r="D1267" s="3">
        <v>5.0</v>
      </c>
    </row>
    <row r="1268" ht="15.75" customHeight="1">
      <c r="A1268" s="1">
        <v>1326.0</v>
      </c>
      <c r="B1268" s="3" t="s">
        <v>1249</v>
      </c>
      <c r="C1268" s="3" t="str">
        <f>IFERROR(__xludf.DUMMYFUNCTION("GOOGLETRANSLATE(B1268,""id"",""en"")"),"['Help', 'app', 'payment', 'check', 'status',' blm ',' experience ',' constraints', 'renewal', 'transaction', 'ttp', 'easy', ' Like ',' Display ']")</f>
        <v>['Help', 'app', 'payment', 'check', 'status',' blm ',' experience ',' constraints', 'renewal', 'transaction', 'ttp', 'easy', ' Like ',' Display ']</v>
      </c>
      <c r="D1268" s="3">
        <v>5.0</v>
      </c>
    </row>
    <row r="1269" ht="15.75" customHeight="1">
      <c r="A1269" s="1">
        <v>1327.0</v>
      </c>
      <c r="B1269" s="3" t="s">
        <v>1250</v>
      </c>
      <c r="C1269" s="3" t="str">
        <f>IFERROR(__xludf.DUMMYFUNCTION("GOOGLETRANSLATE(B1269,""id"",""en"")"),"['satisfying', 'already', 'subscribe', 'obstacles']")</f>
        <v>['satisfying', 'already', 'subscribe', 'obstacles']</v>
      </c>
      <c r="D1269" s="3">
        <v>5.0</v>
      </c>
    </row>
    <row r="1270" ht="15.75" customHeight="1">
      <c r="A1270" s="1">
        <v>1328.0</v>
      </c>
      <c r="B1270" s="3" t="s">
        <v>1251</v>
      </c>
      <c r="C1270" s="3" t="str">
        <f>IFERROR(__xludf.DUMMYFUNCTION("GOOGLETRANSLATE(B1270,""id"",""en"")"),"['Indihome', 'Constraints', 'Network', 'Safe', 'Increases', 'Reach', 'Region', 'Movers', 'Enjoy', 'Internet', 'Region', ""]")</f>
        <v>['Indihome', 'Constraints', 'Network', 'Safe', 'Increases', 'Reach', 'Region', 'Movers', 'Enjoy', 'Internet', 'Region', "]</v>
      </c>
      <c r="D1270" s="3">
        <v>5.0</v>
      </c>
    </row>
    <row r="1271" ht="15.75" customHeight="1">
      <c r="A1271" s="1">
        <v>1329.0</v>
      </c>
      <c r="B1271" s="3" t="s">
        <v>1252</v>
      </c>
      <c r="C1271" s="3" t="str">
        <f>IFERROR(__xludf.DUMMYFUNCTION("GOOGLETRANSLATE(B1271,""id"",""en"")"),"['Indihome', 'Best']")</f>
        <v>['Indihome', 'Best']</v>
      </c>
      <c r="D1271" s="3">
        <v>5.0</v>
      </c>
    </row>
    <row r="1272" ht="15.75" customHeight="1">
      <c r="A1272" s="1">
        <v>1330.0</v>
      </c>
      <c r="B1272" s="3" t="s">
        <v>1253</v>
      </c>
      <c r="C1272" s="3" t="str">
        <f>IFERROR(__xludf.DUMMYFUNCTION("GOOGLETRANSLATE(B1272,""id"",""en"")"),"['Subscribe', 'Myindohome', 'Condition', 'Covid', 'Useful', 'Child', 'Learning', 'Task', 'Learning', 'Finish', 'Network', 'Smooth', ' Even though ',' Rain ',' Lightning ',' Thank "", 'Love', 'Myindohome', 'Keeper', 'Strong', 'The Network', 'Tks']")</f>
        <v>['Subscribe', 'Myindohome', 'Condition', 'Covid', 'Useful', 'Child', 'Learning', 'Task', 'Learning', 'Finish', 'Network', 'Smooth', ' Even though ',' Rain ',' Lightning ',' Thank ", 'Love', 'Myindohome', 'Keeper', 'Strong', 'The Network', 'Tks']</v>
      </c>
      <c r="D1272" s="3">
        <v>5.0</v>
      </c>
    </row>
    <row r="1273" ht="15.75" customHeight="1">
      <c r="A1273" s="1">
        <v>1331.0</v>
      </c>
      <c r="B1273" s="3" t="s">
        <v>460</v>
      </c>
      <c r="C1273" s="3" t="str">
        <f>IFERROR(__xludf.DUMMYFUNCTION("GOOGLETRANSLATE(B1273,""id"",""en"")"),"['steady', '']")</f>
        <v>['steady', '']</v>
      </c>
      <c r="D1273" s="3">
        <v>5.0</v>
      </c>
    </row>
    <row r="1274" ht="15.75" customHeight="1">
      <c r="A1274" s="1">
        <v>1332.0</v>
      </c>
      <c r="B1274" s="3" t="s">
        <v>1254</v>
      </c>
      <c r="C1274" s="3" t="str">
        <f>IFERROR(__xludf.DUMMYFUNCTION("GOOGLETRANSLATE(B1274,""id"",""en"")"),"['fun', 'user', 'interface', 'application', 'user', 'friendly', 'detail', 'package', 'used', 'offered']")</f>
        <v>['fun', 'user', 'interface', 'application', 'user', 'friendly', 'detail', 'package', 'used', 'offered']</v>
      </c>
      <c r="D1274" s="3">
        <v>5.0</v>
      </c>
    </row>
    <row r="1275" ht="15.75" customHeight="1">
      <c r="A1275" s="1">
        <v>1333.0</v>
      </c>
      <c r="B1275" s="3" t="s">
        <v>1255</v>
      </c>
      <c r="C1275" s="3" t="str">
        <f>IFERROR(__xludf.DUMMYFUNCTION("GOOGLETRANSLATE(B1275,""id"",""en"")"),"['The application', 'Helping', 'Home', 'Page', 'Easy', 'Understanding', 'Information', 'Appropriate', 'Like', 'Menu', 'Subscribe', 'Products',' Buy ',' Hopefully ',' Tetep ',' Good ',' Increases']")</f>
        <v>['The application', 'Helping', 'Home', 'Page', 'Easy', 'Understanding', 'Information', 'Appropriate', 'Like', 'Menu', 'Subscribe', 'Products',' Buy ',' Hopefully ',' Tetep ',' Good ',' Increases']</v>
      </c>
      <c r="D1275" s="3">
        <v>5.0</v>
      </c>
    </row>
    <row r="1276" ht="15.75" customHeight="1">
      <c r="A1276" s="1">
        <v>1334.0</v>
      </c>
      <c r="B1276" s="3" t="s">
        <v>1256</v>
      </c>
      <c r="C1276" s="3" t="str">
        <f>IFERROR(__xludf.DUMMYFUNCTION("GOOGLETRANSLATE(B1276,""id"",""en"")"),"['Steady', 'SNGT', 'Help']")</f>
        <v>['Steady', 'SNGT', 'Help']</v>
      </c>
      <c r="D1276" s="3">
        <v>5.0</v>
      </c>
    </row>
    <row r="1277" ht="15.75" customHeight="1">
      <c r="A1277" s="1">
        <v>1335.0</v>
      </c>
      <c r="B1277" s="3" t="s">
        <v>1257</v>
      </c>
      <c r="C1277" s="3" t="str">
        <f>IFERROR(__xludf.DUMMYFUNCTION("GOOGLETRANSLATE(B1277,""id"",""en"")"),"['response', 'handling', 'constraints',' service ',' Indihome ',' chat ',' complaint ',' Costumer ',' Service ',' experience ',' improvement ',' settlement ',' Compared to ',' Afternoon ',' Submit ',' Complaints', 'Modem', 'Router', 'Damaged', 'Indihome',"&amp;" 'Morning', 'Clock', 'Technician', 'Direct', 'Location' , 'replace', 'router', 'broken', 'thank', 'love']")</f>
        <v>['response', 'handling', 'constraints',' service ',' Indihome ',' chat ',' complaint ',' Costumer ',' Service ',' experience ',' improvement ',' settlement ',' Compared to ',' Afternoon ',' Submit ',' Complaints', 'Modem', 'Router', 'Damaged', 'Indihome', 'Morning', 'Clock', 'Technician', 'Direct', 'Location' , 'replace', 'router', 'broken', 'thank', 'love']</v>
      </c>
      <c r="D1277" s="3">
        <v>5.0</v>
      </c>
    </row>
    <row r="1278" ht="15.75" customHeight="1">
      <c r="A1278" s="1">
        <v>1337.0</v>
      </c>
      <c r="B1278" s="3" t="s">
        <v>1258</v>
      </c>
      <c r="C1278" s="3" t="str">
        <f>IFERROR(__xludf.DUMMYFUNCTION("GOOGLETRANSLATE(B1278,""id"",""en"")"),"['mantapp', 'like', 'application', 'indihome', 'monitor', 'all', 'activity', 'indihome', 'home', 'application', 'upgrade', 'speed', ' Subscriptions', 'wifi', 'beginners',' ']")</f>
        <v>['mantapp', 'like', 'application', 'indihome', 'monitor', 'all', 'activity', 'indihome', 'home', 'application', 'upgrade', 'speed', ' Subscriptions', 'wifi', 'beginners',' ']</v>
      </c>
      <c r="D1278" s="3">
        <v>5.0</v>
      </c>
    </row>
    <row r="1279" ht="15.75" customHeight="1">
      <c r="A1279" s="1">
        <v>1338.0</v>
      </c>
      <c r="B1279" s="3" t="s">
        <v>1259</v>
      </c>
      <c r="C1279" s="3" t="str">
        <f>IFERROR(__xludf.DUMMYFUNCTION("GOOGLETRANSLATE(B1279,""id"",""en"")"),"['difficult', 'login', 'entry']")</f>
        <v>['difficult', 'login', 'entry']</v>
      </c>
      <c r="D1279" s="3">
        <v>1.0</v>
      </c>
    </row>
    <row r="1280" ht="15.75" customHeight="1">
      <c r="A1280" s="1">
        <v>1339.0</v>
      </c>
      <c r="B1280" s="3" t="s">
        <v>1260</v>
      </c>
      <c r="C1280" s="3" t="str">
        <f>IFERROR(__xludf.DUMMYFUNCTION("GOOGLETRANSLATE(B1280,""id"",""en"")"),"['Application', 'Indihome', 'Update', 'Kluwer', ""]")</f>
        <v>['Application', 'Indihome', 'Update', 'Kluwer', "]</v>
      </c>
      <c r="D1280" s="3">
        <v>1.0</v>
      </c>
    </row>
    <row r="1281" ht="15.75" customHeight="1">
      <c r="A1281" s="1">
        <v>1340.0</v>
      </c>
      <c r="B1281" s="3" t="s">
        <v>1261</v>
      </c>
      <c r="C1281" s="3" t="str">
        <f>IFERROR(__xludf.DUMMYFUNCTION("GOOGLETRANSLATE(B1281,""id"",""en"")"),"['correction', 'error', 'improvement', 'lines',' BUMN ',' Indihome ',' TELKOM ',' Indonesia ',' believe ',' enthusiasm ',' commitment ',' serve ',' Indonesia ',' IndiHome ',' Telkom ',' carry ',' progress', 'significant', 'technology', 'telecommunica', 'i"&amp;"nformation', 'people', 'Indonesia', 'spirit', ""]")</f>
        <v>['correction', 'error', 'improvement', 'lines',' BUMN ',' Indihome ',' TELKOM ',' Indonesia ',' believe ',' enthusiasm ',' commitment ',' serve ',' Indonesia ',' IndiHome ',' Telkom ',' carry ',' progress', 'significant', 'technology', 'telecommunica', 'information', 'people', 'Indonesia', 'spirit', "]</v>
      </c>
      <c r="D1281" s="3">
        <v>5.0</v>
      </c>
    </row>
    <row r="1282" ht="15.75" customHeight="1">
      <c r="A1282" s="1">
        <v>1342.0</v>
      </c>
      <c r="B1282" s="3" t="s">
        <v>1262</v>
      </c>
      <c r="C1282" s="3" t="str">
        <f>IFERROR(__xludf.DUMMYFUNCTION("GOOGLETRANSLATE(B1282,""id"",""en"")"),"['Feature', 'use', 'easy', 'easy', 'buy', 'package', 'Emank', 'confusing', 'mantep']")</f>
        <v>['Feature', 'use', 'easy', 'easy', 'buy', 'package', 'Emank', 'confusing', 'mantep']</v>
      </c>
      <c r="D1282" s="3">
        <v>5.0</v>
      </c>
    </row>
    <row r="1283" ht="15.75" customHeight="1">
      <c r="A1283" s="1">
        <v>1344.0</v>
      </c>
      <c r="B1283" s="3" t="s">
        <v>1263</v>
      </c>
      <c r="C1283" s="3" t="str">
        <f>IFERROR(__xludf.DUMMYFUNCTION("GOOGLETRANSLATE(B1283,""id"",""en"")"),"['service']")</f>
        <v>['service']</v>
      </c>
      <c r="D1283" s="3">
        <v>5.0</v>
      </c>
    </row>
    <row r="1284" ht="15.75" customHeight="1">
      <c r="A1284" s="1">
        <v>1345.0</v>
      </c>
      <c r="B1284" s="3" t="s">
        <v>1264</v>
      </c>
      <c r="C1284" s="3" t="str">
        <f>IFERROR(__xludf.DUMMYFUNCTION("GOOGLETRANSLATE(B1284,""id"",""en"")"),"['Application', 'best', 'complain', 'direct', 'responded', 'service', 'servicenya', 'fast', 'satisfying', 'city', '']")</f>
        <v>['Application', 'best', 'complain', 'direct', 'responded', 'service', 'servicenya', 'fast', 'satisfying', 'city', '']</v>
      </c>
      <c r="D1284" s="3">
        <v>5.0</v>
      </c>
    </row>
    <row r="1285" ht="15.75" customHeight="1">
      <c r="A1285" s="1">
        <v>1346.0</v>
      </c>
      <c r="B1285" s="3" t="s">
        <v>1265</v>
      </c>
      <c r="C1285" s="3" t="str">
        <f>IFERROR(__xludf.DUMMYFUNCTION("GOOGLETRANSLATE(B1285,""id"",""en"")"),"['confused', 'display', 'the application', 'changed', 'feature', 'additional', 'easy', 'control', 'use', 'indihome', 'mantul']")</f>
        <v>['confused', 'display', 'the application', 'changed', 'feature', 'additional', 'easy', 'control', 'use', 'indihome', 'mantul']</v>
      </c>
      <c r="D1285" s="3">
        <v>5.0</v>
      </c>
    </row>
    <row r="1286" ht="15.75" customHeight="1">
      <c r="A1286" s="1">
        <v>1347.0</v>
      </c>
      <c r="B1286" s="3" t="s">
        <v>1266</v>
      </c>
      <c r="C1286" s="3" t="str">
        <f>IFERROR(__xludf.DUMMYFUNCTION("GOOGLETRANSLATE(B1286,""id"",""en"")"),"['Kereeeen', 'Anyway', 'Indihome']")</f>
        <v>['Kereeeen', 'Anyway', 'Indihome']</v>
      </c>
      <c r="D1286" s="3">
        <v>5.0</v>
      </c>
    </row>
    <row r="1287" ht="15.75" customHeight="1">
      <c r="A1287" s="1">
        <v>1348.0</v>
      </c>
      <c r="B1287" s="3" t="s">
        <v>1267</v>
      </c>
      <c r="C1287" s="3" t="str">
        <f>IFERROR(__xludf.DUMMYFUNCTION("GOOGLETRANSLATE(B1287,""id"",""en"")"),"['making easier', 'check', 'payment', 'quota', 'used', 'update', 'promo', 'thank you', 'indohome']")</f>
        <v>['making easier', 'check', 'payment', 'quota', 'used', 'update', 'promo', 'thank you', 'indohome']</v>
      </c>
      <c r="D1287" s="3">
        <v>5.0</v>
      </c>
    </row>
    <row r="1288" ht="15.75" customHeight="1">
      <c r="A1288" s="1">
        <v>1349.0</v>
      </c>
      <c r="B1288" s="3" t="s">
        <v>1268</v>
      </c>
      <c r="C1288" s="3" t="str">
        <f>IFERROR(__xludf.DUMMYFUNCTION("GOOGLETRANSLATE(B1288,""id"",""en"")"),"['very cool']")</f>
        <v>['very cool']</v>
      </c>
      <c r="D1288" s="3">
        <v>5.0</v>
      </c>
    </row>
    <row r="1289" ht="15.75" customHeight="1">
      <c r="A1289" s="1">
        <v>1350.0</v>
      </c>
      <c r="B1289" s="3" t="s">
        <v>1269</v>
      </c>
      <c r="C1289" s="3" t="str">
        <f>IFERROR(__xludf.DUMMYFUNCTION("GOOGLETRANSLATE(B1289,""id"",""en"")"),"['App', 'Easy', 'Version', 'Upgrade', 'Sometimes', 'Logout', 'Logout', 'Please', 'Repaired', 'APP']")</f>
        <v>['App', 'Easy', 'Version', 'Upgrade', 'Sometimes', 'Logout', 'Logout', 'Please', 'Repaired', 'APP']</v>
      </c>
      <c r="D1289" s="3">
        <v>2.0</v>
      </c>
    </row>
    <row r="1290" ht="15.75" customHeight="1">
      <c r="A1290" s="1">
        <v>1351.0</v>
      </c>
      <c r="B1290" s="3" t="s">
        <v>1270</v>
      </c>
      <c r="C1290" s="3" t="str">
        <f>IFERROR(__xludf.DUMMYFUNCTION("GOOGLETRANSLATE(B1290,""id"",""en"")"),"['version', 'okay', 'really', 'tasty', 'looked', 'display', 'changed', 'total', 'easy', 'deficiency', 'application', 'loading', ' Overall ',' okay ']")</f>
        <v>['version', 'okay', 'really', 'tasty', 'looked', 'display', 'changed', 'total', 'easy', 'deficiency', 'application', 'loading', ' Overall ',' okay ']</v>
      </c>
      <c r="D1290" s="3">
        <v>5.0</v>
      </c>
    </row>
    <row r="1291" ht="15.75" customHeight="1">
      <c r="A1291" s="1">
        <v>1352.0</v>
      </c>
      <c r="B1291" s="3" t="s">
        <v>1271</v>
      </c>
      <c r="C1291" s="3" t="str">
        <f>IFERROR(__xludf.DUMMYFUNCTION("GOOGLETRANSLATE(B1291,""id"",""en"")"),"['application', 'good', 'slow', 'process', 'please', 'fix', '']")</f>
        <v>['application', 'good', 'slow', 'process', 'please', 'fix', '']</v>
      </c>
      <c r="D1291" s="3">
        <v>2.0</v>
      </c>
    </row>
    <row r="1292" ht="15.75" customHeight="1">
      <c r="A1292" s="1">
        <v>1353.0</v>
      </c>
      <c r="B1292" s="3" t="s">
        <v>1272</v>
      </c>
      <c r="C1292" s="3" t="str">
        <f>IFERROR(__xludf.DUMMYFUNCTION("GOOGLETRANSLATE(B1292,""id"",""en"")"),"['Suitable', 'Learning', 'Online', 'Pandemi', '']")</f>
        <v>['Suitable', 'Learning', 'Online', 'Pandemi', '']</v>
      </c>
      <c r="D1292" s="3">
        <v>5.0</v>
      </c>
    </row>
    <row r="1293" ht="15.75" customHeight="1">
      <c r="A1293" s="1">
        <v>1354.0</v>
      </c>
      <c r="B1293" s="3" t="s">
        <v>1273</v>
      </c>
      <c r="C1293" s="3" t="str">
        <f>IFERROR(__xludf.DUMMYFUNCTION("GOOGLETRANSLATE(B1293,""id"",""en"")"),"['recommended', 'deh']")</f>
        <v>['recommended', 'deh']</v>
      </c>
      <c r="D1293" s="3">
        <v>5.0</v>
      </c>
    </row>
    <row r="1294" ht="15.75" customHeight="1">
      <c r="A1294" s="1">
        <v>1355.0</v>
      </c>
      <c r="B1294" s="3" t="s">
        <v>1274</v>
      </c>
      <c r="C1294" s="3" t="str">
        <f>IFERROR(__xludf.DUMMYFUNCTION("GOOGLETRANSLATE(B1294,""id"",""en"")"),"['Display', 'good']")</f>
        <v>['Display', 'good']</v>
      </c>
      <c r="D1294" s="3">
        <v>5.0</v>
      </c>
    </row>
    <row r="1295" ht="15.75" customHeight="1">
      <c r="A1295" s="1">
        <v>1356.0</v>
      </c>
      <c r="B1295" s="3" t="s">
        <v>1275</v>
      </c>
      <c r="C1295" s="3" t="str">
        <f>IFERROR(__xludf.DUMMYFUNCTION("GOOGLETRANSLATE(B1295,""id"",""en"")"),"['easy', 'makes it easy']")</f>
        <v>['easy', 'makes it easy']</v>
      </c>
      <c r="D1295" s="3">
        <v>5.0</v>
      </c>
    </row>
    <row r="1296" ht="15.75" customHeight="1">
      <c r="A1296" s="1">
        <v>1358.0</v>
      </c>
      <c r="B1296" s="3" t="s">
        <v>1276</v>
      </c>
      <c r="C1296" s="3" t="str">
        <f>IFERROR(__xludf.DUMMYFUNCTION("GOOGLETRANSLATE(B1296,""id"",""en"")"),"['poor', 'service', 'Place', 'Operator', 'Mending', 'Indihome']")</f>
        <v>['poor', 'service', 'Place', 'Operator', 'Mending', 'Indihome']</v>
      </c>
      <c r="D1296" s="3">
        <v>1.0</v>
      </c>
    </row>
    <row r="1297" ht="15.75" customHeight="1">
      <c r="A1297" s="1">
        <v>1359.0</v>
      </c>
      <c r="B1297" s="3" t="s">
        <v>1277</v>
      </c>
      <c r="C1297" s="3" t="str">
        <f>IFERROR(__xludf.DUMMYFUNCTION("GOOGLETRANSLATE(B1297,""id"",""en"")"),"['Ironically', 'really', 'company', 'apps',' slow ',' waste ',' cons', 'productive', 'lose', 'shop', 'grocery', 'neighbor', ' Fucked ',' suggestion ',' Disband ',' Indeed ',' ']")</f>
        <v>['Ironically', 'really', 'company', 'apps',' slow ',' waste ',' cons', 'productive', 'lose', 'shop', 'grocery', 'neighbor', ' Fucked ',' suggestion ',' Disband ',' Indeed ',' ']</v>
      </c>
      <c r="D1297" s="3">
        <v>1.0</v>
      </c>
    </row>
    <row r="1298" ht="15.75" customHeight="1">
      <c r="A1298" s="1">
        <v>1360.0</v>
      </c>
      <c r="B1298" s="3" t="s">
        <v>1278</v>
      </c>
      <c r="C1298" s="3" t="str">
        <f>IFERROR(__xludf.DUMMYFUNCTION("GOOGLETRANSLATE(B1298,""id"",""en"")"),"['Token', 'sent', 'entered', 'already', 'expiration']")</f>
        <v>['Token', 'sent', 'entered', 'already', 'expiration']</v>
      </c>
      <c r="D1298" s="3">
        <v>3.0</v>
      </c>
    </row>
    <row r="1299" ht="15.75" customHeight="1">
      <c r="A1299" s="1">
        <v>1361.0</v>
      </c>
      <c r="B1299" s="3" t="s">
        <v>1279</v>
      </c>
      <c r="C1299" s="3" t="str">
        <f>IFERROR(__xludf.DUMMYFUNCTION("GOOGLETRANSLATE(B1299,""id"",""en"")"),"['Fix', 'connection', 'network', 'stable']")</f>
        <v>['Fix', 'connection', 'network', 'stable']</v>
      </c>
      <c r="D1299" s="3">
        <v>1.0</v>
      </c>
    </row>
    <row r="1300" ht="15.75" customHeight="1">
      <c r="A1300" s="1">
        <v>1362.0</v>
      </c>
      <c r="B1300" s="3" t="s">
        <v>1280</v>
      </c>
      <c r="C1300" s="3" t="str">
        <f>IFERROR(__xludf.DUMMYFUNCTION("GOOGLETRANSLATE(B1300,""id"",""en"")"),"['application', 'help', 'access', 'easy']")</f>
        <v>['application', 'help', 'access', 'easy']</v>
      </c>
      <c r="D1300" s="3">
        <v>5.0</v>
      </c>
    </row>
    <row r="1301" ht="15.75" customHeight="1">
      <c r="A1301" s="1">
        <v>1363.0</v>
      </c>
      <c r="B1301" s="3" t="s">
        <v>1281</v>
      </c>
      <c r="C1301" s="3" t="str">
        <f>IFERROR(__xludf.DUMMYFUNCTION("GOOGLETRANSLATE(B1301,""id"",""en"")"),"['Severe', 'Update', 'Good', 'Malahlemot', 'Ribet']")</f>
        <v>['Severe', 'Update', 'Good', 'Malahlemot', 'Ribet']</v>
      </c>
      <c r="D1301" s="3">
        <v>1.0</v>
      </c>
    </row>
    <row r="1302" ht="15.75" customHeight="1">
      <c r="A1302" s="1">
        <v>1364.0</v>
      </c>
      <c r="B1302" s="3" t="s">
        <v>1282</v>
      </c>
      <c r="C1302" s="3" t="str">
        <f>IFERROR(__xludf.DUMMYFUNCTION("GOOGLETRANSLATE(B1302,""id"",""en"")"),"['slow', 'loading']")</f>
        <v>['slow', 'loading']</v>
      </c>
      <c r="D1302" s="3">
        <v>3.0</v>
      </c>
    </row>
    <row r="1303" ht="15.75" customHeight="1">
      <c r="A1303" s="1">
        <v>1365.0</v>
      </c>
      <c r="B1303" s="3" t="s">
        <v>1283</v>
      </c>
      <c r="C1303" s="3" t="str">
        <f>IFERROR(__xludf.DUMMYFUNCTION("GOOGLETRANSLATE(B1303,""id"",""en"")"),"['Fast', 'response', 'handle', 'disorder']")</f>
        <v>['Fast', 'response', 'handle', 'disorder']</v>
      </c>
      <c r="D1303" s="3">
        <v>5.0</v>
      </c>
    </row>
    <row r="1304" ht="15.75" customHeight="1">
      <c r="A1304" s="1">
        <v>1366.0</v>
      </c>
      <c r="B1304" s="3" t="s">
        <v>1284</v>
      </c>
      <c r="C1304" s="3" t="str">
        <f>IFERROR(__xludf.DUMMYFUNCTION("GOOGLETRANSLATE(B1304,""id"",""en"")"),"['Complaint', 'Disruption', 'Easy', 'Via', 'APP']")</f>
        <v>['Complaint', 'Disruption', 'Easy', 'Via', 'APP']</v>
      </c>
      <c r="D1304" s="3">
        <v>5.0</v>
      </c>
    </row>
    <row r="1305" ht="15.75" customHeight="1">
      <c r="A1305" s="1">
        <v>1367.0</v>
      </c>
      <c r="B1305" s="3" t="s">
        <v>726</v>
      </c>
      <c r="C1305" s="3" t="str">
        <f>IFERROR(__xludf.DUMMYFUNCTION("GOOGLETRANSLATE(B1305,""id"",""en"")"),"['application', 'good']")</f>
        <v>['application', 'good']</v>
      </c>
      <c r="D1305" s="3">
        <v>5.0</v>
      </c>
    </row>
    <row r="1306" ht="15.75" customHeight="1">
      <c r="A1306" s="1">
        <v>1368.0</v>
      </c>
      <c r="B1306" s="3" t="s">
        <v>1285</v>
      </c>
      <c r="C1306" s="3" t="str">
        <f>IFERROR(__xludf.DUMMYFUNCTION("GOOGLETRANSLATE(B1306,""id"",""en"")"),"['Application', 'Pay', 'Bill', 'Monthly']")</f>
        <v>['Application', 'Pay', 'Bill', 'Monthly']</v>
      </c>
      <c r="D1306" s="3">
        <v>5.0</v>
      </c>
    </row>
    <row r="1307" ht="15.75" customHeight="1">
      <c r="A1307" s="1">
        <v>1369.0</v>
      </c>
      <c r="B1307" s="3" t="s">
        <v>1286</v>
      </c>
      <c r="C1307" s="3" t="str">
        <f>IFERROR(__xludf.DUMMYFUNCTION("GOOGLETRANSLATE(B1307,""id"",""en"")"),"['payment', 'easy', 'application', 'myindihome']")</f>
        <v>['payment', 'easy', 'application', 'myindihome']</v>
      </c>
      <c r="D1307" s="3">
        <v>5.0</v>
      </c>
    </row>
    <row r="1308" ht="15.75" customHeight="1">
      <c r="A1308" s="1">
        <v>1370.0</v>
      </c>
      <c r="B1308" s="3" t="s">
        <v>1287</v>
      </c>
      <c r="C1308" s="3" t="str">
        <f>IFERROR(__xludf.DUMMYFUNCTION("GOOGLETRANSLATE(B1308,""id"",""en"")"),"['Best', 'smooth', 'really', 'internet', 'Thanks']")</f>
        <v>['Best', 'smooth', 'really', 'internet', 'Thanks']</v>
      </c>
      <c r="D1308" s="3">
        <v>5.0</v>
      </c>
    </row>
    <row r="1309" ht="15.75" customHeight="1">
      <c r="A1309" s="1">
        <v>1371.0</v>
      </c>
      <c r="B1309" s="3" t="s">
        <v>1288</v>
      </c>
      <c r="C1309" s="3" t="str">
        <f>IFERROR(__xludf.DUMMYFUNCTION("GOOGLETRANSLATE(B1309,""id"",""en"")"),"['The application', 'easy']")</f>
        <v>['The application', 'easy']</v>
      </c>
      <c r="D1309" s="3">
        <v>5.0</v>
      </c>
    </row>
    <row r="1310" ht="15.75" customHeight="1">
      <c r="A1310" s="1">
        <v>1372.0</v>
      </c>
      <c r="B1310" s="3" t="s">
        <v>1289</v>
      </c>
      <c r="C1310" s="3" t="str">
        <f>IFERROR(__xludf.DUMMYFUNCTION("GOOGLETRANSLATE(B1310,""id"",""en"")"),"['thank', 'love', 'Indihome', 'internet', 'home', 'smooth', 'Jaya']")</f>
        <v>['thank', 'love', 'Indihome', 'internet', 'home', 'smooth', 'Jaya']</v>
      </c>
      <c r="D1310" s="3">
        <v>5.0</v>
      </c>
    </row>
    <row r="1311" ht="15.75" customHeight="1">
      <c r="A1311" s="1">
        <v>1373.0</v>
      </c>
      <c r="B1311" s="3" t="s">
        <v>1290</v>
      </c>
      <c r="C1311" s="3" t="str">
        <f>IFERROR(__xludf.DUMMYFUNCTION("GOOGLETRANSLATE(B1311,""id"",""en"")"),"['user', 'friendly', 'Iya', 'Fresh', 'Top', 'Notch', 'APP']")</f>
        <v>['user', 'friendly', 'Iya', 'Fresh', 'Top', 'Notch', 'APP']</v>
      </c>
      <c r="D1311" s="3">
        <v>5.0</v>
      </c>
    </row>
    <row r="1312" ht="15.75" customHeight="1">
      <c r="A1312" s="1">
        <v>1374.0</v>
      </c>
      <c r="B1312" s="3" t="s">
        <v>1291</v>
      </c>
      <c r="C1312" s="3" t="str">
        <f>IFERROR(__xludf.DUMMYFUNCTION("GOOGLETRANSLATE(B1312,""id"",""en"")"),"['application', 'mantab', 'smooth', 'features', 'useful']")</f>
        <v>['application', 'mantab', 'smooth', 'features', 'useful']</v>
      </c>
      <c r="D1312" s="3">
        <v>5.0</v>
      </c>
    </row>
    <row r="1313" ht="15.75" customHeight="1">
      <c r="A1313" s="1">
        <v>1375.0</v>
      </c>
      <c r="B1313" s="3" t="s">
        <v>1292</v>
      </c>
      <c r="C1313" s="3" t="str">
        <f>IFERROR(__xludf.DUMMYFUNCTION("GOOGLETRANSLATE(B1313,""id"",""en"")"),"['Application', 'Thanks', 'Indihome', 'Telkom']")</f>
        <v>['Application', 'Thanks', 'Indihome', 'Telkom']</v>
      </c>
      <c r="D1313" s="3">
        <v>5.0</v>
      </c>
    </row>
    <row r="1314" ht="15.75" customHeight="1">
      <c r="A1314" s="1">
        <v>1376.0</v>
      </c>
      <c r="B1314" s="3" t="s">
        <v>1293</v>
      </c>
      <c r="C1314" s="3" t="str">
        <f>IFERROR(__xludf.DUMMYFUNCTION("GOOGLETRANSLATE(B1314,""id"",""en"")"),"['Application', 'BUMN', 'Gini']")</f>
        <v>['Application', 'BUMN', 'Gini']</v>
      </c>
      <c r="D1314" s="3">
        <v>1.0</v>
      </c>
    </row>
    <row r="1315" ht="15.75" customHeight="1">
      <c r="A1315" s="1">
        <v>1377.0</v>
      </c>
      <c r="B1315" s="3" t="s">
        <v>1294</v>
      </c>
      <c r="C1315" s="3" t="str">
        <f>IFERROR(__xludf.DUMMYFUNCTION("GOOGLETRANSLATE(B1315,""id"",""en"")"),"['Login', 'Password', 'Salah', 'Until', 'Forgot', 'Password', 'Password', 'Salah', 'Please', 'Sorry', 'discomfort', 'Sis',' Belom ',' Bener ',' Update ',' Application ',' Reverse ',' Version ',' Thanks', ""]")</f>
        <v>['Login', 'Password', 'Salah', 'Until', 'Forgot', 'Password', 'Password', 'Salah', 'Please', 'Sorry', 'discomfort', 'Sis',' Belom ',' Bener ',' Update ',' Application ',' Reverse ',' Version ',' Thanks', "]</v>
      </c>
      <c r="D1315" s="3">
        <v>1.0</v>
      </c>
    </row>
    <row r="1316" ht="15.75" customHeight="1">
      <c r="A1316" s="1">
        <v>1378.0</v>
      </c>
      <c r="B1316" s="3" t="s">
        <v>1295</v>
      </c>
      <c r="C1316" s="3" t="str">
        <f>IFERROR(__xludf.DUMMYFUNCTION("GOOGLETRANSLATE(B1316,""id"",""en"")"),"['Application', 'Help', 'Hopefully', 'Features', 'Support']")</f>
        <v>['Application', 'Help', 'Hopefully', 'Features', 'Support']</v>
      </c>
      <c r="D1316" s="3">
        <v>5.0</v>
      </c>
    </row>
    <row r="1317" ht="15.75" customHeight="1">
      <c r="A1317" s="1">
        <v>1379.0</v>
      </c>
      <c r="B1317" s="3" t="s">
        <v>1296</v>
      </c>
      <c r="C1317" s="3" t="str">
        <f>IFERROR(__xludf.DUMMYFUNCTION("GOOGLETRANSLATE(B1317,""id"",""en"")"),"['Ape', 'ape', 'nie', 'yesterday', 'update', 'dizziness', 'version', 'lamak', 'bah']")</f>
        <v>['Ape', 'ape', 'nie', 'yesterday', 'update', 'dizziness', 'version', 'lamak', 'bah']</v>
      </c>
      <c r="D1317" s="3">
        <v>1.0</v>
      </c>
    </row>
    <row r="1318" ht="15.75" customHeight="1">
      <c r="A1318" s="1">
        <v>1380.0</v>
      </c>
      <c r="B1318" s="3" t="s">
        <v>1297</v>
      </c>
      <c r="C1318" s="3" t="str">
        <f>IFERROR(__xludf.DUMMYFUNCTION("GOOGLETRANSLATE(B1318,""id"",""en"")"),"['buagusss']")</f>
        <v>['buagusss']</v>
      </c>
      <c r="D1318" s="3">
        <v>5.0</v>
      </c>
    </row>
    <row r="1319" ht="15.75" customHeight="1">
      <c r="A1319" s="1">
        <v>1381.0</v>
      </c>
      <c r="B1319" s="3" t="s">
        <v>1298</v>
      </c>
      <c r="C1319" s="3" t="str">
        <f>IFERROR(__xludf.DUMMYFUNCTION("GOOGLETRANSLATE(B1319,""id"",""en"")"),"['update', 'Please', 'Sorry', 'Love', 'BUMN', 'Quality', 'Lose', 'Competitory', 'Products', 'Private']")</f>
        <v>['update', 'Please', 'Sorry', 'Love', 'BUMN', 'Quality', 'Lose', 'Competitory', 'Products', 'Private']</v>
      </c>
      <c r="D1319" s="3">
        <v>1.0</v>
      </c>
    </row>
    <row r="1320" ht="15.75" customHeight="1">
      <c r="A1320" s="1">
        <v>1382.0</v>
      </c>
      <c r="B1320" s="3" t="s">
        <v>596</v>
      </c>
      <c r="C1320" s="3" t="str">
        <f>IFERROR(__xludf.DUMMYFUNCTION("GOOGLETRANSLATE(B1320,""id"",""en"")"),"['enter']")</f>
        <v>['enter']</v>
      </c>
      <c r="D1320" s="3">
        <v>1.0</v>
      </c>
    </row>
    <row r="1321" ht="15.75" customHeight="1">
      <c r="A1321" s="1">
        <v>1383.0</v>
      </c>
      <c r="B1321" s="3" t="s">
        <v>1299</v>
      </c>
      <c r="C1321" s="3" t="str">
        <f>IFERROR(__xludf.DUMMYFUNCTION("GOOGLETRANSLATE(B1321,""id"",""en"")"),"['Update', 'Application', 'Enter', 'Processing', 'Slow', '']")</f>
        <v>['Update', 'Application', 'Enter', 'Processing', 'Slow', '']</v>
      </c>
      <c r="D1321" s="3">
        <v>1.0</v>
      </c>
    </row>
    <row r="1322" ht="15.75" customHeight="1">
      <c r="A1322" s="1">
        <v>1384.0</v>
      </c>
      <c r="B1322" s="3" t="s">
        <v>1300</v>
      </c>
      <c r="C1322" s="3" t="str">
        <f>IFERROR(__xludf.DUMMYFUNCTION("GOOGLETRANSLATE(B1322,""id"",""en"")"),"['difficult', 'enter', 'log', 'account', 'Please', 'Banti', 'enter']")</f>
        <v>['difficult', 'enter', 'log', 'account', 'Please', 'Banti', 'enter']</v>
      </c>
      <c r="D1322" s="3">
        <v>1.0</v>
      </c>
    </row>
    <row r="1323" ht="15.75" customHeight="1">
      <c r="A1323" s="1">
        <v>1386.0</v>
      </c>
      <c r="B1323" s="3" t="s">
        <v>1301</v>
      </c>
      <c r="C1323" s="3" t="str">
        <f>IFERROR(__xludf.DUMMYFUNCTION("GOOGLETRANSLATE(B1323,""id"",""en"")"),"['company', 'class',' BUMN ',' Application ',' Class', 'Teri', 'It's better', 'private', 'forward', 'Kasian', 'customer', 'difficulty', ' Check ',' Indihomen ']")</f>
        <v>['company', 'class',' BUMN ',' Application ',' Class', 'Teri', 'It's better', 'private', 'forward', 'Kasian', 'customer', 'difficulty', ' Check ',' Indihomen ']</v>
      </c>
      <c r="D1323" s="3">
        <v>1.0</v>
      </c>
    </row>
    <row r="1324" ht="15.75" customHeight="1">
      <c r="A1324" s="1">
        <v>1387.0</v>
      </c>
      <c r="B1324" s="3" t="s">
        <v>1302</v>
      </c>
      <c r="C1324" s="3" t="str">
        <f>IFERROR(__xludf.DUMMYFUNCTION("GOOGLETRANSLATE(B1324,""id"",""en"")"),"['APK', 'Useful', 'little', 'I', 'Pay', 'RB', 'per month', 'report', 'Gajelas',' Report ',' Where ',' Gabisa ',' Told ',' Download ',' Myindihome ',' Sosmed ',' Litu ',' ']")</f>
        <v>['APK', 'Useful', 'little', 'I', 'Pay', 'RB', 'per month', 'report', 'Gajelas',' Report ',' Where ',' Gabisa ',' Told ',' Download ',' Myindihome ',' Sosmed ',' Litu ',' ']</v>
      </c>
      <c r="D1324" s="3">
        <v>1.0</v>
      </c>
    </row>
    <row r="1325" ht="15.75" customHeight="1">
      <c r="A1325" s="1">
        <v>1388.0</v>
      </c>
      <c r="B1325" s="3" t="s">
        <v>1303</v>
      </c>
      <c r="C1325" s="3" t="str">
        <f>IFERROR(__xludf.DUMMYFUNCTION("GOOGLETRANSLATE(B1325,""id"",""en"")"),"['update', 'slow', 'open', 'application']")</f>
        <v>['update', 'slow', 'open', 'application']</v>
      </c>
      <c r="D1325" s="3">
        <v>1.0</v>
      </c>
    </row>
    <row r="1326" ht="15.75" customHeight="1">
      <c r="A1326" s="1">
        <v>1389.0</v>
      </c>
      <c r="B1326" s="3" t="s">
        <v>1304</v>
      </c>
      <c r="C1326" s="3" t="str">
        <f>IFERROR(__xludf.DUMMYFUNCTION("GOOGLETRANSLATE(B1326,""id"",""en"")"),"['Simple', '']")</f>
        <v>['Simple', '']</v>
      </c>
      <c r="D1326" s="3">
        <v>1.0</v>
      </c>
    </row>
    <row r="1327" ht="15.75" customHeight="1">
      <c r="A1327" s="1">
        <v>1390.0</v>
      </c>
      <c r="B1327" s="3" t="s">
        <v>1305</v>
      </c>
      <c r="C1327" s="3" t="str">
        <f>IFERROR(__xludf.DUMMYFUNCTION("GOOGLETRANSLATE(B1327,""id"",""en"")"),"['access',' APK ',' update ',' smooth ',' enter ',' update ',' enter ',' enter ',' password ',' email ',' call ',' wrong ',' List ',' email ',' registered ',' chaotic ',' indihome ']")</f>
        <v>['access',' APK ',' update ',' smooth ',' enter ',' update ',' enter ',' enter ',' password ',' email ',' call ',' wrong ',' List ',' email ',' registered ',' chaotic ',' indihome ']</v>
      </c>
      <c r="D1327" s="3">
        <v>1.0</v>
      </c>
    </row>
    <row r="1328" ht="15.75" customHeight="1">
      <c r="A1328" s="1">
        <v>1391.0</v>
      </c>
      <c r="B1328" s="3" t="s">
        <v>1306</v>
      </c>
      <c r="C1328" s="3" t="str">
        <f>IFERROR(__xludf.DUMMYFUNCTION("GOOGLETRANSLATE(B1328,""id"",""en"")"),"['login']")</f>
        <v>['login']</v>
      </c>
      <c r="D1328" s="3">
        <v>1.0</v>
      </c>
    </row>
    <row r="1329" ht="15.75" customHeight="1">
      <c r="A1329" s="1">
        <v>1392.0</v>
      </c>
      <c r="B1329" s="3" t="s">
        <v>1307</v>
      </c>
      <c r="C1329" s="3" t="str">
        <f>IFERROR(__xludf.DUMMYFUNCTION("GOOGLETRANSLATE(B1329,""id"",""en"")"),"['update', 'tan', 'the latest', 'severe', 'slow']")</f>
        <v>['update', 'tan', 'the latest', 'severe', 'slow']</v>
      </c>
      <c r="D1329" s="3">
        <v>1.0</v>
      </c>
    </row>
    <row r="1330" ht="15.75" customHeight="1">
      <c r="A1330" s="1">
        <v>1393.0</v>
      </c>
      <c r="B1330" s="3" t="s">
        <v>1308</v>
      </c>
      <c r="C1330" s="3" t="str">
        <f>IFERROR(__xludf.DUMMYFUNCTION("GOOGLETRANSLATE(B1330,""id"",""en"")"),"['Renew', 'Renew', 'Speed', 'Seblm', 'Update', 'Exam', 'Child', 'Child', 'Basic', 'Company', 'Plat', 'Red', ' corruption ',' Doang ',' Digedein ']")</f>
        <v>['Renew', 'Renew', 'Speed', 'Seblm', 'Update', 'Exam', 'Child', 'Child', 'Basic', 'Company', 'Plat', 'Red', ' corruption ',' Doang ',' Digedein ']</v>
      </c>
      <c r="D1330" s="3">
        <v>1.0</v>
      </c>
    </row>
    <row r="1331" ht="15.75" customHeight="1">
      <c r="A1331" s="1">
        <v>1394.0</v>
      </c>
      <c r="B1331" s="3" t="s">
        <v>1309</v>
      </c>
      <c r="C1331" s="3" t="str">
        <f>IFERROR(__xludf.DUMMYFUNCTION("GOOGLETRANSLATE(B1331,""id"",""en"")"),"['Please', 'Indihome', 'Nggk', 'Money', 'Package', 'MB', 'Held', '']")</f>
        <v>['Please', 'Indihome', 'Nggk', 'Money', 'Package', 'MB', 'Held', '']</v>
      </c>
      <c r="D1331" s="3">
        <v>1.0</v>
      </c>
    </row>
    <row r="1332" ht="15.75" customHeight="1">
      <c r="A1332" s="1">
        <v>1395.0</v>
      </c>
      <c r="B1332" s="3" t="s">
        <v>1310</v>
      </c>
      <c r="C1332" s="3" t="str">
        <f>IFERROR(__xludf.DUMMYFUNCTION("GOOGLETRANSLATE(B1332,""id"",""en"")"),"['Feature', 'complaint', 'Useful']")</f>
        <v>['Feature', 'complaint', 'Useful']</v>
      </c>
      <c r="D1332" s="3">
        <v>1.0</v>
      </c>
    </row>
    <row r="1333" ht="15.75" customHeight="1">
      <c r="A1333" s="1">
        <v>1396.0</v>
      </c>
      <c r="B1333" s="3" t="s">
        <v>1311</v>
      </c>
      <c r="C1333" s="3" t="str">
        <f>IFERROR(__xludf.DUMMYFUNCTION("GOOGLETRANSLATE(B1333,""id"",""en"")"),"['just', 'ngnifia', 'date', 'application', 'can', 'log', 'annoyed', 'NOP', 'enter', 'try']")</f>
        <v>['just', 'ngnifia', 'date', 'application', 'can', 'log', 'annoyed', 'NOP', 'enter', 'try']</v>
      </c>
      <c r="D1333" s="3">
        <v>1.0</v>
      </c>
    </row>
    <row r="1334" ht="15.75" customHeight="1">
      <c r="A1334" s="1">
        <v>1397.0</v>
      </c>
      <c r="B1334" s="3" t="s">
        <v>1312</v>
      </c>
      <c r="C1334" s="3" t="str">
        <f>IFERROR(__xludf.DUMMYFUNCTION("GOOGLETRANSLATE(B1334,""id"",""en"")"),"['application', 'muter', 'muter', 'service', 'bad', 'ticket', 'report', 'reasons',' gamas', 'connects',' application ',' BUMN ',' Services', 'Bad', '']")</f>
        <v>['application', 'muter', 'muter', 'service', 'bad', 'ticket', 'report', 'reasons',' gamas', 'connects',' application ',' BUMN ',' Services', 'Bad', '']</v>
      </c>
      <c r="D1334" s="3">
        <v>1.0</v>
      </c>
    </row>
    <row r="1335" ht="15.75" customHeight="1">
      <c r="A1335" s="1">
        <v>1398.0</v>
      </c>
      <c r="B1335" s="3" t="s">
        <v>1313</v>
      </c>
      <c r="C1335" s="3" t="str">
        <f>IFERROR(__xludf.DUMMYFUNCTION("GOOGLETRANSLATE(B1335,""id"",""en"")"),"['Display', 'Simple', 'Monitoring', 'Menu']")</f>
        <v>['Display', 'Simple', 'Monitoring', 'Menu']</v>
      </c>
      <c r="D1335" s="3">
        <v>5.0</v>
      </c>
    </row>
    <row r="1336" ht="15.75" customHeight="1">
      <c r="A1336" s="1">
        <v>1399.0</v>
      </c>
      <c r="B1336" s="3" t="s">
        <v>1314</v>
      </c>
      <c r="C1336" s="3" t="str">
        <f>IFERROR(__xludf.DUMMYFUNCTION("GOOGLETRANSLATE(B1336,""id"",""en"")"),"['What', 'check', 'user', 'wifi', 'indihome', 'application', 'kak', 'updated', 'skrng', 'already', 'update']")</f>
        <v>['What', 'check', 'user', 'wifi', 'indihome', 'application', 'kak', 'updated', 'skrng', 'already', 'update']</v>
      </c>
      <c r="D1336" s="3">
        <v>1.0</v>
      </c>
    </row>
    <row r="1337" ht="15.75" customHeight="1">
      <c r="A1337" s="1">
        <v>1400.0</v>
      </c>
      <c r="B1337" s="3" t="s">
        <v>1315</v>
      </c>
      <c r="C1337" s="3" t="str">
        <f>IFERROR(__xludf.DUMMYFUNCTION("GOOGLETRANSLATE(B1337,""id"",""en"")"),"['difficult', 'log', 'enter', 'otp', 'considered', 'wrong', 'code']")</f>
        <v>['difficult', 'log', 'enter', 'otp', 'considered', 'wrong', 'code']</v>
      </c>
      <c r="D1337" s="3">
        <v>1.0</v>
      </c>
    </row>
    <row r="1338" ht="15.75" customHeight="1">
      <c r="A1338" s="1">
        <v>1401.0</v>
      </c>
      <c r="B1338" s="3" t="s">
        <v>1316</v>
      </c>
      <c r="C1338" s="3" t="str">
        <f>IFERROR(__xludf.DUMMYFUNCTION("GOOGLETRANSLATE(B1338,""id"",""en"")"),"['God', 'really', 'application', 'Lola', 'Buange', 'Emotion', 'Discroll', 'Nidak', 'Daapa', 'Apain', 'patient', ""]")</f>
        <v>['God', 'really', 'application', 'Lola', 'Buange', 'Emotion', 'Discroll', 'Nidak', 'Daapa', 'Apain', 'patient', "]</v>
      </c>
      <c r="D1338" s="3">
        <v>1.0</v>
      </c>
    </row>
    <row r="1339" ht="15.75" customHeight="1">
      <c r="A1339" s="1">
        <v>1402.0</v>
      </c>
      <c r="B1339" s="3" t="s">
        <v>1317</v>
      </c>
      <c r="C1339" s="3" t="str">
        <f>IFERROR(__xludf.DUMMYFUNCTION("GOOGLETRANSLATE(B1339,""id"",""en"")"),"['knp', 'login', 'already', 'login', 'difficult', 'improvement', 'service', 'mulu', '']")</f>
        <v>['knp', 'login', 'already', 'login', 'difficult', 'improvement', 'service', 'mulu', '']</v>
      </c>
      <c r="D1339" s="3">
        <v>1.0</v>
      </c>
    </row>
    <row r="1340" ht="15.75" customHeight="1">
      <c r="A1340" s="1">
        <v>1403.0</v>
      </c>
      <c r="B1340" s="3" t="s">
        <v>1318</v>
      </c>
      <c r="C1340" s="3" t="str">
        <f>IFERROR(__xludf.DUMMYFUNCTION("GOOGLETRANSLATE(B1340,""id"",""en"")"),"['application', 'road', 'connection', 'server', 'bad', '']")</f>
        <v>['application', 'road', 'connection', 'server', 'bad', '']</v>
      </c>
      <c r="D1340" s="3">
        <v>1.0</v>
      </c>
    </row>
    <row r="1341" ht="15.75" customHeight="1">
      <c r="A1341" s="1">
        <v>1404.0</v>
      </c>
      <c r="B1341" s="3" t="s">
        <v>1319</v>
      </c>
      <c r="C1341" s="3" t="str">
        <f>IFERROR(__xludf.DUMMYFUNCTION("GOOGLETRANSLATE(B1341,""id"",""en"")"),"['Dilapidated', 'Application', 'Update', 'Good', 'Ancur', 'Season', 'WiFi', 'I', 'Uda', 'Weekly', 'GDA', 'Improvement', ' Uda ',' Report ',' ']")</f>
        <v>['Dilapidated', 'Application', 'Update', 'Good', 'Ancur', 'Season', 'WiFi', 'I', 'Uda', 'Weekly', 'GDA', 'Improvement', ' Uda ',' Report ',' ']</v>
      </c>
      <c r="D1341" s="3">
        <v>2.0</v>
      </c>
    </row>
    <row r="1342" ht="15.75" customHeight="1">
      <c r="A1342" s="1">
        <v>1405.0</v>
      </c>
      <c r="B1342" s="3" t="s">
        <v>1320</v>
      </c>
      <c r="C1342" s="3" t="str">
        <f>IFERROR(__xludf.DUMMYFUNCTION("GOOGLETRANSLATE(B1342,""id"",""en"")"),"['internet', 'error', 'app', 'complaint', 'help', 'may', 'complicated']")</f>
        <v>['internet', 'error', 'app', 'complaint', 'help', 'may', 'complicated']</v>
      </c>
      <c r="D1342" s="3">
        <v>1.0</v>
      </c>
    </row>
    <row r="1343" ht="15.75" customHeight="1">
      <c r="A1343" s="1">
        <v>1406.0</v>
      </c>
      <c r="B1343" s="3" t="s">
        <v>1321</v>
      </c>
      <c r="C1343" s="3" t="str">
        <f>IFERROR(__xludf.DUMMYFUNCTION("GOOGLETRANSLATE(B1343,""id"",""en"")"),"['Please', 'Fix', 'Broken', 'Application', 'Bug', 'Application', 'Application', 'Increases', 'Bug', 'Application', 'Function', 'Service']")</f>
        <v>['Please', 'Fix', 'Broken', 'Application', 'Bug', 'Application', 'Application', 'Increases', 'Bug', 'Application', 'Function', 'Service']</v>
      </c>
      <c r="D1343" s="3">
        <v>1.0</v>
      </c>
    </row>
    <row r="1344" ht="15.75" customHeight="1">
      <c r="A1344" s="1">
        <v>1407.0</v>
      </c>
      <c r="B1344" s="3" t="s">
        <v>1322</v>
      </c>
      <c r="C1344" s="3" t="str">
        <f>IFERROR(__xludf.DUMMYFUNCTION("GOOGLETRANSLATE(B1344,""id"",""en"")"),"['APK', 'Logout', 'Login', 'Email', 'Registered', 'Update', 'APK', 'Please', 'Complete', 'Kayak', 'Gini', 'Disturbing', ' Activities ',' comfortable ',' community ',' Mending ',' Pakek ',' APK ',' Please ',' As soon as possible, 'Complete', 'renewal', 'ap"&amp;"k', 'boskuh', 'oath' , 'annoying', 'really', '']")</f>
        <v>['APK', 'Logout', 'Login', 'Email', 'Registered', 'Update', 'APK', 'Please', 'Complete', 'Kayak', 'Gini', 'Disturbing', ' Activities ',' comfortable ',' community ',' Mending ',' Pakek ',' APK ',' Please ',' As soon as possible, 'Complete', 'renewal', 'apk', 'boskuh', 'oath' , 'annoying', 'really', '']</v>
      </c>
      <c r="D1344" s="3">
        <v>1.0</v>
      </c>
    </row>
    <row r="1345" ht="15.75" customHeight="1">
      <c r="A1345" s="1">
        <v>1408.0</v>
      </c>
      <c r="B1345" s="3" t="s">
        <v>1323</v>
      </c>
      <c r="C1345" s="3" t="str">
        <f>IFERROR(__xludf.DUMMYFUNCTION("GOOGLETRANSLATE(B1345,""id"",""en"")"),"['Findeficients', 'Ribet', 'Loading', 'users', 'user', 'make']")</f>
        <v>['Findeficients', 'Ribet', 'Loading', 'users', 'user', 'make']</v>
      </c>
      <c r="D1345" s="3">
        <v>1.0</v>
      </c>
    </row>
    <row r="1346" ht="15.75" customHeight="1">
      <c r="A1346" s="1">
        <v>1409.0</v>
      </c>
      <c r="B1346" s="3" t="s">
        <v>1324</v>
      </c>
      <c r="C1346" s="3" t="str">
        <f>IFERROR(__xludf.DUMMYFUNCTION("GOOGLETRANSLATE(B1346,""id"",""en"")"),"['Severe' 'update', 'network', 'smooth', 'WKTU', 'open', 'application', 'myindihome', 'page', 'appear', 'different', 'update', ' Ouch ',' Severe ',' ']")</f>
        <v>['Severe' 'update', 'network', 'smooth', 'WKTU', 'open', 'application', 'myindihome', 'page', 'appear', 'different', 'update', ' Ouch ',' Severe ',' ']</v>
      </c>
      <c r="D1346" s="3">
        <v>1.0</v>
      </c>
    </row>
    <row r="1347" ht="15.75" customHeight="1">
      <c r="A1347" s="1">
        <v>1410.0</v>
      </c>
      <c r="B1347" s="3" t="s">
        <v>1325</v>
      </c>
      <c r="C1347" s="3" t="str">
        <f>IFERROR(__xludf.DUMMYFUNCTION("GOOGLETRANSLATE(B1347,""id"",""en"")"),"['Looking up', '']")</f>
        <v>['Looking up', '']</v>
      </c>
      <c r="D1347" s="3">
        <v>1.0</v>
      </c>
    </row>
    <row r="1348" ht="15.75" customHeight="1">
      <c r="A1348" s="1">
        <v>1411.0</v>
      </c>
      <c r="B1348" s="3" t="s">
        <v>1306</v>
      </c>
      <c r="C1348" s="3" t="str">
        <f>IFERROR(__xludf.DUMMYFUNCTION("GOOGLETRANSLATE(B1348,""id"",""en"")"),"['login']")</f>
        <v>['login']</v>
      </c>
      <c r="D1348" s="3">
        <v>1.0</v>
      </c>
    </row>
    <row r="1349" ht="15.75" customHeight="1">
      <c r="A1349" s="1">
        <v>1412.0</v>
      </c>
      <c r="B1349" s="3" t="s">
        <v>1326</v>
      </c>
      <c r="C1349" s="3" t="str">
        <f>IFERROR(__xludf.DUMMYFUNCTION("GOOGLETRANSLATE(B1349,""id"",""en"")"),"['Pay', 'Nov', 'Function', 'Internet', 'Date', 'Nov', 'Hedehh', 'Open', 'App', 'Indihome', 'Update', 'SMS', ' Pay ',' Samsek ',' Internet ',' Haw ',' Hopefully ',' Fix ',' Systemnya ',' Wrong ',' Understand ']")</f>
        <v>['Pay', 'Nov', 'Function', 'Internet', 'Date', 'Nov', 'Hedehh', 'Open', 'App', 'Indihome', 'Update', 'SMS', ' Pay ',' Samsek ',' Internet ',' Haw ',' Hopefully ',' Fix ',' Systemnya ',' Wrong ',' Understand ']</v>
      </c>
      <c r="D1349" s="3">
        <v>2.0</v>
      </c>
    </row>
    <row r="1350" ht="15.75" customHeight="1">
      <c r="A1350" s="1">
        <v>1413.0</v>
      </c>
      <c r="B1350" s="3" t="s">
        <v>1327</v>
      </c>
      <c r="C1350" s="3" t="str">
        <f>IFERROR(__xludf.DUMMYFUNCTION("GOOGLETRANSLATE(B1350,""id"",""en"")"),"['Love', 'Star', 'Application', 'Update', 'Loading', 'Open', 'YouTube', 'Current', 'Heaven', 'Severe']")</f>
        <v>['Love', 'Star', 'Application', 'Update', 'Loading', 'Open', 'YouTube', 'Current', 'Heaven', 'Severe']</v>
      </c>
      <c r="D1350" s="3">
        <v>1.0</v>
      </c>
    </row>
    <row r="1351" ht="15.75" customHeight="1">
      <c r="A1351" s="1">
        <v>1414.0</v>
      </c>
      <c r="B1351" s="3" t="s">
        <v>1328</v>
      </c>
      <c r="C1351" s="3" t="str">
        <f>IFERROR(__xludf.DUMMYFUNCTION("GOOGLETRANSLATE(B1351,""id"",""en"")"),"['Good', 'get', 'how', 'wkwkwk', 'myindihome', 'slow', 'loading']")</f>
        <v>['Good', 'get', 'how', 'wkwkwk', 'myindihome', 'slow', 'loading']</v>
      </c>
      <c r="D1351" s="3">
        <v>5.0</v>
      </c>
    </row>
    <row r="1352" ht="15.75" customHeight="1">
      <c r="A1352" s="1">
        <v>1415.0</v>
      </c>
      <c r="B1352" s="3" t="s">
        <v>1329</v>
      </c>
      <c r="C1352" s="3" t="str">
        <f>IFERROR(__xludf.DUMMYFUNCTION("GOOGLETRANSLATE(B1352,""id"",""en"")"),"['APK', 'slow']")</f>
        <v>['APK', 'slow']</v>
      </c>
      <c r="D1352" s="3">
        <v>1.0</v>
      </c>
    </row>
    <row r="1353" ht="15.75" customHeight="1">
      <c r="A1353" s="1">
        <v>1416.0</v>
      </c>
      <c r="B1353" s="3" t="s">
        <v>1330</v>
      </c>
      <c r="C1353" s="3" t="str">
        <f>IFERROR(__xludf.DUMMYFUNCTION("GOOGLETRANSLATE(B1353,""id"",""en"")"),"['application', 'slow', 'shy', 'shy', 'no', 'reflects', 'name', 'company', 'application', 'offline', 'fast', '']")</f>
        <v>['application', 'slow', 'shy', 'shy', 'no', 'reflects', 'name', 'company', 'application', 'offline', 'fast', '']</v>
      </c>
      <c r="D1353" s="3">
        <v>1.0</v>
      </c>
    </row>
    <row r="1354" ht="15.75" customHeight="1">
      <c r="A1354" s="1">
        <v>1417.0</v>
      </c>
      <c r="B1354" s="3" t="s">
        <v>1331</v>
      </c>
      <c r="C1354" s="3" t="str">
        <f>IFERROR(__xludf.DUMMYFUNCTION("GOOGLETRANSLATE(B1354,""id"",""en"")"),"['APK', 'already', 'account', 'login', 'kagak', 'say it', 'account', 'belom', 'registered', 'halah', 'halah', 'kecaya', ' ']")</f>
        <v>['APK', 'already', 'account', 'login', 'kagak', 'say it', 'account', 'belom', 'registered', 'halah', 'halah', 'kecaya', ' ']</v>
      </c>
      <c r="D1354" s="3">
        <v>1.0</v>
      </c>
    </row>
    <row r="1355" ht="15.75" customHeight="1">
      <c r="A1355" s="1">
        <v>1418.0</v>
      </c>
      <c r="B1355" s="3" t="s">
        <v>1332</v>
      </c>
      <c r="C1355" s="3" t="str">
        <f>IFERROR(__xludf.DUMMYFUNCTION("GOOGLETRANSLATE(B1355,""id"",""en"")"),"['', 'Download', 'difficult', 'enter', 'number', 'verification', 'token', 'enter', 'input', 'second', 'recovery', 'complicated', 'application ',' Ujung ',' call ']")</f>
        <v>['', 'Download', 'difficult', 'enter', 'number', 'verification', 'token', 'enter', 'input', 'second', 'recovery', 'complicated', 'application ',' Ujung ',' call ']</v>
      </c>
      <c r="D1355" s="3">
        <v>1.0</v>
      </c>
    </row>
    <row r="1356" ht="15.75" customHeight="1">
      <c r="A1356" s="1">
        <v>1419.0</v>
      </c>
      <c r="B1356" s="3" t="s">
        <v>1333</v>
      </c>
      <c r="C1356" s="3" t="str">
        <f>IFERROR(__xludf.DUMMYFUNCTION("GOOGLETRANSLATE(B1356,""id"",""en"")"),"['rating', 'poor', 'belongs',' state ',' chaotic ',' what ',' tib ',' dead ',' rates', 'different', 'different', 'huft', ' ']")</f>
        <v>['rating', 'poor', 'belongs',' state ',' chaotic ',' what ',' tib ',' dead ',' rates', 'different', 'different', 'huft', ' ']</v>
      </c>
      <c r="D1356" s="3">
        <v>1.0</v>
      </c>
    </row>
    <row r="1357" ht="15.75" customHeight="1">
      <c r="A1357" s="1">
        <v>1420.0</v>
      </c>
      <c r="B1357" s="3" t="s">
        <v>1334</v>
      </c>
      <c r="C1357" s="3" t="str">
        <f>IFERROR(__xludf.DUMMYFUNCTION("GOOGLETRANSLATE(B1357,""id"",""en"")"),"['Pay', 'smooth', 'internet', 'nyensat', ""]")</f>
        <v>['Pay', 'smooth', 'internet', 'nyensat', "]</v>
      </c>
      <c r="D1357" s="3">
        <v>1.0</v>
      </c>
    </row>
    <row r="1358" ht="15.75" customHeight="1">
      <c r="A1358" s="1">
        <v>1421.0</v>
      </c>
      <c r="B1358" s="3" t="s">
        <v>1335</v>
      </c>
      <c r="C1358" s="3" t="str">
        <f>IFERROR(__xludf.DUMMYFUNCTION("GOOGLETRANSLATE(B1358,""id"",""en"")"),"['Eeh', 'Sontoloyo', 'Network', 'Karbitan', 'expensive', 'TPI', 'Quality', 'awake']")</f>
        <v>['Eeh', 'Sontoloyo', 'Network', 'Karbitan', 'expensive', 'TPI', 'Quality', 'awake']</v>
      </c>
      <c r="D1358" s="3">
        <v>1.0</v>
      </c>
    </row>
    <row r="1359" ht="15.75" customHeight="1">
      <c r="A1359" s="1">
        <v>1422.0</v>
      </c>
      <c r="B1359" s="3" t="s">
        <v>1336</v>
      </c>
      <c r="C1359" s="3" t="str">
        <f>IFERROR(__xludf.DUMMYFUNCTION("GOOGLETRANSLATE(B1359,""id"",""en"")"),"['Application', 'Indihome', 'Helping', 'Features',' Features', 'Furniture', 'Information', 'Indihome', 'Promo', 'Interesting', 'Enjoyed', 'Subscribe', ' Indihome ',' Wrong ',' smpe ',' skrng ',' service ',' satisfying ',' complaint ',' disorder ',' servic"&amp;"e ',' check ',' bill ',' lbih ',' easy ' , 'thank', 'ksih', 'service', 'indihome', '']")</f>
        <v>['Application', 'Indihome', 'Helping', 'Features',' Features', 'Furniture', 'Information', 'Indihome', 'Promo', 'Interesting', 'Enjoyed', 'Subscribe', ' Indihome ',' Wrong ',' smpe ',' skrng ',' service ',' satisfying ',' complaint ',' disorder ',' service ',' check ',' bill ',' lbih ',' easy ' , 'thank', 'ksih', 'service', 'indihome', '']</v>
      </c>
      <c r="D1359" s="3">
        <v>5.0</v>
      </c>
    </row>
    <row r="1360" ht="15.75" customHeight="1">
      <c r="A1360" s="1">
        <v>1424.0</v>
      </c>
      <c r="B1360" s="3" t="s">
        <v>1337</v>
      </c>
      <c r="C1360" s="3" t="str">
        <f>IFERROR(__xludf.DUMMYFUNCTION("GOOGLETRANSLATE(B1360,""id"",""en"")"),"['Download', 'Ntar', 'Raying']")</f>
        <v>['Download', 'Ntar', 'Raying']</v>
      </c>
      <c r="D1360" s="3">
        <v>1.0</v>
      </c>
    </row>
    <row r="1361" ht="15.75" customHeight="1">
      <c r="A1361" s="1">
        <v>1425.0</v>
      </c>
      <c r="B1361" s="3" t="s">
        <v>1338</v>
      </c>
      <c r="C1361" s="3" t="str">
        <f>IFERROR(__xludf.DUMMYFUNCTION("GOOGLETRANSLATE(B1361,""id"",""en"")"),"['RUWET', 'KEK', 'GINI', 'APK', 'Mending', 'UPGRET', 'AJIAH', 'DARAPDA', 'ugly']")</f>
        <v>['RUWET', 'KEK', 'GINI', 'APK', 'Mending', 'UPGRET', 'AJIAH', 'DARAPDA', 'ugly']</v>
      </c>
      <c r="D1361" s="3">
        <v>1.0</v>
      </c>
    </row>
    <row r="1362" ht="15.75" customHeight="1">
      <c r="A1362" s="1">
        <v>1426.0</v>
      </c>
      <c r="B1362" s="3" t="s">
        <v>1339</v>
      </c>
      <c r="C1362" s="3" t="str">
        <f>IFERROR(__xludf.DUMMYFUNCTION("GOOGLETRANSLATE(B1362,""id"",""en"")"),"['', 'not found']")</f>
        <v>['', 'not found']</v>
      </c>
      <c r="D1362" s="3">
        <v>1.0</v>
      </c>
    </row>
    <row r="1363" ht="15.75" customHeight="1">
      <c r="A1363" s="1">
        <v>1428.0</v>
      </c>
      <c r="B1363" s="3" t="s">
        <v>1340</v>
      </c>
      <c r="C1363" s="3" t="str">
        <f>IFERROR(__xludf.DUMMYFUNCTION("GOOGLETRANSLATE(B1363,""id"",""en"")"),"['APAN', 'Login', 'Please', 'Sorry', 'Kinging', 'Service', 'How', 'Jda', 'Hadeh']")</f>
        <v>['APAN', 'Login', 'Please', 'Sorry', 'Kinging', 'Service', 'How', 'Jda', 'Hadeh']</v>
      </c>
      <c r="D1363" s="3">
        <v>1.0</v>
      </c>
    </row>
    <row r="1364" ht="15.75" customHeight="1">
      <c r="A1364" s="1">
        <v>1429.0</v>
      </c>
      <c r="B1364" s="3" t="s">
        <v>1341</v>
      </c>
      <c r="C1364" s="3" t="str">
        <f>IFERROR(__xludf.DUMMYFUNCTION("GOOGLETRANSLATE(B1364,""id"",""en"")"),"['Leet', 'update', 'good', 'application', 'destroyed']")</f>
        <v>['Leet', 'update', 'good', 'application', 'destroyed']</v>
      </c>
      <c r="D1364" s="3">
        <v>1.0</v>
      </c>
    </row>
    <row r="1365" ht="15.75" customHeight="1">
      <c r="A1365" s="1">
        <v>1430.0</v>
      </c>
      <c r="B1365" s="3" t="s">
        <v>1342</v>
      </c>
      <c r="C1365" s="3" t="str">
        <f>IFERROR(__xludf.DUMMYFUNCTION("GOOGLETRANSLATE(B1365,""id"",""en"")"),"['Apliment', 'Myindihome', 'the latest', 'makes it easy', 'users', 'features', 'additional', 'makes it easy', 'delicious', '']")</f>
        <v>['Apliment', 'Myindihome', 'the latest', 'makes it easy', 'users', 'features', 'additional', 'makes it easy', 'delicious', '']</v>
      </c>
      <c r="D1365" s="3">
        <v>5.0</v>
      </c>
    </row>
    <row r="1366" ht="15.75" customHeight="1">
      <c r="A1366" s="1">
        <v>1431.0</v>
      </c>
      <c r="B1366" s="3" t="s">
        <v>1343</v>
      </c>
      <c r="C1366" s="3" t="str">
        <f>IFERROR(__xludf.DUMMYFUNCTION("GOOGLETRANSLATE(B1366,""id"",""en"")"),"['Helpful', 'thank you']")</f>
        <v>['Helpful', 'thank you']</v>
      </c>
      <c r="D1366" s="3">
        <v>5.0</v>
      </c>
    </row>
    <row r="1367" ht="15.75" customHeight="1">
      <c r="A1367" s="1">
        <v>1434.0</v>
      </c>
      <c r="B1367" s="3" t="s">
        <v>1344</v>
      </c>
      <c r="C1367" s="3" t="str">
        <f>IFERROR(__xludf.DUMMYFUNCTION("GOOGLETRANSLATE(B1367,""id"",""en"")"),"['', 'update', 'the latest', 'pulp', '']")</f>
        <v>['', 'update', 'the latest', 'pulp', '']</v>
      </c>
      <c r="D1367" s="3">
        <v>1.0</v>
      </c>
    </row>
    <row r="1368" ht="15.75" customHeight="1">
      <c r="A1368" s="1">
        <v>1435.0</v>
      </c>
      <c r="B1368" s="3" t="s">
        <v>1345</v>
      </c>
      <c r="C1368" s="3" t="str">
        <f>IFERROR(__xludf.DUMMYFUNCTION("GOOGLETRANSLATE(B1368,""id"",""en"")"),"['Please', 'Evaluated', 'Update', 'The Application', 'Difficult', 'Opened']")</f>
        <v>['Please', 'Evaluated', 'Update', 'The Application', 'Difficult', 'Opened']</v>
      </c>
      <c r="D1368" s="3">
        <v>2.0</v>
      </c>
    </row>
    <row r="1369" ht="15.75" customHeight="1">
      <c r="A1369" s="1">
        <v>1436.0</v>
      </c>
      <c r="B1369" s="3" t="s">
        <v>1346</v>
      </c>
      <c r="C1369" s="3" t="str">
        <f>IFERROR(__xludf.DUMMYFUNCTION("GOOGLETRANSLATE(B1369,""id"",""en"")"),"['BUMN', 'App', 'Lost', 'Private', 'Managed', 'A few a few', 'people']")</f>
        <v>['BUMN', 'App', 'Lost', 'Private', 'Managed', 'A few a few', 'people']</v>
      </c>
      <c r="D1369" s="3">
        <v>1.0</v>
      </c>
    </row>
    <row r="1370" ht="15.75" customHeight="1">
      <c r="A1370" s="1">
        <v>1437.0</v>
      </c>
      <c r="B1370" s="3" t="s">
        <v>1347</v>
      </c>
      <c r="C1370" s="3" t="str">
        <f>IFERROR(__xludf.DUMMYFUNCTION("GOOGLETRANSLATE(B1370,""id"",""en"")"),"['cool']")</f>
        <v>['cool']</v>
      </c>
      <c r="D1370" s="3">
        <v>5.0</v>
      </c>
    </row>
    <row r="1371" ht="15.75" customHeight="1">
      <c r="A1371" s="1">
        <v>1438.0</v>
      </c>
      <c r="B1371" s="3" t="s">
        <v>1348</v>
      </c>
      <c r="C1371" s="3" t="str">
        <f>IFERROR(__xludf.DUMMYFUNCTION("GOOGLETRANSLATE(B1371,""id"",""en"")"),"['Pusinh']")</f>
        <v>['Pusinh']</v>
      </c>
      <c r="D1371" s="3">
        <v>1.0</v>
      </c>
    </row>
    <row r="1372" ht="15.75" customHeight="1">
      <c r="A1372" s="1">
        <v>1439.0</v>
      </c>
      <c r="B1372" s="3" t="s">
        <v>1349</v>
      </c>
      <c r="C1372" s="3" t="str">
        <f>IFERROR(__xludf.DUMMYFUNCTION("GOOGLETRANSLATE(B1372,""id"",""en"")"),"['subscribe', 'INDIHOME', 'Alhamdulillah', 'Safe', 'Safe', 'Technology', 'Motion', 'Fast', 'Success',' then ',' UNT ',' INDIHOME ',' Hopefully ',' promo ',' ']")</f>
        <v>['subscribe', 'INDIHOME', 'Alhamdulillah', 'Safe', 'Safe', 'Technology', 'Motion', 'Fast', 'Success',' then ',' UNT ',' INDIHOME ',' Hopefully ',' promo ',' ']</v>
      </c>
      <c r="D1372" s="3">
        <v>5.0</v>
      </c>
    </row>
    <row r="1373" ht="15.75" customHeight="1">
      <c r="A1373" s="1">
        <v>1440.0</v>
      </c>
      <c r="B1373" s="3" t="s">
        <v>1350</v>
      </c>
      <c r="C1373" s="3" t="str">
        <f>IFERROR(__xludf.DUMMYFUNCTION("GOOGLETRANSLATE(B1373,""id"",""en"")"),"['', 'Far', 'good']")</f>
        <v>['', 'Far', 'good']</v>
      </c>
      <c r="D1373" s="3">
        <v>5.0</v>
      </c>
    </row>
    <row r="1374" ht="15.75" customHeight="1">
      <c r="A1374" s="1">
        <v>1441.0</v>
      </c>
      <c r="B1374" s="3" t="s">
        <v>1351</v>
      </c>
      <c r="C1374" s="3" t="str">
        <f>IFERROR(__xludf.DUMMYFUNCTION("GOOGLETRANSLATE(B1374,""id"",""en"")"),"['Network', 'APK', 'BURIK']")</f>
        <v>['Network', 'APK', 'BURIK']</v>
      </c>
      <c r="D1374" s="3">
        <v>1.0</v>
      </c>
    </row>
    <row r="1375" ht="15.75" customHeight="1">
      <c r="A1375" s="1">
        <v>1442.0</v>
      </c>
      <c r="B1375" s="3" t="s">
        <v>1352</v>
      </c>
      <c r="C1375" s="3" t="str">
        <f>IFERROR(__xludf.DUMMYFUNCTION("GOOGLETRANSLATE(B1375,""id"",""en"")"),"['regret', 'update', 'dizziness', 'easily', 'test', 'patience', ""]")</f>
        <v>['regret', 'update', 'dizziness', 'easily', 'test', 'patience', "]</v>
      </c>
      <c r="D1375" s="3">
        <v>1.0</v>
      </c>
    </row>
    <row r="1376" ht="15.75" customHeight="1">
      <c r="A1376" s="1">
        <v>1443.0</v>
      </c>
      <c r="B1376" s="3" t="s">
        <v>1353</v>
      </c>
      <c r="C1376" s="3" t="str">
        <f>IFERROR(__xludf.DUMMYFUNCTION("GOOGLETRANSLATE(B1376,""id"",""en"")"),"['Rating']")</f>
        <v>['Rating']</v>
      </c>
      <c r="D1376" s="3">
        <v>5.0</v>
      </c>
    </row>
    <row r="1377" ht="15.75" customHeight="1">
      <c r="A1377" s="1">
        <v>1444.0</v>
      </c>
      <c r="B1377" s="3" t="s">
        <v>1354</v>
      </c>
      <c r="C1377" s="3" t="str">
        <f>IFERROR(__xludf.DUMMYFUNCTION("GOOGLETRANSLATE(B1377,""id"",""en"")"),"['steady', 'application', '']")</f>
        <v>['steady', 'application', '']</v>
      </c>
      <c r="D1377" s="3">
        <v>5.0</v>
      </c>
    </row>
    <row r="1378" ht="15.75" customHeight="1">
      <c r="A1378" s="1">
        <v>1445.0</v>
      </c>
      <c r="B1378" s="3" t="s">
        <v>1355</v>
      </c>
      <c r="C1378" s="3" t="str">
        <f>IFERROR(__xludf.DUMMYFUNCTION("GOOGLETRANSLATE(B1378,""id"",""en"")"),"['The network', 'smooth']")</f>
        <v>['The network', 'smooth']</v>
      </c>
      <c r="D1378" s="3">
        <v>5.0</v>
      </c>
    </row>
    <row r="1379" ht="15.75" customHeight="1">
      <c r="A1379" s="1">
        <v>1446.0</v>
      </c>
      <c r="B1379" s="3" t="s">
        <v>1356</v>
      </c>
      <c r="C1379" s="3" t="str">
        <f>IFERROR(__xludf.DUMMYFUNCTION("GOOGLETRANSLATE(B1379,""id"",""en"")"),"['Sad', 'IndihIhome', 'Looks', 'BBR', 'In the future', 'Stop', 'subscription', 'it seems']")</f>
        <v>['Sad', 'IndihIhome', 'Looks', 'BBR', 'In the future', 'Stop', 'subscription', 'it seems']</v>
      </c>
      <c r="D1379" s="3">
        <v>2.0</v>
      </c>
    </row>
    <row r="1380" ht="15.75" customHeight="1">
      <c r="A1380" s="1">
        <v>1447.0</v>
      </c>
      <c r="B1380" s="3" t="s">
        <v>1357</v>
      </c>
      <c r="C1380" s="3" t="str">
        <f>IFERROR(__xludf.DUMMYFUNCTION("GOOGLETRANSLATE(B1380,""id"",""en"")"),"['Alhamdulillah', 'subscribe', 'Indihome', 'LBH', 'Easy', 'Sell', 'Current', 'Child', 'Learning', 'Thank you', 'Indihome', ""]")</f>
        <v>['Alhamdulillah', 'subscribe', 'Indihome', 'LBH', 'Easy', 'Sell', 'Current', 'Child', 'Learning', 'Thank you', 'Indihome', "]</v>
      </c>
      <c r="D1380" s="3">
        <v>5.0</v>
      </c>
    </row>
    <row r="1381" ht="15.75" customHeight="1">
      <c r="A1381" s="1">
        <v>1448.0</v>
      </c>
      <c r="B1381" s="3" t="s">
        <v>1358</v>
      </c>
      <c r="C1381" s="3" t="str">
        <f>IFERROR(__xludf.DUMMYFUNCTION("GOOGLETRANSLATE(B1381,""id"",""en"")"),"['Use', 'Indihome', 'Satisfied', 'Disruption', 'Direct', 'handled', 'Good', 'Job']")</f>
        <v>['Use', 'Indihome', 'Satisfied', 'Disruption', 'Direct', 'handled', 'Good', 'Job']</v>
      </c>
      <c r="D1381" s="3">
        <v>5.0</v>
      </c>
    </row>
    <row r="1382" ht="15.75" customHeight="1">
      <c r="A1382" s="1">
        <v>1449.0</v>
      </c>
      <c r="B1382" s="3" t="s">
        <v>1359</v>
      </c>
      <c r="C1382" s="3" t="str">
        <f>IFERROR(__xludf.DUMMYFUNCTION("GOOGLETRANSLATE(B1382,""id"",""en"")"),"['Application', 'Help', 'Features', 'Complete', 'EASY', 'Experience', 'Disorders', 'Nice', ""]")</f>
        <v>['Application', 'Help', 'Features', 'Complete', 'EASY', 'Experience', 'Disorders', 'Nice', "]</v>
      </c>
      <c r="D1382" s="3">
        <v>5.0</v>
      </c>
    </row>
    <row r="1383" ht="15.75" customHeight="1">
      <c r="A1383" s="1">
        <v>1450.0</v>
      </c>
      <c r="B1383" s="3" t="s">
        <v>1360</v>
      </c>
      <c r="C1383" s="3" t="str">
        <f>IFERROR(__xludf.DUMMYFUNCTION("GOOGLETRANSLATE(B1383,""id"",""en"")"),"['Application', 'Fix', 'Success', 'Indihome']")</f>
        <v>['Application', 'Fix', 'Success', 'Indihome']</v>
      </c>
      <c r="D1383" s="3">
        <v>5.0</v>
      </c>
    </row>
    <row r="1384" ht="15.75" customHeight="1">
      <c r="A1384" s="1">
        <v>1451.0</v>
      </c>
      <c r="B1384" s="3" t="s">
        <v>1361</v>
      </c>
      <c r="C1384" s="3" t="str">
        <f>IFERROR(__xludf.DUMMYFUNCTION("GOOGLETRANSLATE(B1384,""id"",""en"")"),"['hope', 'developing']")</f>
        <v>['hope', 'developing']</v>
      </c>
      <c r="D1384" s="3">
        <v>5.0</v>
      </c>
    </row>
    <row r="1385" ht="15.75" customHeight="1">
      <c r="A1385" s="1">
        <v>1452.0</v>
      </c>
      <c r="B1385" s="3" t="s">
        <v>1362</v>
      </c>
      <c r="C1385" s="3" t="str">
        <f>IFERROR(__xludf.DUMMYFUNCTION("GOOGLETRANSLATE(B1385,""id"",""en"")"),"['Gud']")</f>
        <v>['Gud']</v>
      </c>
      <c r="D1385" s="3">
        <v>5.0</v>
      </c>
    </row>
    <row r="1386" ht="15.75" customHeight="1">
      <c r="A1386" s="1">
        <v>1453.0</v>
      </c>
      <c r="B1386" s="3" t="s">
        <v>1363</v>
      </c>
      <c r="C1386" s="3" t="str">
        <f>IFERROR(__xludf.DUMMYFUNCTION("GOOGLETRANSLATE(B1386,""id"",""en"")"),"['The application', 'slow', 'really', 'Season', 'Try', 'fix', 'as soon as possible']")</f>
        <v>['The application', 'slow', 'really', 'Season', 'Try', 'fix', 'as soon as possible']</v>
      </c>
      <c r="D1386" s="3">
        <v>1.0</v>
      </c>
    </row>
    <row r="1387" ht="15.75" customHeight="1">
      <c r="A1387" s="1">
        <v>1454.0</v>
      </c>
      <c r="B1387" s="3" t="s">
        <v>1364</v>
      </c>
      <c r="C1387" s="3" t="str">
        <f>IFERROR(__xludf.DUMMYFUNCTION("GOOGLETRANSLATE(B1387,""id"",""en"")"),"['Login', 'System', 'Repair']")</f>
        <v>['Login', 'System', 'Repair']</v>
      </c>
      <c r="D1387" s="3">
        <v>1.0</v>
      </c>
    </row>
    <row r="1388" ht="15.75" customHeight="1">
      <c r="A1388" s="1">
        <v>1456.0</v>
      </c>
      <c r="B1388" s="3" t="s">
        <v>1365</v>
      </c>
      <c r="C1388" s="3" t="str">
        <f>IFERROR(__xludf.DUMMYFUNCTION("GOOGLETRANSLATE(B1388,""id"",""en"")"),"['Regret', 'Update', 'Application', 'Login']")</f>
        <v>['Regret', 'Update', 'Application', 'Login']</v>
      </c>
      <c r="D1388" s="3">
        <v>2.0</v>
      </c>
    </row>
    <row r="1389" ht="15.75" customHeight="1">
      <c r="A1389" s="1">
        <v>1457.0</v>
      </c>
      <c r="B1389" s="3" t="s">
        <v>1366</v>
      </c>
      <c r="C1389" s="3" t="str">
        <f>IFERROR(__xludf.DUMMYFUNCTION("GOOGLETRANSLATE(B1389,""id"",""en"")"),"['Restore', 'version', 'apps', 'stable', 'comfortable', 'thank you']")</f>
        <v>['Restore', 'version', 'apps', 'stable', 'comfortable', 'thank you']</v>
      </c>
      <c r="D1389" s="3">
        <v>1.0</v>
      </c>
    </row>
    <row r="1390" ht="15.75" customHeight="1">
      <c r="A1390" s="1">
        <v>1458.0</v>
      </c>
      <c r="B1390" s="3" t="s">
        <v>1367</v>
      </c>
      <c r="C1390" s="3" t="str">
        <f>IFERROR(__xludf.DUMMYFUNCTION("GOOGLETRANSLATE(B1390,""id"",""en"")"),"['application', 'please', 'report', 'disorder', 'bill', 'connection', 'internet', 'severe', 'loss', 'pay', 'satisfaction']")</f>
        <v>['application', 'please', 'report', 'disorder', 'bill', 'connection', 'internet', 'severe', 'loss', 'pay', 'satisfaction']</v>
      </c>
      <c r="D1390" s="3">
        <v>1.0</v>
      </c>
    </row>
    <row r="1391" ht="15.75" customHeight="1">
      <c r="A1391" s="1">
        <v>1459.0</v>
      </c>
      <c r="B1391" s="3" t="s">
        <v>1368</v>
      </c>
      <c r="C1391" s="3" t="str">
        <f>IFERROR(__xludf.DUMMYFUNCTION("GOOGLETRANSLATE(B1391,""id"",""en"")"),"['application', 'BLM', 'launched', 'version', 'chaotic', 'application', 'renew', 'logout', 'chaotic', 'chaotic']")</f>
        <v>['application', 'BLM', 'launched', 'version', 'chaotic', 'application', 'renew', 'logout', 'chaotic', 'chaotic']</v>
      </c>
      <c r="D1391" s="3">
        <v>2.0</v>
      </c>
    </row>
    <row r="1392" ht="15.75" customHeight="1">
      <c r="A1392" s="1">
        <v>1460.0</v>
      </c>
      <c r="B1392" s="3" t="s">
        <v>1369</v>
      </c>
      <c r="C1392" s="3" t="str">
        <f>IFERROR(__xludf.DUMMYFUNCTION("GOOGLETRANSLATE(B1392,""id"",""en"")"),"['bad', 'application', 'before', 'renewal', '']")</f>
        <v>['bad', 'application', 'before', 'renewal', '']</v>
      </c>
      <c r="D1392" s="3">
        <v>1.0</v>
      </c>
    </row>
    <row r="1393" ht="15.75" customHeight="1">
      <c r="A1393" s="1">
        <v>1461.0</v>
      </c>
      <c r="B1393" s="3" t="s">
        <v>1370</v>
      </c>
      <c r="C1393" s="3" t="str">
        <f>IFERROR(__xludf.DUMMYFUNCTION("GOOGLETRANSLATE(B1393,""id"",""en"")"),"['suggestion', 'use', 'application', 'version', 'old', 'version', 'newest', 'disorder', 'wonder', 'emang', 'right']")</f>
        <v>['suggestion', 'use', 'application', 'version', 'old', 'version', 'newest', 'disorder', 'wonder', 'emang', 'right']</v>
      </c>
      <c r="D1393" s="3">
        <v>3.0</v>
      </c>
    </row>
    <row r="1394" ht="15.75" customHeight="1">
      <c r="A1394" s="1">
        <v>1462.0</v>
      </c>
      <c r="B1394" s="3" t="s">
        <v>1371</v>
      </c>
      <c r="C1394" s="3" t="str">
        <f>IFERROR(__xludf.DUMMYFUNCTION("GOOGLETRANSLATE(B1394,""id"",""en"")"),"['What', 'update', 'upgrade', 'downgrade', 'fired', 'involved', 'update', 'BUMN', 'Kayak', 'garbage', 'Gini', ""]")</f>
        <v>['What', 'update', 'upgrade', 'downgrade', 'fired', 'involved', 'update', 'BUMN', 'Kayak', 'garbage', 'Gini', "]</v>
      </c>
      <c r="D1394" s="3">
        <v>1.0</v>
      </c>
    </row>
    <row r="1395" ht="15.75" customHeight="1">
      <c r="A1395" s="1">
        <v>1463.0</v>
      </c>
      <c r="B1395" s="3" t="s">
        <v>1372</v>
      </c>
      <c r="C1395" s="3" t="str">
        <f>IFERROR(__xludf.DUMMYFUNCTION("GOOGLETRANSLATE(B1395,""id"",""en"")"),"['Ribetin', 'my APK']")</f>
        <v>['Ribetin', 'my APK']</v>
      </c>
      <c r="D1395" s="3">
        <v>1.0</v>
      </c>
    </row>
    <row r="1396" ht="15.75" customHeight="1">
      <c r="A1396" s="1">
        <v>1464.0</v>
      </c>
      <c r="B1396" s="3" t="s">
        <v>1373</v>
      </c>
      <c r="C1396" s="3" t="str">
        <f>IFERROR(__xludf.DUMMYFUNCTION("GOOGLETRANSLATE(B1396,""id"",""en"")"),"['woi', 'application', 'network', 'slow', 'really', 'turn', 'paid', 'gaboleh', 'late', 'want', 'talk', 'rude', ' original ',' pairs', 'speed it', 'already', 'subscription', 'snail', 'kudanil', '']")</f>
        <v>['woi', 'application', 'network', 'slow', 'really', 'turn', 'paid', 'gaboleh', 'late', 'want', 'talk', 'rude', ' original ',' pairs', 'speed it', 'already', 'subscription', 'snail', 'kudanil', '']</v>
      </c>
      <c r="D1396" s="3">
        <v>1.0</v>
      </c>
    </row>
    <row r="1397" ht="15.75" customHeight="1">
      <c r="A1397" s="1">
        <v>1465.0</v>
      </c>
      <c r="B1397" s="3" t="s">
        <v>1374</v>
      </c>
      <c r="C1397" s="3" t="str">
        <f>IFERROR(__xludf.DUMMYFUNCTION("GOOGLETRANSLATE(B1397,""id"",""en"")"),"['tuker', 'voucher', 'collect', 'point', 'a year', 'charred', 'ugly', 'application', 'his writing', 'mess',' claim ',' voucher ',' Hadeh ']")</f>
        <v>['tuker', 'voucher', 'collect', 'point', 'a year', 'charred', 'ugly', 'application', 'his writing', 'mess',' claim ',' voucher ',' Hadeh ']</v>
      </c>
      <c r="D1397" s="3">
        <v>1.0</v>
      </c>
    </row>
    <row r="1398" ht="15.75" customHeight="1">
      <c r="A1398" s="1">
        <v>1466.0</v>
      </c>
      <c r="B1398" s="3" t="s">
        <v>1375</v>
      </c>
      <c r="C1398" s="3" t="str">
        <f>IFERROR(__xludf.DUMMYFUNCTION("GOOGLETRANSLATE(B1398,""id"",""en"")"),"['bgmn', 'log', 'nda', 'severe']")</f>
        <v>['bgmn', 'log', 'nda', 'severe']</v>
      </c>
      <c r="D1398" s="3">
        <v>1.0</v>
      </c>
    </row>
    <row r="1399" ht="15.75" customHeight="1">
      <c r="A1399" s="1">
        <v>1467.0</v>
      </c>
      <c r="B1399" s="3" t="s">
        <v>1376</v>
      </c>
      <c r="C1399" s="3" t="str">
        <f>IFERROR(__xludf.DUMMYFUNCTION("GOOGLETRANSLATE(B1399,""id"",""en"")"),"['Change', 'password', 'wifi', 'gymna', '']")</f>
        <v>['Change', 'password', 'wifi', 'gymna', '']</v>
      </c>
      <c r="D1399" s="3">
        <v>3.0</v>
      </c>
    </row>
    <row r="1400" ht="15.75" customHeight="1">
      <c r="A1400" s="1">
        <v>1468.0</v>
      </c>
      <c r="B1400" s="3" t="s">
        <v>1377</v>
      </c>
      <c r="C1400" s="3" t="str">
        <f>IFERROR(__xludf.DUMMYFUNCTION("GOOGLETRANSLATE(B1400,""id"",""en"")"),"['complaints',' lead ',' application ',' feel ',' update ',' the application ',' error ',' quota ',' used ',' comes', 'mending', 'application', ' Ribet ',' practical ']")</f>
        <v>['complaints',' lead ',' application ',' feel ',' update ',' the application ',' error ',' quota ',' used ',' comes', 'mending', 'application', ' Ribet ',' practical ']</v>
      </c>
      <c r="D1400" s="3">
        <v>5.0</v>
      </c>
    </row>
    <row r="1401" ht="15.75" customHeight="1">
      <c r="A1401" s="1">
        <v>1469.0</v>
      </c>
      <c r="B1401" s="3" t="s">
        <v>1378</v>
      </c>
      <c r="C1401" s="3" t="str">
        <f>IFERROR(__xludf.DUMMYFUNCTION("GOOGLETRANSLATE(B1401,""id"",""en"")"),"['Heem', 'Heavy', 'Heavy', 'Genshin', 'Impact']")</f>
        <v>['Heem', 'Heavy', 'Heavy', 'Genshin', 'Impact']</v>
      </c>
      <c r="D1401" s="3">
        <v>1.0</v>
      </c>
    </row>
    <row r="1402" ht="15.75" customHeight="1">
      <c r="A1402" s="1">
        <v>1470.0</v>
      </c>
      <c r="B1402" s="3" t="s">
        <v>1379</v>
      </c>
      <c r="C1402" s="3" t="str">
        <f>IFERROR(__xludf.DUMMYFUNCTION("GOOGLETRANSLATE(B1402,""id"",""en"")"),"['dumps',' Dsini ',' filled ',' form ',' complaints', 'obstacles',' yes', 'developer', 'application', 'segede', 'telkom', 'application', ' problematic ',' yes', 'try', 'open', 'the application', 'strange']")</f>
        <v>['dumps',' Dsini ',' filled ',' form ',' complaints', 'obstacles',' yes', 'developer', 'application', 'segede', 'telkom', 'application', ' problematic ',' yes', 'try', 'open', 'the application', 'strange']</v>
      </c>
      <c r="D1402" s="3">
        <v>1.0</v>
      </c>
    </row>
    <row r="1403" ht="15.75" customHeight="1">
      <c r="A1403" s="1">
        <v>1471.0</v>
      </c>
      <c r="B1403" s="3" t="s">
        <v>1380</v>
      </c>
      <c r="C1403" s="3" t="str">
        <f>IFERROR(__xludf.DUMMYFUNCTION("GOOGLETRANSLATE(B1403,""id"",""en"")"),"['Indihome', 'emotion', 'already', 'disorder', 'skrg', 'application', 'logout', 'enter', 'please', 'service', 'maximize', 'take', ' package ',' expensive ',' disorder ',' mulu ',' ']")</f>
        <v>['Indihome', 'emotion', 'already', 'disorder', 'skrg', 'application', 'logout', 'enter', 'please', 'service', 'maximize', 'take', ' package ',' expensive ',' disorder ',' mulu ',' ']</v>
      </c>
      <c r="D1403" s="3">
        <v>1.0</v>
      </c>
    </row>
    <row r="1404" ht="15.75" customHeight="1">
      <c r="A1404" s="1">
        <v>1472.0</v>
      </c>
      <c r="B1404" s="3" t="s">
        <v>1381</v>
      </c>
      <c r="C1404" s="3" t="str">
        <f>IFERROR(__xludf.DUMMYFUNCTION("GOOGLETRANSLATE(B1404,""id"",""en"")"),"['Ngaco', 'Application', 'Tested', 'Application', 'Launched', 'Customer', 'Awarded', 'Ngeyel', 'See', 'Love', 'Star', 'Application', ' Choice ',' minus', 'star', 'I think', 'mgasih', 'minus',' ']")</f>
        <v>['Ngaco', 'Application', 'Tested', 'Application', 'Launched', 'Customer', 'Awarded', 'Ngeyel', 'See', 'Love', 'Star', 'Application', ' Choice ',' minus', 'star', 'I think', 'mgasih', 'minus',' ']</v>
      </c>
      <c r="D1404" s="3">
        <v>1.0</v>
      </c>
    </row>
    <row r="1405" ht="15.75" customHeight="1">
      <c r="A1405" s="1">
        <v>1473.0</v>
      </c>
      <c r="B1405" s="3" t="s">
        <v>1382</v>
      </c>
      <c r="C1405" s="3" t="str">
        <f>IFERROR(__xludf.DUMMYFUNCTION("GOOGLETRANSLATE(B1405,""id"",""en"")"),"['Updated', 'Ancurrrr', '']")</f>
        <v>['Updated', 'Ancurrrr', '']</v>
      </c>
      <c r="D1405" s="3">
        <v>1.0</v>
      </c>
    </row>
    <row r="1406" ht="15.75" customHeight="1">
      <c r="A1406" s="1">
        <v>1474.0</v>
      </c>
      <c r="B1406" s="3" t="s">
        <v>1306</v>
      </c>
      <c r="C1406" s="3" t="str">
        <f>IFERROR(__xludf.DUMMYFUNCTION("GOOGLETRANSLATE(B1406,""id"",""en"")"),"['login']")</f>
        <v>['login']</v>
      </c>
      <c r="D1406" s="3">
        <v>1.0</v>
      </c>
    </row>
    <row r="1407" ht="15.75" customHeight="1">
      <c r="A1407" s="1">
        <v>1475.0</v>
      </c>
      <c r="B1407" s="3" t="s">
        <v>1383</v>
      </c>
      <c r="C1407" s="3" t="str">
        <f>IFERROR(__xludf.DUMMYFUNCTION("GOOGLETRANSLATE(B1407,""id"",""en"")"),"['crazy', 'download', 'data', 'application', 'kb', 'broken']")</f>
        <v>['crazy', 'download', 'data', 'application', 'kb', 'broken']</v>
      </c>
      <c r="D1407" s="3">
        <v>1.0</v>
      </c>
    </row>
    <row r="1408" ht="15.75" customHeight="1">
      <c r="A1408" s="1">
        <v>1476.0</v>
      </c>
      <c r="B1408" s="3" t="s">
        <v>1384</v>
      </c>
      <c r="C1408" s="3" t="str">
        <f>IFERROR(__xludf.DUMMYFUNCTION("GOOGLETRANSLATE(B1408,""id"",""en"")"),"['Week', 'APK', 'Network', 'skali', 'Pay', 'expensive', 'expensive', 'good', 'network', '']")</f>
        <v>['Week', 'APK', 'Network', 'skali', 'Pay', 'expensive', 'expensive', 'good', 'network', '']</v>
      </c>
      <c r="D1408" s="3">
        <v>5.0</v>
      </c>
    </row>
    <row r="1409" ht="15.75" customHeight="1">
      <c r="A1409" s="1">
        <v>1477.0</v>
      </c>
      <c r="B1409" s="3" t="s">
        <v>1385</v>
      </c>
      <c r="C1409" s="3" t="str">
        <f>IFERROR(__xludf.DUMMYFUNCTION("GOOGLETRANSLATE(B1409,""id"",""en"")"),"['Please', 'Features',' Reporting ',' Disorders', 'Enhanced', 'Report', 'Disorders',' Troubleshooting ',' Successful ',' Notif ',' Development ',' FAIL ',' ']")</f>
        <v>['Please', 'Features',' Reporting ',' Disorders', 'Enhanced', 'Report', 'Disorders',' Troubleshooting ',' Successful ',' Notif ',' Development ',' FAIL ',' ']</v>
      </c>
      <c r="D1409" s="3">
        <v>1.0</v>
      </c>
    </row>
    <row r="1410" ht="15.75" customHeight="1">
      <c r="A1410" s="1">
        <v>1478.0</v>
      </c>
      <c r="B1410" s="3" t="s">
        <v>739</v>
      </c>
      <c r="C1410" s="3" t="str">
        <f>IFERROR(__xludf.DUMMYFUNCTION("GOOGLETRANSLATE(B1410,""id"",""en"")"),"['Informative']")</f>
        <v>['Informative']</v>
      </c>
      <c r="D1410" s="3">
        <v>4.0</v>
      </c>
    </row>
    <row r="1411" ht="15.75" customHeight="1">
      <c r="A1411" s="1">
        <v>1479.0</v>
      </c>
      <c r="B1411" s="3" t="s">
        <v>1386</v>
      </c>
      <c r="C1411" s="3" t="str">
        <f>IFERROR(__xludf.DUMMYFUNCTION("GOOGLETRANSLATE(B1411,""id"",""en"")"),"['Knpa', 'Download', 'Application', 'Stop', '']")</f>
        <v>['Knpa', 'Download', 'Application', 'Stop', '']</v>
      </c>
      <c r="D1411" s="3">
        <v>5.0</v>
      </c>
    </row>
    <row r="1412" ht="15.75" customHeight="1">
      <c r="A1412" s="1">
        <v>1480.0</v>
      </c>
      <c r="B1412" s="3" t="s">
        <v>1387</v>
      </c>
      <c r="C1412" s="3" t="str">
        <f>IFERROR(__xludf.DUMMYFUNCTION("GOOGLETRANSLATE(B1412,""id"",""en"")"),"['application', 'garbage', 'login', 'difficult', 'forgiveness']")</f>
        <v>['application', 'garbage', 'login', 'difficult', 'forgiveness']</v>
      </c>
      <c r="D1412" s="3">
        <v>1.0</v>
      </c>
    </row>
    <row r="1413" ht="15.75" customHeight="1">
      <c r="A1413" s="1">
        <v>1481.0</v>
      </c>
      <c r="B1413" s="3" t="s">
        <v>1388</v>
      </c>
      <c r="C1413" s="3" t="str">
        <f>IFERROR(__xludf.DUMMYFUNCTION("GOOGLETRANSLATE(B1413,""id"",""en"")"),"['Disruption', 'Service']")</f>
        <v>['Disruption', 'Service']</v>
      </c>
      <c r="D1413" s="3">
        <v>1.0</v>
      </c>
    </row>
    <row r="1414" ht="15.75" customHeight="1">
      <c r="A1414" s="1">
        <v>1482.0</v>
      </c>
      <c r="B1414" s="3" t="s">
        <v>1389</v>
      </c>
      <c r="C1414" s="3" t="str">
        <f>IFERROR(__xludf.DUMMYFUNCTION("GOOGLETRANSLATE(B1414,""id"",""en"")"),"['out', 'updated', 'account', 'login', 'password', 'wrong', 'trs',' send ',' otp ',' features', 'forget', 'password', ' Posts', 'Code', 'apply', 'Bener', 'Dongg', 'How', 'Login', 'hilarious']")</f>
        <v>['out', 'updated', 'account', 'login', 'password', 'wrong', 'trs',' send ',' otp ',' features', 'forget', 'password', ' Posts', 'Code', 'apply', 'Bener', 'Dongg', 'How', 'Login', 'hilarious']</v>
      </c>
      <c r="D1414" s="3">
        <v>1.0</v>
      </c>
    </row>
    <row r="1415" ht="15.75" customHeight="1">
      <c r="A1415" s="1">
        <v>1483.0</v>
      </c>
      <c r="B1415" s="3" t="s">
        <v>1390</v>
      </c>
      <c r="C1415" s="3" t="str">
        <f>IFERROR(__xludf.DUMMYFUNCTION("GOOGLETRANSLATE(B1415,""id"",""en"")"),"['Display', 'annoyed', 'RUWET', 'Ribet', 'It should be', 'Test', 'Try', 'JNG', 'Lngsung', 'Play', 'Auto', 'Update', ' App ',' ugly ',' ']")</f>
        <v>['Display', 'annoyed', 'RUWET', 'Ribet', 'It should be', 'Test', 'Try', 'JNG', 'Lngsung', 'Play', 'Auto', 'Update', ' App ',' ugly ',' ']</v>
      </c>
      <c r="D1415" s="3">
        <v>1.0</v>
      </c>
    </row>
    <row r="1416" ht="15.75" customHeight="1">
      <c r="A1416" s="1">
        <v>1484.0</v>
      </c>
      <c r="B1416" s="3" t="s">
        <v>1391</v>
      </c>
      <c r="C1416" s="3" t="str">
        <f>IFERROR(__xludf.DUMMYFUNCTION("GOOGLETRANSLATE(B1416,""id"",""en"")"),"['Application', 'IndihIhome', 'Kantunng', 'Doraemon', 'Help', 'It's easy', 'Customer', 'Indihome', 'Display', 'Latest', 'Balance', 'Feature', ' Features', 'Provide', 'Developing', '']")</f>
        <v>['Application', 'IndihIhome', 'Kantunng', 'Doraemon', 'Help', 'It's easy', 'Customer', 'Indihome', 'Display', 'Latest', 'Balance', 'Feature', ' Features', 'Provide', 'Developing', '']</v>
      </c>
      <c r="D1416" s="3">
        <v>5.0</v>
      </c>
    </row>
    <row r="1417" ht="15.75" customHeight="1">
      <c r="A1417" s="1">
        <v>1485.0</v>
      </c>
      <c r="B1417" s="3" t="s">
        <v>1392</v>
      </c>
      <c r="C1417" s="3" t="str">
        <f>IFERROR(__xludf.DUMMYFUNCTION("GOOGLETRANSLATE(B1417,""id"",""en"")"),"['application', 'garbage', 'login', 'failed', 'update', 'out', 'updated', 'account', 'logout', 'enter', 'password', 'wrong' Forgot ',' password ',' get ',' SMS ',' code ',' unique ',' inserted ',' code ',' application ',' appears', 'code', 'valid', 'valid"&amp;"' , 'pdhl', 'second', 'tried', 'emg', 'application', 'toooololll', 'developer', 'abal', 'application', 'forced', 'blokkk', 'fried', ' Luu ',' ']")</f>
        <v>['application', 'garbage', 'login', 'failed', 'update', 'out', 'updated', 'account', 'logout', 'enter', 'password', 'wrong' Forgot ',' password ',' get ',' SMS ',' code ',' unique ',' inserted ',' code ',' application ',' appears', 'code', 'valid', 'valid' , 'pdhl', 'second', 'tried', 'emg', 'application', 'toooololll', 'developer', 'abal', 'application', 'forced', 'blokkk', 'fried', ' Luu ',' ']</v>
      </c>
      <c r="D1417" s="3">
        <v>1.0</v>
      </c>
    </row>
    <row r="1418" ht="15.75" customHeight="1">
      <c r="A1418" s="1">
        <v>1486.0</v>
      </c>
      <c r="B1418" s="3" t="s">
        <v>1393</v>
      </c>
      <c r="C1418" s="3" t="str">
        <f>IFERROR(__xludf.DUMMYFUNCTION("GOOGLETRANSLATE(B1418,""id"",""en"")"),"['Application', 'updated', 'ugly', 'really', 'ribet', 'kyk', 'muter', 'muter', 'mulu', 'gjls',' bnget ',' udh ',' good ',' dlu ',' ngeapain ',' pkek ',' upgrade ',' the application ']")</f>
        <v>['Application', 'updated', 'ugly', 'really', 'ribet', 'kyk', 'muter', 'muter', 'mulu', 'gjls',' bnget ',' udh ',' good ',' dlu ',' ngeapain ',' pkek ',' upgrade ',' the application ']</v>
      </c>
      <c r="D1418" s="3">
        <v>1.0</v>
      </c>
    </row>
    <row r="1419" ht="15.75" customHeight="1">
      <c r="A1419" s="1">
        <v>1487.0</v>
      </c>
      <c r="B1419" s="3" t="s">
        <v>1394</v>
      </c>
      <c r="C1419" s="3" t="str">
        <f>IFERROR(__xludf.DUMMYFUNCTION("GOOGLETRANSLATE(B1419,""id"",""en"")"),"['Application', 'Myindihome', 'Easy', 'Bill', 'Pay', 'Bill', 'Top', 'Balance', '']")</f>
        <v>['Application', 'Myindihome', 'Easy', 'Bill', 'Pay', 'Bill', 'Top', 'Balance', '']</v>
      </c>
      <c r="D1419" s="3">
        <v>5.0</v>
      </c>
    </row>
    <row r="1420" ht="15.75" customHeight="1">
      <c r="A1420" s="1">
        <v>1488.0</v>
      </c>
      <c r="B1420" s="3" t="s">
        <v>1395</v>
      </c>
      <c r="C1420" s="3" t="str">
        <f>IFERROR(__xludf.DUMMYFUNCTION("GOOGLETRANSLATE(B1420,""id"",""en"")"),"['Complete', 'easy', 'descriptions', 'obstacles']")</f>
        <v>['Complete', 'easy', 'descriptions', 'obstacles']</v>
      </c>
      <c r="D1420" s="3">
        <v>5.0</v>
      </c>
    </row>
    <row r="1421" ht="15.75" customHeight="1">
      <c r="A1421" s="1">
        <v>1489.0</v>
      </c>
      <c r="B1421" s="3" t="s">
        <v>1396</v>
      </c>
      <c r="C1421" s="3" t="str">
        <f>IFERROR(__xludf.DUMMYFUNCTION("GOOGLETRANSLATE(B1421,""id"",""en"")"),"['Application', 'Login', 'Application', 'Lemot', 'Application', 'Okay']")</f>
        <v>['Application', 'Login', 'Application', 'Lemot', 'Application', 'Okay']</v>
      </c>
      <c r="D1421" s="3">
        <v>1.0</v>
      </c>
    </row>
    <row r="1422" ht="15.75" customHeight="1">
      <c r="A1422" s="1">
        <v>1490.0</v>
      </c>
      <c r="B1422" s="3" t="s">
        <v>1397</v>
      </c>
      <c r="C1422" s="3" t="str">
        <f>IFERROR(__xludf.DUMMYFUNCTION("GOOGLETRANSLATE(B1422,""id"",""en"")"),"['ugly', 'really', 'service', 'ORDER']")</f>
        <v>['ugly', 'really', 'service', 'ORDER']</v>
      </c>
      <c r="D1422" s="3">
        <v>1.0</v>
      </c>
    </row>
    <row r="1423" ht="15.75" customHeight="1">
      <c r="A1423" s="1">
        <v>1491.0</v>
      </c>
      <c r="B1423" s="3" t="s">
        <v>1398</v>
      </c>
      <c r="C1423" s="3" t="str">
        <f>IFERROR(__xludf.DUMMYFUNCTION("GOOGLETRANSLATE(B1423,""id"",""en"")"),"['Sorry', 'disappointed', 'pay', 'that way', 'down', 'ber', 'clock', 'clock', 'compensation']")</f>
        <v>['Sorry', 'disappointed', 'pay', 'that way', 'down', 'ber', 'clock', 'clock', 'compensation']</v>
      </c>
      <c r="D1423" s="3">
        <v>1.0</v>
      </c>
    </row>
    <row r="1424" ht="15.75" customHeight="1">
      <c r="A1424" s="1">
        <v>1492.0</v>
      </c>
      <c r="B1424" s="3" t="s">
        <v>1399</v>
      </c>
      <c r="C1424" s="3" t="str">
        <f>IFERROR(__xludf.DUMMYFUNCTION("GOOGLETRANSLATE(B1424,""id"",""en"")"),"['The network', 'slow']")</f>
        <v>['The network', 'slow']</v>
      </c>
      <c r="D1424" s="3">
        <v>1.0</v>
      </c>
    </row>
    <row r="1425" ht="15.75" customHeight="1">
      <c r="A1425" s="1">
        <v>1493.0</v>
      </c>
      <c r="B1425" s="3" t="s">
        <v>1400</v>
      </c>
      <c r="C1425" s="3" t="str">
        <f>IFERROR(__xludf.DUMMYFUNCTION("GOOGLETRANSLATE(B1425,""id"",""en"")"),"['Myindihome', 'via', 'App', 'via', 'response', 'field', 'Ngg', 'Wait', 'clock', 'internet', 'style', 'life', ' disruption ',' Wait ',' handling ',' clock ',' match ',' love ',' star ', ""]")</f>
        <v>['Myindihome', 'via', 'App', 'via', 'response', 'field', 'Ngg', 'Wait', 'clock', 'internet', 'style', 'life', ' disruption ',' Wait ',' handling ',' clock ',' match ',' love ',' star ', "]</v>
      </c>
      <c r="D1425" s="3">
        <v>1.0</v>
      </c>
    </row>
    <row r="1426" ht="15.75" customHeight="1">
      <c r="A1426" s="1">
        <v>1494.0</v>
      </c>
      <c r="B1426" s="3" t="s">
        <v>1401</v>
      </c>
      <c r="C1426" s="3" t="str">
        <f>IFERROR(__xludf.DUMMYFUNCTION("GOOGLETRANSLATE(B1426,""id"",""en"")"),"['Help', 'Thanks', '']")</f>
        <v>['Help', 'Thanks', '']</v>
      </c>
      <c r="D1426" s="3">
        <v>5.0</v>
      </c>
    </row>
    <row r="1427" ht="15.75" customHeight="1">
      <c r="A1427" s="1">
        <v>1495.0</v>
      </c>
      <c r="B1427" s="3" t="s">
        <v>1402</v>
      </c>
      <c r="C1427" s="3" t="str">
        <f>IFERROR(__xludf.DUMMYFUNCTION("GOOGLETRANSLATE(B1427,""id"",""en"")"),"['Yesterday', 'network', 'internet', 'technicians', 'fix', 'Hadehh', 'stop', 'subscribe', ""]")</f>
        <v>['Yesterday', 'network', 'internet', 'technicians', 'fix', 'Hadehh', 'stop', 'subscribe', "]</v>
      </c>
      <c r="D1427" s="3">
        <v>1.0</v>
      </c>
    </row>
    <row r="1428" ht="15.75" customHeight="1">
      <c r="A1428" s="1">
        <v>1496.0</v>
      </c>
      <c r="B1428" s="3" t="s">
        <v>1403</v>
      </c>
      <c r="C1428" s="3" t="str">
        <f>IFERROR(__xludf.DUMMYFUNCTION("GOOGLETRANSLATE(B1428,""id"",""en"")"),"['product', 'sell', 'field', 'technology', 'application', 'smart', 'slow', '']")</f>
        <v>['product', 'sell', 'field', 'technology', 'application', 'smart', 'slow', '']</v>
      </c>
      <c r="D1428" s="3">
        <v>1.0</v>
      </c>
    </row>
    <row r="1429" ht="15.75" customHeight="1">
      <c r="A1429" s="1">
        <v>1497.0</v>
      </c>
      <c r="B1429" s="3" t="s">
        <v>1404</v>
      </c>
      <c r="C1429" s="3" t="str">
        <f>IFERROR(__xludf.DUMMYFUNCTION("GOOGLETRANSLATE(B1429,""id"",""en"")"),"['Current', 'Jaya', '']")</f>
        <v>['Current', 'Jaya', '']</v>
      </c>
      <c r="D1429" s="3">
        <v>5.0</v>
      </c>
    </row>
    <row r="1430" ht="15.75" customHeight="1">
      <c r="A1430" s="1">
        <v>1498.0</v>
      </c>
      <c r="B1430" s="3" t="s">
        <v>1405</v>
      </c>
      <c r="C1430" s="3" t="str">
        <f>IFERROR(__xludf.DUMMYFUNCTION("GOOGLETRANSLATE(B1430,""id"",""en"")"),"['Lemott']")</f>
        <v>['Lemott']</v>
      </c>
      <c r="D1430" s="3">
        <v>3.0</v>
      </c>
    </row>
    <row r="1431" ht="15.75" customHeight="1">
      <c r="A1431" s="1">
        <v>1499.0</v>
      </c>
      <c r="B1431" s="3" t="s">
        <v>1406</v>
      </c>
      <c r="C1431" s="3" t="str">
        <f>IFERROR(__xludf.DUMMYFUNCTION("GOOGLETRANSLATE(B1431,""id"",""en"")"),"['update', 'logout', 'no', 'enter', 'forget', 'password', ""]")</f>
        <v>['update', 'logout', 'no', 'enter', 'forget', 'password', "]</v>
      </c>
      <c r="D1431" s="3">
        <v>4.0</v>
      </c>
    </row>
    <row r="1432" ht="15.75" customHeight="1">
      <c r="A1432" s="1">
        <v>1500.0</v>
      </c>
      <c r="B1432" s="3" t="s">
        <v>1407</v>
      </c>
      <c r="C1432" s="3" t="str">
        <f>IFERROR(__xludf.DUMMYFUNCTION("GOOGLETRANSLATE(B1432,""id"",""en"")"),"['application', 'good', 'speed', 'bill', 'internet']")</f>
        <v>['application', 'good', 'speed', 'bill', 'internet']</v>
      </c>
      <c r="D1432" s="3">
        <v>5.0</v>
      </c>
    </row>
    <row r="1433" ht="15.75" customHeight="1">
      <c r="A1433" s="1">
        <v>1501.0</v>
      </c>
      <c r="B1433" s="3" t="s">
        <v>1408</v>
      </c>
      <c r="C1433" s="3" t="str">
        <f>IFERROR(__xludf.DUMMYFUNCTION("GOOGLETRANSLATE(B1433,""id"",""en"")"),"['Ngga', 'Ryesel', 'Myindihome', 'Ngirit', 'Network', 'Current', 'Recommended', 'Really', 'Child', 'Like', 'Watch', 'YouTube', ' Moga ',' success', 'then', 'myindihome', 'in the future']")</f>
        <v>['Ngga', 'Ryesel', 'Myindihome', 'Ngirit', 'Network', 'Current', 'Recommended', 'Really', 'Child', 'Like', 'Watch', 'YouTube', ' Moga ',' success', 'then', 'myindihome', 'in the future']</v>
      </c>
      <c r="D1433" s="3">
        <v>5.0</v>
      </c>
    </row>
    <row r="1434" ht="15.75" customHeight="1">
      <c r="A1434" s="1">
        <v>1502.0</v>
      </c>
      <c r="B1434" s="3" t="s">
        <v>1409</v>
      </c>
      <c r="C1434" s="3" t="str">
        <f>IFERROR(__xludf.DUMMYFUNCTION("GOOGLETRANSLATE(B1434,""id"",""en"")"),"['Thank God', 'Indihome', 'updated', 'helped', 'Tetutama', 'bills',' payment ',' hope ',' Indihome ',' advanced ',' best ',' Customer ',' ']")</f>
        <v>['Thank God', 'Indihome', 'updated', 'helped', 'Tetutama', 'bills',' payment ',' hope ',' Indihome ',' advanced ',' best ',' Customer ',' ']</v>
      </c>
      <c r="D1434" s="3">
        <v>5.0</v>
      </c>
    </row>
    <row r="1435" ht="15.75" customHeight="1">
      <c r="A1435" s="1">
        <v>1503.0</v>
      </c>
      <c r="B1435" s="3" t="s">
        <v>1410</v>
      </c>
      <c r="C1435" s="3" t="str">
        <f>IFERROR(__xludf.DUMMYFUNCTION("GOOGLETRANSLATE(B1435,""id"",""en"")"),"['', 'Indihome', 'SLL', 'complete', 'info', 'SLL', 'update']")</f>
        <v>['', 'Indihome', 'SLL', 'complete', 'info', 'SLL', 'update']</v>
      </c>
      <c r="D1435" s="3">
        <v>5.0</v>
      </c>
    </row>
    <row r="1436" ht="15.75" customHeight="1">
      <c r="A1436" s="1">
        <v>1504.0</v>
      </c>
      <c r="B1436" s="3" t="s">
        <v>1411</v>
      </c>
      <c r="C1436" s="3" t="str">
        <f>IFERROR(__xludf.DUMMYFUNCTION("GOOGLETRANSLATE(B1436,""id"",""en"")"),"['Application', 'Helpful', 'Easy', 'Access', '']")</f>
        <v>['Application', 'Helpful', 'Easy', 'Access', '']</v>
      </c>
      <c r="D1436" s="3">
        <v>5.0</v>
      </c>
    </row>
    <row r="1437" ht="15.75" customHeight="1">
      <c r="A1437" s="1">
        <v>1506.0</v>
      </c>
      <c r="B1437" s="3" t="s">
        <v>825</v>
      </c>
      <c r="C1437" s="3" t="str">
        <f>IFERROR(__xludf.DUMMYFUNCTION("GOOGLETRANSLATE(B1437,""id"",""en"")"),"['Application', 'Help']")</f>
        <v>['Application', 'Help']</v>
      </c>
      <c r="D1437" s="3">
        <v>5.0</v>
      </c>
    </row>
    <row r="1438" ht="15.75" customHeight="1">
      <c r="A1438" s="1">
        <v>1507.0</v>
      </c>
      <c r="B1438" s="3" t="s">
        <v>1412</v>
      </c>
      <c r="C1438" s="3" t="str">
        <f>IFERROR(__xludf.DUMMYFUNCTION("GOOGLETRANSLATE(B1438,""id"",""en"")"),"['Good', 'appears']")</f>
        <v>['Good', 'appears']</v>
      </c>
      <c r="D1438" s="3">
        <v>5.0</v>
      </c>
    </row>
    <row r="1439" ht="15.75" customHeight="1">
      <c r="A1439" s="1">
        <v>1508.0</v>
      </c>
      <c r="B1439" s="3" t="s">
        <v>1413</v>
      </c>
      <c r="C1439" s="3" t="str">
        <f>IFERROR(__xludf.DUMMYFUNCTION("GOOGLETRANSLATE(B1439,""id"",""en"")"),"['Site', 'Update', 'Login', 'Have', 'Delete', 'Cacse', 'Already', 'Ehh', 'Tetep', 'Login', 'Say "",' Improved ',' Service ',' already ',' subscribing ',' Indihome ',' yrs', 'then', 'blm', 'late', 'pay']")</f>
        <v>['Site', 'Update', 'Login', 'Have', 'Delete', 'Cacse', 'Already', 'Ehh', 'Tetep', 'Login', 'Say ",' Improved ',' Service ',' already ',' subscribing ',' Indihome ',' yrs', 'then', 'blm', 'late', 'pay']</v>
      </c>
      <c r="D1439" s="3">
        <v>1.0</v>
      </c>
    </row>
    <row r="1440" ht="15.75" customHeight="1">
      <c r="A1440" s="1">
        <v>1509.0</v>
      </c>
      <c r="B1440" s="3" t="s">
        <v>1414</v>
      </c>
      <c r="C1440" s="3" t="str">
        <f>IFERROR(__xludf.DUMMYFUNCTION("GOOGLETRANSLATE(B1440,""id"",""en"")"),"['Parahhhhh', 'Application', 'Ribet', 'Login', 'Difficult', 'Loading']")</f>
        <v>['Parahhhhh', 'Application', 'Ribet', 'Login', 'Difficult', 'Loading']</v>
      </c>
      <c r="D1440" s="3">
        <v>1.0</v>
      </c>
    </row>
    <row r="1441" ht="15.75" customHeight="1">
      <c r="A1441" s="1">
        <v>1510.0</v>
      </c>
      <c r="B1441" s="3" t="s">
        <v>1415</v>
      </c>
      <c r="C1441" s="3" t="str">
        <f>IFERROR(__xludf.DUMMYFUNCTION("GOOGLETRANSLATE(B1441,""id"",""en"")"),"['finished', 'update', 'application', 'Lola', 'pqaarrraahhh']")</f>
        <v>['finished', 'update', 'application', 'Lola', 'pqaarrraahhh']</v>
      </c>
      <c r="D1441" s="3">
        <v>1.0</v>
      </c>
    </row>
    <row r="1442" ht="15.75" customHeight="1">
      <c r="A1442" s="1">
        <v>1511.0</v>
      </c>
      <c r="B1442" s="3" t="s">
        <v>1416</v>
      </c>
      <c r="C1442" s="3" t="str">
        <f>IFERROR(__xludf.DUMMYFUNCTION("GOOGLETRANSLATE(B1442,""id"",""en"")"),"['lag', 'bet', '']")</f>
        <v>['lag', 'bet', '']</v>
      </c>
      <c r="D1442" s="3">
        <v>1.0</v>
      </c>
    </row>
    <row r="1443" ht="15.75" customHeight="1">
      <c r="A1443" s="1">
        <v>1512.0</v>
      </c>
      <c r="B1443" s="3" t="s">
        <v>1417</v>
      </c>
      <c r="C1443" s="3" t="str">
        <f>IFERROR(__xludf.DUMMYFUNCTION("GOOGLETRANSLATE(B1443,""id"",""en"")"),"['version', 'good', 'menu', 'change', 'password', 'set', 'user', 'mantab']")</f>
        <v>['version', 'good', 'menu', 'change', 'password', 'set', 'user', 'mantab']</v>
      </c>
      <c r="D1443" s="3">
        <v>5.0</v>
      </c>
    </row>
    <row r="1444" ht="15.75" customHeight="1">
      <c r="A1444" s="1">
        <v>1513.0</v>
      </c>
      <c r="B1444" s="3" t="s">
        <v>1418</v>
      </c>
      <c r="C1444" s="3" t="str">
        <f>IFERROR(__xludf.DUMMYFUNCTION("GOOGLETRANSLATE(B1444,""id"",""en"")"),"['update', 'gabisa', 'login', 'ehe']")</f>
        <v>['update', 'gabisa', 'login', 'ehe']</v>
      </c>
      <c r="D1444" s="3">
        <v>1.0</v>
      </c>
    </row>
    <row r="1445" ht="15.75" customHeight="1">
      <c r="A1445" s="1">
        <v>1515.0</v>
      </c>
      <c r="B1445" s="3" t="s">
        <v>1419</v>
      </c>
      <c r="C1445" s="3" t="str">
        <f>IFERROR(__xludf.DUMMYFUNCTION("GOOGLETRANSLATE(B1445,""id"",""en"")"),"['Abis',' update ',' slow ',' fuss', 'input', 'number', 'indihome', 'doank', 'registered', 'line', 'indihomen', 'what', ' already ',' that's', 'menu', 'exchange', 'point', 'where', 'open', 'incident', 'connected', 'wifi', 'indihome', 'speed', 'mbps' , 'sl"&amp;"ow', 'forgiveness', 'right', 'a little', 'apps']")</f>
        <v>['Abis',' update ',' slow ',' fuss', 'input', 'number', 'indihome', 'doank', 'registered', 'line', 'indihomen', 'what', ' already ',' that's', 'menu', 'exchange', 'point', 'where', 'open', 'incident', 'connected', 'wifi', 'indihome', 'speed', 'mbps' , 'slow', 'forgiveness', 'right', 'a little', 'apps']</v>
      </c>
      <c r="D1445" s="3">
        <v>1.0</v>
      </c>
    </row>
    <row r="1446" ht="15.75" customHeight="1">
      <c r="A1446" s="1">
        <v>1516.0</v>
      </c>
      <c r="B1446" s="3" t="s">
        <v>1420</v>
      </c>
      <c r="C1446" s="3" t="str">
        <f>IFERROR(__xludf.DUMMYFUNCTION("GOOGLETRANSLATE(B1446,""id"",""en"")"),"['Application', 'opened']")</f>
        <v>['Application', 'opened']</v>
      </c>
      <c r="D1446" s="3">
        <v>1.0</v>
      </c>
    </row>
    <row r="1447" ht="15.75" customHeight="1">
      <c r="A1447" s="1">
        <v>1517.0</v>
      </c>
      <c r="B1447" s="3" t="s">
        <v>1421</v>
      </c>
      <c r="C1447" s="3" t="str">
        <f>IFERROR(__xludf.DUMMYFUNCTION("GOOGLETRANSLATE(B1447,""id"",""en"")"),"['difficult', 'difficult', 'contact', 'telephone', 'application', 'indihome', 'complete', 'really', 'fast', 'prize', 'point', 'fast' Download ',' Donwload ',' Register ',' Guys', 'Best']")</f>
        <v>['difficult', 'difficult', 'contact', 'telephone', 'application', 'indihome', 'complete', 'really', 'fast', 'prize', 'point', 'fast' Download ',' Donwload ',' Register ',' Guys', 'Best']</v>
      </c>
      <c r="D1447" s="3">
        <v>5.0</v>
      </c>
    </row>
    <row r="1448" ht="15.75" customHeight="1">
      <c r="A1448" s="1">
        <v>1518.0</v>
      </c>
      <c r="B1448" s="3" t="s">
        <v>1422</v>
      </c>
      <c r="C1448" s="3" t="str">
        <f>IFERROR(__xludf.DUMMYFUNCTION("GOOGLETRANSLATE(B1448,""id"",""en"")"),"['Myindihome', 'Best', 'Come', 'Use', 'Indihome', 'Solution', 'Era', 'digitalization', ""]")</f>
        <v>['Myindihome', 'Best', 'Come', 'Use', 'Indihome', 'Solution', 'Era', 'digitalization', "]</v>
      </c>
      <c r="D1448" s="3">
        <v>5.0</v>
      </c>
    </row>
    <row r="1449" ht="15.75" customHeight="1">
      <c r="A1449" s="1">
        <v>1519.0</v>
      </c>
      <c r="B1449" s="3" t="s">
        <v>1423</v>
      </c>
      <c r="C1449" s="3" t="str">
        <f>IFERROR(__xludf.DUMMYFUNCTION("GOOGLETRANSLATE(B1449,""id"",""en"")"),"['slow', 'the application', 'signal', 'consistent', 'shy', 'customer', 'nge', 'improvement', 'competitor', 'price', 'cheap', 'Fup', ' Please, 'think', 'in the future', 'capitalist', 'tolonv', 'listen', 'complaints', 'consumers', 'forward', ""]")</f>
        <v>['slow', 'the application', 'signal', 'consistent', 'shy', 'customer', 'nge', 'improvement', 'competitor', 'price', 'cheap', 'Fup', ' Please, 'think', 'in the future', 'capitalist', 'tolonv', 'listen', 'complaints', 'consumers', 'forward', "]</v>
      </c>
      <c r="D1449" s="3">
        <v>1.0</v>
      </c>
    </row>
    <row r="1450" ht="15.75" customHeight="1">
      <c r="A1450" s="1">
        <v>1520.0</v>
      </c>
      <c r="B1450" s="3" t="s">
        <v>1424</v>
      </c>
      <c r="C1450" s="3" t="str">
        <f>IFERROR(__xludf.DUMMYFUNCTION("GOOGLETRANSLATE(B1450,""id"",""en"")"),"['application', 'goubblokk', 'input', 'code', 'verification', 'sya', 'copy', 'paste', 'email']")</f>
        <v>['application', 'goubblokk', 'input', 'code', 'verification', 'sya', 'copy', 'paste', 'email']</v>
      </c>
      <c r="D1450" s="3">
        <v>1.0</v>
      </c>
    </row>
    <row r="1451" ht="15.75" customHeight="1">
      <c r="A1451" s="1">
        <v>1521.0</v>
      </c>
      <c r="B1451" s="3" t="s">
        <v>1425</v>
      </c>
      <c r="C1451" s="3" t="str">
        <f>IFERROR(__xludf.DUMMYFUNCTION("GOOGLETRANSLATE(B1451,""id"",""en"")"),"['Application', 'Indihome', 'Cool', 'Help', ""]")</f>
        <v>['Application', 'Indihome', 'Cool', 'Help', "]</v>
      </c>
      <c r="D1451" s="3">
        <v>5.0</v>
      </c>
    </row>
    <row r="1452" ht="15.75" customHeight="1">
      <c r="A1452" s="1">
        <v>1522.0</v>
      </c>
      <c r="B1452" s="3" t="s">
        <v>1426</v>
      </c>
      <c r="C1452" s="3" t="str">
        <f>IFERROR(__xludf.DUMMYFUNCTION("GOOGLETRANSLATE(B1452,""id"",""en"")"),"['advanced', 'byk', 'promo', 'interesting', 'indihome', 'success']")</f>
        <v>['advanced', 'byk', 'promo', 'interesting', 'indihome', 'success']</v>
      </c>
      <c r="D1452" s="3">
        <v>5.0</v>
      </c>
    </row>
    <row r="1453" ht="15.75" customHeight="1">
      <c r="A1453" s="1">
        <v>1523.0</v>
      </c>
      <c r="B1453" s="3" t="s">
        <v>1427</v>
      </c>
      <c r="C1453" s="3" t="str">
        <f>IFERROR(__xludf.DUMMYFUNCTION("GOOGLETRANSLATE(B1453,""id"",""en"")"),"['Satisfied', 'service', 'Speed', 'internet']")</f>
        <v>['Satisfied', 'service', 'Speed', 'internet']</v>
      </c>
      <c r="D1453" s="3">
        <v>5.0</v>
      </c>
    </row>
    <row r="1454" ht="15.75" customHeight="1">
      <c r="A1454" s="1">
        <v>1524.0</v>
      </c>
      <c r="B1454" s="3" t="s">
        <v>1428</v>
      </c>
      <c r="C1454" s="3" t="str">
        <f>IFERROR(__xludf.DUMMYFUNCTION("GOOGLETRANSLATE(B1454,""id"",""en"")"),"['WiFi', 'TOP', 'INDIHOME', 'MANTAP']")</f>
        <v>['WiFi', 'TOP', 'INDIHOME', 'MANTAP']</v>
      </c>
      <c r="D1454" s="3">
        <v>5.0</v>
      </c>
    </row>
    <row r="1455" ht="15.75" customHeight="1">
      <c r="A1455" s="1">
        <v>1526.0</v>
      </c>
      <c r="B1455" s="3" t="s">
        <v>1429</v>
      </c>
      <c r="C1455" s="3" t="str">
        <f>IFERROR(__xludf.DUMMYFUNCTION("GOOGLETRANSLATE(B1455,""id"",""en"")"),"['mntap', 'according to', 'abrance', 'pay']")</f>
        <v>['mntap', 'according to', 'abrance', 'pay']</v>
      </c>
      <c r="D1455" s="3">
        <v>5.0</v>
      </c>
    </row>
    <row r="1456" ht="15.75" customHeight="1">
      <c r="A1456" s="1">
        <v>1527.0</v>
      </c>
      <c r="B1456" s="3" t="s">
        <v>1430</v>
      </c>
      <c r="C1456" s="3" t="str">
        <f>IFERROR(__xludf.DUMMYFUNCTION("GOOGLETRANSLATE(B1456,""id"",""en"")"),"['application', 'slow', 'report', 'disruption', 'appears', 'subscribe', 'internet', 'already', 'pay', 'expensive', 'subscribe']")</f>
        <v>['application', 'slow', 'report', 'disruption', 'appears', 'subscribe', 'internet', 'already', 'pay', 'expensive', 'subscribe']</v>
      </c>
      <c r="D1456" s="3">
        <v>1.0</v>
      </c>
    </row>
    <row r="1457" ht="15.75" customHeight="1">
      <c r="A1457" s="1">
        <v>1528.0</v>
      </c>
      <c r="B1457" s="3" t="s">
        <v>1431</v>
      </c>
      <c r="C1457" s="3" t="str">
        <f>IFERROR(__xludf.DUMMYFUNCTION("GOOGLETRANSLATE(B1457,""id"",""en"")"),"['Yeaa', 'application', 'update', 'Indihome', 'easy', 'use it', 'item', 'item', 'choice', 'package', 'bill', 'appears',' Details', 'Help', 'Indihome', 'Accustomed', 'Update', 'Hazards',' Step ',' Step ',' Indihome ',' Mood ',' Yaaa ']")</f>
        <v>['Yeaa', 'application', 'update', 'Indihome', 'easy', 'use it', 'item', 'item', 'choice', 'package', 'bill', 'appears',' Details', 'Help', 'Indihome', 'Accustomed', 'Update', 'Hazards',' Step ',' Step ',' Indihome ',' Mood ',' Yaaa ']</v>
      </c>
      <c r="D1457" s="3">
        <v>4.0</v>
      </c>
    </row>
    <row r="1458" ht="15.75" customHeight="1">
      <c r="A1458" s="1">
        <v>1529.0</v>
      </c>
      <c r="B1458" s="3" t="s">
        <v>1432</v>
      </c>
      <c r="C1458" s="3" t="str">
        <f>IFERROR(__xludf.DUMMYFUNCTION("GOOGLETRANSLATE(B1458,""id"",""en"")"),"['Update', 'Login']")</f>
        <v>['Update', 'Login']</v>
      </c>
      <c r="D1458" s="3">
        <v>1.0</v>
      </c>
    </row>
    <row r="1459" ht="15.75" customHeight="1">
      <c r="A1459" s="1">
        <v>1530.0</v>
      </c>
      <c r="B1459" s="3" t="s">
        <v>859</v>
      </c>
      <c r="C1459" s="3" t="str">
        <f>IFERROR(__xludf.DUMMYFUNCTION("GOOGLETRANSLATE(B1459,""id"",""en"")"),"['Application', 'Useful']")</f>
        <v>['Application', 'Useful']</v>
      </c>
      <c r="D1459" s="3">
        <v>1.0</v>
      </c>
    </row>
    <row r="1460" ht="15.75" customHeight="1">
      <c r="A1460" s="1">
        <v>1531.0</v>
      </c>
      <c r="B1460" s="3" t="s">
        <v>1433</v>
      </c>
      <c r="C1460" s="3" t="str">
        <f>IFERROR(__xludf.DUMMYFUNCTION("GOOGLETRANSLATE(B1460,""id"",""en"")"),"['Satisfying', 'Anyway', 'Kayak', 'Vehicle', 'Myindihome', '']")</f>
        <v>['Satisfying', 'Anyway', 'Kayak', 'Vehicle', 'Myindihome', '']</v>
      </c>
      <c r="D1460" s="3">
        <v>5.0</v>
      </c>
    </row>
    <row r="1461" ht="15.75" customHeight="1">
      <c r="A1461" s="1">
        <v>1532.0</v>
      </c>
      <c r="B1461" s="3" t="s">
        <v>1434</v>
      </c>
      <c r="C1461" s="3" t="str">
        <f>IFERROR(__xludf.DUMMYFUNCTION("GOOGLETRANSLATE(B1461,""id"",""en"")"),"['updated', 'good', 'application']")</f>
        <v>['updated', 'good', 'application']</v>
      </c>
      <c r="D1461" s="3">
        <v>1.0</v>
      </c>
    </row>
    <row r="1462" ht="15.75" customHeight="1">
      <c r="A1462" s="1">
        <v>1533.0</v>
      </c>
      <c r="B1462" s="3" t="s">
        <v>1435</v>
      </c>
      <c r="C1462" s="3" t="str">
        <f>IFERROR(__xludf.DUMMYFUNCTION("GOOGLETRANSLATE(B1462,""id"",""en"")"),"['version', 'newest', 'cool', 'the application', 'slow', 'network', 'wifinya', 'slow', 'mbps',' complaint ',' service ',' via ',' Email ',' fast ',' responsive ',' fast ',' handled ',' thank ',' love ',' indihome ',' success']")</f>
        <v>['version', 'newest', 'cool', 'the application', 'slow', 'network', 'wifinya', 'slow', 'mbps',' complaint ',' service ',' via ',' Email ',' fast ',' responsive ',' fast ',' handled ',' thank ',' love ',' indihome ',' success']</v>
      </c>
      <c r="D1462" s="3">
        <v>5.0</v>
      </c>
    </row>
    <row r="1463" ht="15.75" customHeight="1">
      <c r="A1463" s="1">
        <v>1534.0</v>
      </c>
      <c r="B1463" s="3" t="s">
        <v>1436</v>
      </c>
      <c r="C1463" s="3" t="str">
        <f>IFERROR(__xludf.DUMMYFUNCTION("GOOGLETRANSLATE(B1463,""id"",""en"")"),"['Good', '']")</f>
        <v>['Good', '']</v>
      </c>
      <c r="D1463" s="3">
        <v>5.0</v>
      </c>
    </row>
    <row r="1464" ht="15.75" customHeight="1">
      <c r="A1464" s="1">
        <v>1535.0</v>
      </c>
      <c r="B1464" s="3" t="s">
        <v>1437</v>
      </c>
      <c r="C1464" s="3" t="str">
        <f>IFERROR(__xludf.DUMMYFUNCTION("GOOGLETRANSLATE(B1464,""id"",""en"")"),"['Alhamdulillah', 'all', 'subscribe', 'Indihome', 'subscribe', 'money', 'run out', 'buy', 'quota', 'money', 'buy', 'quota', ' Numpang ',' wifi ',' neighbor ',' best ',' mainly ',' mah ',' subscribe ',' indi ',' home ',' college ',' safe ',' obstacle ',' t"&amp;"hank you ' ]")</f>
        <v>['Alhamdulillah', 'all', 'subscribe', 'Indihome', 'subscribe', 'money', 'run out', 'buy', 'quota', 'money', 'buy', 'quota', ' Numpang ',' wifi ',' neighbor ',' best ',' mainly ',' mah ',' subscribe ',' indi ',' home ',' college ',' safe ',' obstacle ',' thank you ' ]</v>
      </c>
      <c r="D1464" s="3">
        <v>5.0</v>
      </c>
    </row>
    <row r="1465" ht="15.75" customHeight="1">
      <c r="A1465" s="1">
        <v>1536.0</v>
      </c>
      <c r="B1465" s="3" t="s">
        <v>1438</v>
      </c>
      <c r="C1465" s="3" t="str">
        <f>IFERROR(__xludf.DUMMYFUNCTION("GOOGLETRANSLATE(B1465,""id"",""en"")"),"['Use', 'Satisfied', '']")</f>
        <v>['Use', 'Satisfied', '']</v>
      </c>
      <c r="D1465" s="3">
        <v>5.0</v>
      </c>
    </row>
    <row r="1466" ht="15.75" customHeight="1">
      <c r="A1466" s="1">
        <v>1537.0</v>
      </c>
      <c r="B1466" s="3" t="s">
        <v>1439</v>
      </c>
      <c r="C1466" s="3" t="str">
        <f>IFERROR(__xludf.DUMMYFUNCTION("GOOGLETRANSLATE(B1466,""id"",""en"")"),"['Fix', 'Loading']")</f>
        <v>['Fix', 'Loading']</v>
      </c>
      <c r="D1466" s="3">
        <v>5.0</v>
      </c>
    </row>
    <row r="1467" ht="15.75" customHeight="1">
      <c r="A1467" s="1">
        <v>1538.0</v>
      </c>
      <c r="B1467" s="3" t="s">
        <v>1440</v>
      </c>
      <c r="C1467" s="3" t="str">
        <f>IFERROR(__xludf.DUMMYFUNCTION("GOOGLETRANSLATE(B1467,""id"",""en"")"),"['sip', 'application', 'help']")</f>
        <v>['sip', 'application', 'help']</v>
      </c>
      <c r="D1467" s="3">
        <v>5.0</v>
      </c>
    </row>
    <row r="1468" ht="15.75" customHeight="1">
      <c r="A1468" s="1">
        <v>1539.0</v>
      </c>
      <c r="B1468" s="3" t="s">
        <v>1441</v>
      </c>
      <c r="C1468" s="3" t="str">
        <f>IFERROR(__xludf.DUMMYFUNCTION("GOOGLETRANSLATE(B1468,""id"",""en"")"),"['Indihome', 'jancookkkk']")</f>
        <v>['Indihome', 'jancookkkk']</v>
      </c>
      <c r="D1468" s="3">
        <v>1.0</v>
      </c>
    </row>
    <row r="1469" ht="15.75" customHeight="1">
      <c r="A1469" s="1">
        <v>1540.0</v>
      </c>
      <c r="B1469" s="3" t="s">
        <v>548</v>
      </c>
      <c r="C1469" s="3" t="str">
        <f>IFERROR(__xludf.DUMMYFUNCTION("GOOGLETRANSLATE(B1469,""id"",""en"")"),"['help', '']")</f>
        <v>['help', '']</v>
      </c>
      <c r="D1469" s="3">
        <v>5.0</v>
      </c>
    </row>
    <row r="1470" ht="15.75" customHeight="1">
      <c r="A1470" s="1">
        <v>1541.0</v>
      </c>
      <c r="B1470" s="3" t="s">
        <v>1442</v>
      </c>
      <c r="C1470" s="3" t="str">
        <f>IFERROR(__xludf.DUMMYFUNCTION("GOOGLETRANSLATE(B1470,""id"",""en"")"),"['', 'Honest', 'Application', 'Features',' Set ',' Customer ',' Good ',' Helpful ',' Date ',' Bill ',' Waiting ',' Notification ',' Arrears ',' payment ',' Indihome ',' already ',' upgrade ',' a little ',' crawl ',' road ',' foot ',' hahaha ',' btw ',' go"&amp;"od ',' progress', 'Satisfaction', 'Customer', 'Indihome', 'Sampe', 'Left Behind', 'Today', 'Changed', 'Hoping', 'Gas', 'Bre', 'Continue', ""]")</f>
        <v>['', 'Honest', 'Application', 'Features',' Set ',' Customer ',' Good ',' Helpful ',' Date ',' Bill ',' Waiting ',' Notification ',' Arrears ',' payment ',' Indihome ',' already ',' upgrade ',' a little ',' crawl ',' road ',' foot ',' hahaha ',' btw ',' good ',' progress', 'Satisfaction', 'Customer', 'Indihome', 'Sampe', 'Left Behind', 'Today', 'Changed', 'Hoping', 'Gas', 'Bre', 'Continue', "]</v>
      </c>
      <c r="D1470" s="3">
        <v>4.0</v>
      </c>
    </row>
    <row r="1471" ht="15.75" customHeight="1">
      <c r="A1471" s="1">
        <v>1542.0</v>
      </c>
      <c r="B1471" s="3" t="s">
        <v>1443</v>
      </c>
      <c r="C1471" s="3" t="str">
        <f>IFERROR(__xludf.DUMMYFUNCTION("GOOGLETRANSLATE(B1471,""id"",""en"")"),"['Comfortable', 'application', 'easy', 'saggy', 'performance', '']")</f>
        <v>['Comfortable', 'application', 'easy', 'saggy', 'performance', '']</v>
      </c>
      <c r="D1471" s="3">
        <v>5.0</v>
      </c>
    </row>
    <row r="1472" ht="15.75" customHeight="1">
      <c r="A1472" s="1">
        <v>1543.0</v>
      </c>
      <c r="B1472" s="3" t="s">
        <v>1444</v>
      </c>
      <c r="C1472" s="3" t="str">
        <f>IFERROR(__xludf.DUMMYFUNCTION("GOOGLETRANSLATE(B1472,""id"",""en"")"),"['Support', 'Information', 'Regarding', 'Customer', 'Easy to', 'Customer', 'Solution', 'Constraints']")</f>
        <v>['Support', 'Information', 'Regarding', 'Customer', 'Easy to', 'Customer', 'Solution', 'Constraints']</v>
      </c>
      <c r="D1472" s="3">
        <v>5.0</v>
      </c>
    </row>
    <row r="1473" ht="15.75" customHeight="1">
      <c r="A1473" s="1">
        <v>1544.0</v>
      </c>
      <c r="B1473" s="3" t="s">
        <v>1445</v>
      </c>
      <c r="C1473" s="3" t="str">
        <f>IFERROR(__xludf.DUMMYFUNCTION("GOOGLETRANSLATE(B1473,""id"",""en"")"),"['Really', 'Bad', 'Service', 'Bad', 'Quality', 'chaotic', 'crazyaaakk', 'really', 'application', 'meet', 'needs',' application ',' The point is', 'developers',' level ',' internship ',' times', 'until', 'for days',' this is', 'troublenya', ""]")</f>
        <v>['Really', 'Bad', 'Service', 'Bad', 'Quality', 'chaotic', 'crazyaaakk', 'really', 'application', 'meet', 'needs',' application ',' The point is', 'developers',' level ',' internship ',' times', 'until', 'for days',' this is', 'troublenya', "]</v>
      </c>
      <c r="D1473" s="3">
        <v>1.0</v>
      </c>
    </row>
    <row r="1474" ht="15.75" customHeight="1">
      <c r="A1474" s="1">
        <v>1545.0</v>
      </c>
      <c r="B1474" s="3" t="s">
        <v>1446</v>
      </c>
      <c r="C1474" s="3" t="str">
        <f>IFERROR(__xludf.DUMMYFUNCTION("GOOGLETRANSLATE(B1474,""id"",""en"")"),"['assalamu', 'alaikum', 'warahmatullah', 'wabarakatuh', 'helped', 'indihome', 'work', 'easy', 'thanks',' suggestion ',' application ',' Sometimes', 'stable', 'please', 'check', 'spirit', '']")</f>
        <v>['assalamu', 'alaikum', 'warahmatullah', 'wabarakatuh', 'helped', 'indihome', 'work', 'easy', 'thanks',' suggestion ',' application ',' Sometimes', 'stable', 'please', 'check', 'spirit', '']</v>
      </c>
      <c r="D1474" s="3">
        <v>5.0</v>
      </c>
    </row>
    <row r="1475" ht="15.75" customHeight="1">
      <c r="A1475" s="1">
        <v>1546.0</v>
      </c>
      <c r="B1475" s="3" t="s">
        <v>1447</v>
      </c>
      <c r="C1475" s="3" t="str">
        <f>IFERROR(__xludf.DUMMYFUNCTION("GOOGLETRANSLATE(B1475,""id"",""en"")"),"['already', 'use', 'Indihome', 'Indihome', 'service', 'best', 'online', 'offline', 'signal', 'good', 'recommended', 'really', ' Subscribe ',' Indihome ',' Success', 'Indihome', '']")</f>
        <v>['already', 'use', 'Indihome', 'Indihome', 'service', 'best', 'online', 'offline', 'signal', 'good', 'recommended', 'really', ' Subscribe ',' Indihome ',' Success', 'Indihome', '']</v>
      </c>
      <c r="D1475" s="3">
        <v>5.0</v>
      </c>
    </row>
    <row r="1476" ht="15.75" customHeight="1">
      <c r="A1476" s="1">
        <v>1547.0</v>
      </c>
      <c r="B1476" s="3" t="s">
        <v>1448</v>
      </c>
      <c r="C1476" s="3" t="str">
        <f>IFERROR(__xludf.DUMMYFUNCTION("GOOGLETRANSLATE(B1476,""id"",""en"")"),"['Network', 'wifi', 'area', 'Indihome', 'use', 'Indihome', 'SNAGAT', 'Help', 'Lecture', 'Online', 'at home', 'delight', ' Trouble ',' Technical ',' Direct ',' Gercep ',' Thank you ',' Indihome ']")</f>
        <v>['Network', 'wifi', 'area', 'Indihome', 'use', 'Indihome', 'SNAGAT', 'Help', 'Lecture', 'Online', 'at home', 'delight', ' Trouble ',' Technical ',' Direct ',' Gercep ',' Thank you ',' Indihome ']</v>
      </c>
      <c r="D1476" s="3">
        <v>5.0</v>
      </c>
    </row>
    <row r="1477" ht="15.75" customHeight="1">
      <c r="A1477" s="1">
        <v>1548.0</v>
      </c>
      <c r="B1477" s="3" t="s">
        <v>1449</v>
      </c>
      <c r="C1477" s="3" t="str">
        <f>IFERROR(__xludf.DUMMYFUNCTION("GOOGLETRANSLATE(B1477,""id"",""en"")"),"['Good', 'Helpful']")</f>
        <v>['Good', 'Helpful']</v>
      </c>
      <c r="D1477" s="3">
        <v>5.0</v>
      </c>
    </row>
    <row r="1478" ht="15.75" customHeight="1">
      <c r="A1478" s="1">
        <v>1549.0</v>
      </c>
      <c r="B1478" s="3" t="s">
        <v>1450</v>
      </c>
      <c r="C1478" s="3" t="str">
        <f>IFERROR(__xludf.DUMMYFUNCTION("GOOGLETRANSLATE(B1478,""id"",""en"")"),"['The application', 'Not bad', 'help', 'report', 'disorder', '']")</f>
        <v>['The application', 'Not bad', 'help', 'report', 'disorder', '']</v>
      </c>
      <c r="D1478" s="3">
        <v>4.0</v>
      </c>
    </row>
    <row r="1479" ht="15.75" customHeight="1">
      <c r="A1479" s="1">
        <v>1550.0</v>
      </c>
      <c r="B1479" s="3" t="s">
        <v>1451</v>
      </c>
      <c r="C1479" s="3" t="str">
        <f>IFERROR(__xludf.DUMMYFUNCTION("GOOGLETRANSLATE(B1479,""id"",""en"")"),"['Use', 'Indihom', '']")</f>
        <v>['Use', 'Indihom', '']</v>
      </c>
      <c r="D1479" s="3">
        <v>5.0</v>
      </c>
    </row>
    <row r="1480" ht="15.75" customHeight="1">
      <c r="A1480" s="1">
        <v>1551.0</v>
      </c>
      <c r="B1480" s="3" t="s">
        <v>1452</v>
      </c>
      <c r="C1480" s="3" t="str">
        <f>IFERROR(__xludf.DUMMYFUNCTION("GOOGLETRANSLATE(B1480,""id"",""en"")"),"['Help', 'function']")</f>
        <v>['Help', 'function']</v>
      </c>
      <c r="D1480" s="3">
        <v>5.0</v>
      </c>
    </row>
    <row r="1481" ht="15.75" customHeight="1">
      <c r="A1481" s="1">
        <v>1552.0</v>
      </c>
      <c r="B1481" s="3" t="s">
        <v>1453</v>
      </c>
      <c r="C1481" s="3" t="str">
        <f>IFERROR(__xludf.DUMMYFUNCTION("GOOGLETRANSLATE(B1481,""id"",""en"")"),"['service', 'improvement', 'fast', 'good', 'indihome', 'problematic', 'hope', 'increase', '']")</f>
        <v>['service', 'improvement', 'fast', 'good', 'indihome', 'problematic', 'hope', 'increase', '']</v>
      </c>
      <c r="D1481" s="3">
        <v>5.0</v>
      </c>
    </row>
    <row r="1482" ht="15.75" customHeight="1">
      <c r="A1482" s="1">
        <v>1553.0</v>
      </c>
      <c r="B1482" s="3" t="s">
        <v>1454</v>
      </c>
      <c r="C1482" s="3" t="str">
        <f>IFERROR(__xludf.DUMMYFUNCTION("GOOGLETRANSLATE(B1482,""id"",""en"")"),"['Network', 'The widest', 'Indonesia', 'Hopefully', 'Increase', 'Quality', 'Service', 'internet', ""]")</f>
        <v>['Network', 'The widest', 'Indonesia', 'Hopefully', 'Increase', 'Quality', 'Service', 'internet', "]</v>
      </c>
      <c r="D1482" s="3">
        <v>5.0</v>
      </c>
    </row>
    <row r="1483" ht="15.75" customHeight="1">
      <c r="A1483" s="1">
        <v>1554.0</v>
      </c>
      <c r="B1483" s="3" t="s">
        <v>1455</v>
      </c>
      <c r="C1483" s="3" t="str">
        <f>IFERROR(__xludf.DUMMYFUNCTION("GOOGLETRANSLATE(B1483,""id"",""en"")"),"['Good', 'Good', 'Klw', 'Equipped', 'Update', '']")</f>
        <v>['Good', 'Good', 'Klw', 'Equipped', 'Update', '']</v>
      </c>
      <c r="D1483" s="3">
        <v>5.0</v>
      </c>
    </row>
    <row r="1484" ht="15.75" customHeight="1">
      <c r="A1484" s="1">
        <v>1556.0</v>
      </c>
      <c r="B1484" s="3" t="s">
        <v>1456</v>
      </c>
      <c r="C1484" s="3" t="str">
        <f>IFERROR(__xludf.DUMMYFUNCTION("GOOGLETRANSLATE(B1484,""id"",""en"")"),"['Indihome', 'wifi', 'help', 'soften', 'package', 'data', 'family', 'at home', 'Thanks', 'indihome', ""]")</f>
        <v>['Indihome', 'wifi', 'help', 'soften', 'package', 'data', 'family', 'at home', 'Thanks', 'indihome', "]</v>
      </c>
      <c r="D1484" s="3">
        <v>5.0</v>
      </c>
    </row>
    <row r="1485" ht="15.75" customHeight="1">
      <c r="A1485" s="1">
        <v>1557.0</v>
      </c>
      <c r="B1485" s="3" t="s">
        <v>1457</v>
      </c>
      <c r="C1485" s="3" t="str">
        <f>IFERROR(__xludf.DUMMYFUNCTION("GOOGLETRANSLATE(B1485,""id"",""en"")"),"['Application', 'Modern', 'Kerennn', '']")</f>
        <v>['Application', 'Modern', 'Kerennn', '']</v>
      </c>
      <c r="D1485" s="3">
        <v>5.0</v>
      </c>
    </row>
    <row r="1486" ht="15.75" customHeight="1">
      <c r="A1486" s="1">
        <v>1558.0</v>
      </c>
      <c r="B1486" s="3" t="s">
        <v>1458</v>
      </c>
      <c r="C1486" s="3" t="str">
        <f>IFERROR(__xludf.DUMMYFUNCTION("GOOGLETRANSLATE(B1486,""id"",""en"")"),"['design', 'informative', 'easy', 'understood', 'Defend', 'already', '']")</f>
        <v>['design', 'informative', 'easy', 'understood', 'Defend', 'already', '']</v>
      </c>
      <c r="D1486" s="3">
        <v>5.0</v>
      </c>
    </row>
    <row r="1487" ht="15.75" customHeight="1">
      <c r="A1487" s="1">
        <v>1559.0</v>
      </c>
      <c r="B1487" s="3" t="s">
        <v>1459</v>
      </c>
      <c r="C1487" s="3" t="str">
        <f>IFERROR(__xludf.DUMMYFUNCTION("GOOGLETRANSLATE(B1487,""id"",""en"")"),"['Network', 'steady']")</f>
        <v>['Network', 'steady']</v>
      </c>
      <c r="D1487" s="3">
        <v>5.0</v>
      </c>
    </row>
    <row r="1488" ht="15.75" customHeight="1">
      <c r="A1488" s="1">
        <v>1560.0</v>
      </c>
      <c r="B1488" s="3" t="s">
        <v>1460</v>
      </c>
      <c r="C1488" s="3" t="str">
        <f>IFERROR(__xludf.DUMMYFUNCTION("GOOGLETRANSLATE(B1488,""id"",""en"")"),"['application', 'delicious',' choose ',' package ',' list ',' just ',' check ',' availability ',' network ',' location ',' hope ',' application ',' MyIndihome ',' Optimize ',' Current ',' ']")</f>
        <v>['application', 'delicious',' choose ',' package ',' list ',' just ',' check ',' availability ',' network ',' location ',' hope ',' application ',' MyIndihome ',' Optimize ',' Current ',' ']</v>
      </c>
      <c r="D1488" s="3">
        <v>5.0</v>
      </c>
    </row>
    <row r="1489" ht="15.75" customHeight="1">
      <c r="A1489" s="1">
        <v>1561.0</v>
      </c>
      <c r="B1489" s="3" t="s">
        <v>1461</v>
      </c>
      <c r="C1489" s="3" t="str">
        <f>IFERROR(__xludf.DUMMYFUNCTION("GOOGLETRANSLATE(B1489,""id"",""en"")"),"['team', 'Indihome', 'creative', 'add to', 'button', 'reset', 'setting', 'password', 'router', 'indihome', 'where', 'online', ' ']")</f>
        <v>['team', 'Indihome', 'creative', 'add to', 'button', 'reset', 'setting', 'password', 'router', 'indihome', 'where', 'online', ' ']</v>
      </c>
      <c r="D1489" s="3">
        <v>4.0</v>
      </c>
    </row>
    <row r="1490" ht="15.75" customHeight="1">
      <c r="A1490" s="1">
        <v>1562.0</v>
      </c>
      <c r="B1490" s="3" t="s">
        <v>1462</v>
      </c>
      <c r="C1490" s="3" t="str">
        <f>IFERROR(__xludf.DUMMYFUNCTION("GOOGLETRANSLATE(B1490,""id"",""en"")"),"['Application', 'INDIHOME', 'HELP', 'AMII', 'MANAPPP', 'Anyway', ""]")</f>
        <v>['Application', 'INDIHOME', 'HELP', 'AMII', 'MANAPPP', 'Anyway', "]</v>
      </c>
      <c r="D1490" s="3">
        <v>5.0</v>
      </c>
    </row>
    <row r="1491" ht="15.75" customHeight="1">
      <c r="A1491" s="1">
        <v>1563.0</v>
      </c>
      <c r="B1491" s="3" t="s">
        <v>1463</v>
      </c>
      <c r="C1491" s="3" t="str">
        <f>IFERROR(__xludf.DUMMYFUNCTION("GOOGLETRANSLATE(B1491,""id"",""en"")"),"['Life', 'Lemoottttttt', 'Sometimes', 'like', 'Disagreement', ""]")</f>
        <v>['Life', 'Lemoottttttt', 'Sometimes', 'like', 'Disagreement', "]</v>
      </c>
      <c r="D1491" s="3">
        <v>5.0</v>
      </c>
    </row>
    <row r="1492" ht="15.75" customHeight="1">
      <c r="A1492" s="1">
        <v>1564.0</v>
      </c>
      <c r="B1492" s="3" t="s">
        <v>1464</v>
      </c>
      <c r="C1492" s="3" t="str">
        <f>IFERROR(__xludf.DUMMYFUNCTION("GOOGLETRANSLATE(B1492,""id"",""en"")"),"['use', 'Indihome', 'network', 'satisfying', 'help', 'anything', 'Thank you', 'Indihome', ""]")</f>
        <v>['use', 'Indihome', 'network', 'satisfying', 'help', 'anything', 'Thank you', 'Indihome', "]</v>
      </c>
      <c r="D1492" s="3">
        <v>5.0</v>
      </c>
    </row>
    <row r="1493" ht="15.75" customHeight="1">
      <c r="A1493" s="1">
        <v>1567.0</v>
      </c>
      <c r="B1493" s="3" t="s">
        <v>1465</v>
      </c>
      <c r="C1493" s="3" t="str">
        <f>IFERROR(__xludf.DUMMYFUNCTION("GOOGLETRANSLATE(B1493,""id"",""en"")"),"['continue', 'quality', 'best']")</f>
        <v>['continue', 'quality', 'best']</v>
      </c>
      <c r="D1493" s="3">
        <v>5.0</v>
      </c>
    </row>
    <row r="1494" ht="15.75" customHeight="1">
      <c r="A1494" s="1">
        <v>1569.0</v>
      </c>
      <c r="B1494" s="3" t="s">
        <v>1466</v>
      </c>
      <c r="C1494" s="3" t="str">
        <f>IFERROR(__xludf.DUMMYFUNCTION("GOOGLETRANSLATE(B1494,""id"",""en"")"),"['Internet', 'Pay', 'Network']")</f>
        <v>['Internet', 'Pay', 'Network']</v>
      </c>
      <c r="D1494" s="3">
        <v>1.0</v>
      </c>
    </row>
    <row r="1495" ht="15.75" customHeight="1">
      <c r="A1495" s="1">
        <v>1570.0</v>
      </c>
      <c r="B1495" s="3" t="s">
        <v>1467</v>
      </c>
      <c r="C1495" s="3" t="str">
        <f>IFERROR(__xludf.DUMMYFUNCTION("GOOGLETRANSLATE(B1495,""id"",""en"")"),"['Good', 'renewal', 'destroyed', 'the application', 'opened', 'application', 'garbage', 'please', 'repaired', ""]")</f>
        <v>['Good', 'renewal', 'destroyed', 'the application', 'opened', 'application', 'garbage', 'please', 'repaired', "]</v>
      </c>
      <c r="D1495" s="3">
        <v>1.0</v>
      </c>
    </row>
    <row r="1496" ht="15.75" customHeight="1">
      <c r="A1496" s="1">
        <v>1571.0</v>
      </c>
      <c r="B1496" s="3" t="s">
        <v>1468</v>
      </c>
      <c r="C1496" s="3" t="str">
        <f>IFERROR(__xludf.DUMMYFUNCTION("GOOGLETRANSLATE(B1496,""id"",""en"")"),"['Points',' enter ',' thank ',' love ',' service ',' admin ',' telkom ',' complaint ',' twitter ',' telephone ',' direct ',' stay ',' Tangarin ',' Points']")</f>
        <v>['Points',' enter ',' thank ',' love ',' service ',' admin ',' telkom ',' complaint ',' twitter ',' telephone ',' direct ',' stay ',' Tangarin ',' Points']</v>
      </c>
      <c r="D1496" s="3">
        <v>5.0</v>
      </c>
    </row>
    <row r="1497" ht="15.75" customHeight="1">
      <c r="A1497" s="1">
        <v>1572.0</v>
      </c>
      <c r="B1497" s="3" t="s">
        <v>1469</v>
      </c>
      <c r="C1497" s="3" t="str">
        <f>IFERROR(__xludf.DUMMYFUNCTION("GOOGLETRANSLATE(B1497,""id"",""en"")"),"['Mantaaap', '']")</f>
        <v>['Mantaaap', '']</v>
      </c>
      <c r="D1497" s="3">
        <v>5.0</v>
      </c>
    </row>
    <row r="1498" ht="15.75" customHeight="1">
      <c r="A1498" s="1">
        <v>1573.0</v>
      </c>
      <c r="B1498" s="3" t="s">
        <v>1470</v>
      </c>
      <c r="C1498" s="3" t="str">
        <f>IFERROR(__xludf.DUMMYFUNCTION("GOOGLETRANSLATE(B1498,""id"",""en"")"),"['', 'Bad', 'Response', 'Need', 'Solution', 'Need', 'Help', 'Reply', 'CMA', 'Payment', 'Diligently', 'Email', 'Nelpun ',' complaints', 'customers',' connections', 'replace', 'passwood', 'wifi', 'respont', 'at all', 'care', 'need', 'cater', 'disappointed',"&amp;" 'cave', '']")</f>
        <v>['', 'Bad', 'Response', 'Need', 'Solution', 'Need', 'Help', 'Reply', 'CMA', 'Payment', 'Diligently', 'Email', 'Nelpun ',' complaints', 'customers',' connections', 'replace', 'passwood', 'wifi', 'respont', 'at all', 'care', 'need', 'cater', 'disappointed', 'cave', '']</v>
      </c>
      <c r="D1498" s="3">
        <v>1.0</v>
      </c>
    </row>
    <row r="1499" ht="15.75" customHeight="1">
      <c r="A1499" s="1">
        <v>1574.0</v>
      </c>
      <c r="B1499" s="3" t="s">
        <v>1471</v>
      </c>
      <c r="C1499" s="3" t="str">
        <f>IFERROR(__xludf.DUMMYFUNCTION("GOOGLETRANSLATE(B1499,""id"",""en"")"),"['Performance', 'Improvement']")</f>
        <v>['Performance', 'Improvement']</v>
      </c>
      <c r="D1499" s="3">
        <v>1.0</v>
      </c>
    </row>
    <row r="1500" ht="15.75" customHeight="1">
      <c r="A1500" s="1">
        <v>1575.0</v>
      </c>
      <c r="B1500" s="3" t="s">
        <v>1472</v>
      </c>
      <c r="C1500" s="3" t="str">
        <f>IFERROR(__xludf.DUMMYFUNCTION("GOOGLETRANSLATE(B1500,""id"",""en"")"),"['entry', 'Yesterday', 'tasty', 'klau', 'check', 'told', 'password', 'enter', 'email', 'uda', 'mala', 'uda', ' subscribe ',' please ',' made easier ',' difficult ',' klau ',' late ',' pay ',' direct ',' broke ']")</f>
        <v>['entry', 'Yesterday', 'tasty', 'klau', 'check', 'told', 'password', 'enter', 'email', 'uda', 'mala', 'uda', ' subscribe ',' please ',' made easier ',' difficult ',' klau ',' late ',' pay ',' direct ',' broke ']</v>
      </c>
      <c r="D1500" s="3">
        <v>2.0</v>
      </c>
    </row>
    <row r="1501" ht="15.75" customHeight="1">
      <c r="A1501" s="1">
        <v>1576.0</v>
      </c>
      <c r="B1501" s="3" t="s">
        <v>1473</v>
      </c>
      <c r="C1501" s="3" t="str">
        <f>IFERROR(__xludf.DUMMYFUNCTION("GOOGLETRANSLATE(B1501,""id"",""en"")"),"['thank', 'love', 'indihome', 'help', 'work', 'sales',' product ',' digital ',' advanced ',' success', 'indihome', ' ']")</f>
        <v>['thank', 'love', 'indihome', 'help', 'work', 'sales',' product ',' digital ',' advanced ',' success', 'indihome', ' ']</v>
      </c>
      <c r="D1501" s="3">
        <v>5.0</v>
      </c>
    </row>
    <row r="1502" ht="15.75" customHeight="1">
      <c r="A1502" s="1">
        <v>1578.0</v>
      </c>
      <c r="B1502" s="3" t="s">
        <v>1474</v>
      </c>
      <c r="C1502" s="3" t="str">
        <f>IFERROR(__xludf.DUMMYFUNCTION("GOOGLETRANSLATE(B1502,""id"",""en"")"),"['speed', 'good', 'use', 'both', 'husband', 'times',' error ',' no ',' use ',' Alhamdulillah ',' his officer ',' home ',' disruption ',' officer ',' friendly ',' hope ',' improvement ',' aspect ',' quality ',' peyanan ', ""]")</f>
        <v>['speed', 'good', 'use', 'both', 'husband', 'times',' error ',' no ',' use ',' Alhamdulillah ',' his officer ',' home ',' disruption ',' officer ',' friendly ',' hope ',' improvement ',' aspect ',' quality ',' peyanan ', "]</v>
      </c>
      <c r="D1502" s="3">
        <v>4.0</v>
      </c>
    </row>
    <row r="1503" ht="15.75" customHeight="1">
      <c r="A1503" s="1">
        <v>1579.0</v>
      </c>
      <c r="B1503" s="3" t="s">
        <v>1475</v>
      </c>
      <c r="C1503" s="3" t="str">
        <f>IFERROR(__xludf.DUMMYFUNCTION("GOOGLETRANSLATE(B1503,""id"",""en"")"),"['The application', 'runs', 'Krimalaa', 'makes it easy', 'just']")</f>
        <v>['The application', 'runs', 'Krimalaa', 'makes it easy', 'just']</v>
      </c>
      <c r="D1503" s="3">
        <v>5.0</v>
      </c>
    </row>
    <row r="1504" ht="15.75" customHeight="1">
      <c r="A1504" s="1">
        <v>1580.0</v>
      </c>
      <c r="B1504" s="3" t="s">
        <v>1476</v>
      </c>
      <c r="C1504" s="3" t="str">
        <f>IFERROR(__xludf.DUMMYFUNCTION("GOOGLETRANSLATE(B1504,""id"",""en"")"),"['', 'comen', 'deh']")</f>
        <v>['', 'comen', 'deh']</v>
      </c>
      <c r="D1504" s="3">
        <v>1.0</v>
      </c>
    </row>
    <row r="1505" ht="15.75" customHeight="1">
      <c r="A1505" s="1">
        <v>1581.0</v>
      </c>
      <c r="B1505" s="3" t="s">
        <v>1477</v>
      </c>
      <c r="C1505" s="3" t="str">
        <f>IFERROR(__xludf.DUMMYFUNCTION("GOOGLETRANSLATE(B1505,""id"",""en"")"),"['slow', 'slow', 'severe']")</f>
        <v>['slow', 'slow', 'severe']</v>
      </c>
      <c r="D1505" s="3">
        <v>1.0</v>
      </c>
    </row>
    <row r="1506" ht="15.75" customHeight="1">
      <c r="A1506" s="1">
        <v>1582.0</v>
      </c>
      <c r="B1506" s="3" t="s">
        <v>1478</v>
      </c>
      <c r="C1506" s="3" t="str">
        <f>IFERROR(__xludf.DUMMYFUNCTION("GOOGLETRANSLATE(B1506,""id"",""en"")"),"['Where', 'repair', 'version', 'Loading', 'slow', 'feature', 'value', 'change', 'class',' product ',' BUMN ',' result ',' Hopefully ',' repairs', 'then', '']")</f>
        <v>['Where', 'repair', 'version', 'Loading', 'slow', 'feature', 'value', 'change', 'class',' product ',' BUMN ',' result ',' Hopefully ',' repairs', 'then', '']</v>
      </c>
      <c r="D1506" s="3">
        <v>1.0</v>
      </c>
    </row>
    <row r="1507" ht="15.75" customHeight="1">
      <c r="A1507" s="1">
        <v>1583.0</v>
      </c>
      <c r="B1507" s="3" t="s">
        <v>1479</v>
      </c>
      <c r="C1507" s="3" t="str">
        <f>IFERROR(__xludf.DUMMYFUNCTION("GOOGLETRANSLATE(B1507,""id"",""en"")"),"['', 'Update', 'Lemott']")</f>
        <v>['', 'Update', 'Lemott']</v>
      </c>
      <c r="D1507" s="3">
        <v>1.0</v>
      </c>
    </row>
    <row r="1508" ht="15.75" customHeight="1">
      <c r="A1508" s="1">
        <v>1584.0</v>
      </c>
      <c r="B1508" s="3" t="s">
        <v>1480</v>
      </c>
      <c r="C1508" s="3" t="str">
        <f>IFERROR(__xludf.DUMMYFUNCTION("GOOGLETRANSLATE(B1508,""id"",""en"")"),"['Repair', 'resolved', 'Not bad', 'fast', 'hope', 'service', ""]")</f>
        <v>['Repair', 'resolved', 'Not bad', 'fast', 'hope', 'service', "]</v>
      </c>
      <c r="D1508" s="3">
        <v>4.0</v>
      </c>
    </row>
    <row r="1509" ht="15.75" customHeight="1">
      <c r="A1509" s="1">
        <v>1585.0</v>
      </c>
      <c r="B1509" s="3" t="s">
        <v>1481</v>
      </c>
      <c r="C1509" s="3" t="str">
        <f>IFERROR(__xludf.DUMMYFUNCTION("GOOGLETRANSLATE(B1509,""id"",""en"")"),"['application', 'update', 'slow', 'verification', 'reset', 'open', 'menu', 'need', 'indihome', 'ugly', 'service', 'offline', ' Good ',' the application ',' ugly ',' ']")</f>
        <v>['application', 'update', 'slow', 'verification', 'reset', 'open', 'menu', 'need', 'indihome', 'ugly', 'service', 'offline', ' Good ',' the application ',' ugly ',' ']</v>
      </c>
      <c r="D1509" s="3">
        <v>1.0</v>
      </c>
    </row>
    <row r="1510" ht="15.75" customHeight="1">
      <c r="A1510" s="1">
        <v>1586.0</v>
      </c>
      <c r="B1510" s="3" t="s">
        <v>1482</v>
      </c>
      <c r="C1510" s="3" t="str">
        <f>IFERROR(__xludf.DUMMYFUNCTION("GOOGLETRANSLATE(B1510,""id"",""en"")"),"['Update', 'lemoooooottttttttt', '']")</f>
        <v>['Update', 'lemoooooottttttttt', '']</v>
      </c>
      <c r="D1510" s="3">
        <v>1.0</v>
      </c>
    </row>
    <row r="1511" ht="15.75" customHeight="1">
      <c r="A1511" s="1">
        <v>1587.0</v>
      </c>
      <c r="B1511" s="3" t="s">
        <v>1483</v>
      </c>
      <c r="C1511" s="3" t="str">
        <f>IFERROR(__xludf.DUMMYFUNCTION("GOOGLETRANSLATE(B1511,""id"",""en"")"),"['version', 'Mantul', '']")</f>
        <v>['version', 'Mantul', '']</v>
      </c>
      <c r="D1511" s="3">
        <v>5.0</v>
      </c>
    </row>
    <row r="1512" ht="15.75" customHeight="1">
      <c r="A1512" s="1">
        <v>1588.0</v>
      </c>
      <c r="B1512" s="3" t="s">
        <v>1484</v>
      </c>
      <c r="C1512" s="3" t="str">
        <f>IFERROR(__xludf.DUMMYFUNCTION("GOOGLETRANSLATE(B1512,""id"",""en"")"),"['Help', 'constraints', 'wifi', 'direct', 'handy', 'service', 'okay', 'really', 'satisfying']")</f>
        <v>['Help', 'constraints', 'wifi', 'direct', 'handy', 'service', 'okay', 'really', 'satisfying']</v>
      </c>
      <c r="D1512" s="3">
        <v>5.0</v>
      </c>
    </row>
    <row r="1513" ht="15.75" customHeight="1">
      <c r="A1513" s="1">
        <v>1589.0</v>
      </c>
      <c r="B1513" s="3" t="s">
        <v>1485</v>
      </c>
      <c r="C1513" s="3" t="str">
        <f>IFERROR(__xludf.DUMMYFUNCTION("GOOGLETRANSLATE(B1513,""id"",""en"")"),"['Help', 'monitor', 'check', 'info', 'modem', 'tanks', 'indihome']")</f>
        <v>['Help', 'monitor', 'check', 'info', 'modem', 'tanks', 'indihome']</v>
      </c>
      <c r="D1513" s="3">
        <v>5.0</v>
      </c>
    </row>
    <row r="1514" ht="15.75" customHeight="1">
      <c r="A1514" s="1">
        <v>1590.0</v>
      </c>
      <c r="B1514" s="3" t="s">
        <v>1486</v>
      </c>
      <c r="C1514" s="3" t="str">
        <f>IFERROR(__xludf.DUMMYFUNCTION("GOOGLETRANSLATE(B1514,""id"",""en"")"),"['Indihome', 'Yesterday', 'Disorders',' Indonesia ',' home ',' repaired ',' on ',' dead ',' how ',' task ',' online ',' Sake ',' Gini ']")</f>
        <v>['Indihome', 'Yesterday', 'Disorders',' Indonesia ',' home ',' repaired ',' on ',' dead ',' how ',' task ',' online ',' Sake ',' Gini ']</v>
      </c>
      <c r="D1514" s="3">
        <v>1.0</v>
      </c>
    </row>
    <row r="1515" ht="15.75" customHeight="1">
      <c r="A1515" s="1">
        <v>1591.0</v>
      </c>
      <c r="B1515" s="3" t="s">
        <v>1487</v>
      </c>
      <c r="C1515" s="3" t="str">
        <f>IFERROR(__xludf.DUMMYFUNCTION("GOOGLETRANSLATE(B1515,""id"",""en"")"),"['complicated', '']")</f>
        <v>['complicated', '']</v>
      </c>
      <c r="D1515" s="3">
        <v>2.0</v>
      </c>
    </row>
    <row r="1516" ht="15.75" customHeight="1">
      <c r="A1516" s="1">
        <v>1592.0</v>
      </c>
      <c r="B1516" s="3" t="s">
        <v>1488</v>
      </c>
      <c r="C1516" s="3" t="str">
        <f>IFERROR(__xludf.DUMMYFUNCTION("GOOGLETRANSLATE(B1516,""id"",""en"")"),"['chaotic', 'update', 'ssah', 'enter', 'application']")</f>
        <v>['chaotic', 'update', 'ssah', 'enter', 'application']</v>
      </c>
      <c r="D1516" s="3">
        <v>1.0</v>
      </c>
    </row>
    <row r="1517" ht="15.75" customHeight="1">
      <c r="A1517" s="1">
        <v>1593.0</v>
      </c>
      <c r="B1517" s="3" t="s">
        <v>1489</v>
      </c>
      <c r="C1517" s="3" t="str">
        <f>IFERROR(__xludf.DUMMYFUNCTION("GOOGLETRANSLATE(B1517,""id"",""en"")"),"['THN', 'subscribe', 'complement', 'fast', 'Tangkaru', 'SLLU', 'Get', 'Points',' Rewerd ',' Tuker ',' Vocer ',' Tingkiyuu ',' Indihome ']")</f>
        <v>['THN', 'subscribe', 'complement', 'fast', 'Tangkaru', 'SLLU', 'Get', 'Points',' Rewerd ',' Tuker ',' Vocer ',' Tingkiyuu ',' Indihome ']</v>
      </c>
      <c r="D1517" s="3">
        <v>4.0</v>
      </c>
    </row>
    <row r="1518" ht="15.75" customHeight="1">
      <c r="A1518" s="1">
        <v>1594.0</v>
      </c>
      <c r="B1518" s="3" t="s">
        <v>1490</v>
      </c>
      <c r="C1518" s="3" t="str">
        <f>IFERROR(__xludf.DUMMYFUNCTION("GOOGLETRANSLATE(B1518,""id"",""en"")"),"['Mark']")</f>
        <v>['Mark']</v>
      </c>
      <c r="D1518" s="3">
        <v>1.0</v>
      </c>
    </row>
    <row r="1519" ht="15.75" customHeight="1">
      <c r="A1519" s="1">
        <v>1595.0</v>
      </c>
      <c r="B1519" s="3" t="s">
        <v>1491</v>
      </c>
      <c r="C1519" s="3" t="str">
        <f>IFERROR(__xludf.DUMMYFUNCTION("GOOGLETRANSLATE(B1519,""id"",""en"")"),"['Application', 'practical', 'useful', 'complaints', 'fast', 'network', 'disorder', ""]")</f>
        <v>['Application', 'practical', 'useful', 'complaints', 'fast', 'network', 'disorder', "]</v>
      </c>
      <c r="D1519" s="3">
        <v>5.0</v>
      </c>
    </row>
    <row r="1520" ht="15.75" customHeight="1">
      <c r="A1520" s="1">
        <v>1596.0</v>
      </c>
      <c r="B1520" s="3" t="s">
        <v>1492</v>
      </c>
      <c r="C1520" s="3" t="str">
        <f>IFERROR(__xludf.DUMMYFUNCTION("GOOGLETRANSLATE(B1520,""id"",""en"")"),"['waow', 'good', 'increase', 'bug']")</f>
        <v>['waow', 'good', 'increase', 'bug']</v>
      </c>
      <c r="D1520" s="3">
        <v>5.0</v>
      </c>
    </row>
    <row r="1521" ht="15.75" customHeight="1">
      <c r="A1521" s="1">
        <v>1597.0</v>
      </c>
      <c r="B1521" s="3" t="s">
        <v>1493</v>
      </c>
      <c r="C1521" s="3" t="str">
        <f>IFERROR(__xludf.DUMMYFUNCTION("GOOGLETRANSLATE(B1521,""id"",""en"")"),"['sipp', 'my apk', '']")</f>
        <v>['sipp', 'my apk', '']</v>
      </c>
      <c r="D1521" s="3">
        <v>5.0</v>
      </c>
    </row>
    <row r="1522" ht="15.75" customHeight="1">
      <c r="A1522" s="1">
        <v>1598.0</v>
      </c>
      <c r="B1522" s="3" t="s">
        <v>1494</v>
      </c>
      <c r="C1522" s="3" t="str">
        <f>IFERROR(__xludf.DUMMYFUNCTION("GOOGLETRANSLATE(B1522,""id"",""en"")"),"['Indihome', 'great', 'no' secondly ']")</f>
        <v>['Indihome', 'great', 'no' secondly ']</v>
      </c>
      <c r="D1522" s="3">
        <v>5.0</v>
      </c>
    </row>
    <row r="1523" ht="15.75" customHeight="1">
      <c r="A1523" s="1">
        <v>1599.0</v>
      </c>
      <c r="B1523" s="3" t="s">
        <v>1495</v>
      </c>
      <c r="C1523" s="3" t="str">
        <f>IFERROR(__xludf.DUMMYFUNCTION("GOOGLETRANSLATE(B1523,""id"",""en"")"),"['Help', 'add', 'broadcast', 'checks', 'use', 'date', 'fall', 'tempo', 'payment']")</f>
        <v>['Help', 'add', 'broadcast', 'checks', 'use', 'date', 'fall', 'tempo', 'payment']</v>
      </c>
      <c r="D1523" s="3">
        <v>5.0</v>
      </c>
    </row>
    <row r="1524" ht="15.75" customHeight="1">
      <c r="A1524" s="1">
        <v>1600.0</v>
      </c>
      <c r="B1524" s="3" t="s">
        <v>1496</v>
      </c>
      <c r="C1524" s="3" t="str">
        <f>IFERROR(__xludf.DUMMYFUNCTION("GOOGLETRANSLATE(B1524,""id"",""en"")"),"['Good', 'Recomend', 'Internet', 'Home']")</f>
        <v>['Good', 'Recomend', 'Internet', 'Home']</v>
      </c>
      <c r="D1524" s="3">
        <v>5.0</v>
      </c>
    </row>
    <row r="1525" ht="15.75" customHeight="1">
      <c r="A1525" s="1">
        <v>1601.0</v>
      </c>
      <c r="B1525" s="3" t="s">
        <v>1497</v>
      </c>
      <c r="C1525" s="3" t="str">
        <f>IFERROR(__xludf.DUMMYFUNCTION("GOOGLETRANSLATE(B1525,""id"",""en"")"),"['Good', 'application', 'model', 'comfortable', 'uux', 'easy', 'understand', 'good', 'design', 'forward', 'indihome', 'telkom']")</f>
        <v>['Good', 'application', 'model', 'comfortable', 'uux', 'easy', 'understand', 'good', 'design', 'forward', 'indihome', 'telkom']</v>
      </c>
      <c r="D1525" s="3">
        <v>5.0</v>
      </c>
    </row>
    <row r="1526" ht="15.75" customHeight="1">
      <c r="A1526" s="1">
        <v>1602.0</v>
      </c>
      <c r="B1526" s="3" t="s">
        <v>1498</v>
      </c>
      <c r="C1526" s="3" t="str">
        <f>IFERROR(__xludf.DUMMYFUNCTION("GOOGLETRANSLATE(B1526,""id"",""en"")"),"['application', 'useful', 'payment', 'indihome', 'good', 'exchange', 'point', 'hope', 'enhanced', 'success']")</f>
        <v>['application', 'useful', 'payment', 'indihome', 'good', 'exchange', 'point', 'hope', 'enhanced', 'success']</v>
      </c>
      <c r="D1526" s="3">
        <v>5.0</v>
      </c>
    </row>
    <row r="1527" ht="15.75" customHeight="1">
      <c r="A1527" s="1">
        <v>1603.0</v>
      </c>
      <c r="B1527" s="3" t="s">
        <v>1499</v>
      </c>
      <c r="C1527" s="3" t="str">
        <f>IFERROR(__xludf.DUMMYFUNCTION("GOOGLETRANSLATE(B1527,""id"",""en"")"),"['', 'Tuker', 'Points',' Lounge ',' Airport ',' Yia ',' Date ',' November ',' Application ',' Indihome ',' Airport ',' Reasons', 'Lounge ',' Belom ',' work ',' smg ',' in the future ',' lbh ',' service ',' exchange ',' point ',' php ',' ']")</f>
        <v>['', 'Tuker', 'Points',' Lounge ',' Airport ',' Yia ',' Date ',' November ',' Application ',' Indihome ',' Airport ',' Reasons', 'Lounge ',' Belom ',' work ',' smg ',' in the future ',' lbh ',' service ',' exchange ',' point ',' php ',' ']</v>
      </c>
      <c r="D1527" s="3">
        <v>3.0</v>
      </c>
    </row>
    <row r="1528" ht="15.75" customHeight="1">
      <c r="A1528" s="1">
        <v>1604.0</v>
      </c>
      <c r="B1528" s="3" t="s">
        <v>1500</v>
      </c>
      <c r="C1528" s="3" t="str">
        <f>IFERROR(__xludf.DUMMYFUNCTION("GOOGLETRANSLATE(B1528,""id"",""en"")"),"['Display', 'Application', 'Changed', 'Features',' Complaint ',' Already ',' Report ',' Friday ',' Network ',' Access', 'Monday', 'Benerin', ' Remainder ',' bill ',' fast ',' really ',' report ',' network ',' broken ',' diem ',' bae ', ""]")</f>
        <v>['Display', 'Application', 'Changed', 'Features',' Complaint ',' Already ',' Report ',' Friday ',' Network ',' Access', 'Monday', 'Benerin', ' Remainder ',' bill ',' fast ',' really ',' report ',' network ',' broken ',' diem ',' bae ', "]</v>
      </c>
      <c r="D1528" s="3">
        <v>1.0</v>
      </c>
    </row>
    <row r="1529" ht="15.75" customHeight="1">
      <c r="A1529" s="1">
        <v>1605.0</v>
      </c>
      <c r="B1529" s="3" t="s">
        <v>1501</v>
      </c>
      <c r="C1529" s="3" t="str">
        <f>IFERROR(__xludf.DUMMYFUNCTION("GOOGLETRANSLATE(B1529,""id"",""en"")"),"['Josss']")</f>
        <v>['Josss']</v>
      </c>
      <c r="D1529" s="3">
        <v>5.0</v>
      </c>
    </row>
    <row r="1530" ht="15.75" customHeight="1">
      <c r="A1530" s="1">
        <v>1606.0</v>
      </c>
      <c r="B1530" s="3" t="s">
        <v>1502</v>
      </c>
      <c r="C1530" s="3" t="str">
        <f>IFERROR(__xludf.DUMMYFUNCTION("GOOGLETRANSLATE(B1530,""id"",""en"")"),"['application', 'help', 'customer', 'indihome', 'complaints', 'pay', 'upgrade', 'add', 'subscription', ""]")</f>
        <v>['application', 'help', 'customer', 'indihome', 'complaints', 'pay', 'upgrade', 'add', 'subscription', "]</v>
      </c>
      <c r="D1530" s="3">
        <v>5.0</v>
      </c>
    </row>
    <row r="1531" ht="15.75" customHeight="1">
      <c r="A1531" s="1">
        <v>1607.0</v>
      </c>
      <c r="B1531" s="3" t="s">
        <v>1503</v>
      </c>
      <c r="C1531" s="3" t="str">
        <f>IFERROR(__xludf.DUMMYFUNCTION("GOOGLETRANSLATE(B1531,""id"",""en"")"),"['easy', 'easy', 'complain', 'help', 'suggestion', 'application', 'Leboh', 'light', 'because', 'loading', 'sometimes']")</f>
        <v>['easy', 'easy', 'complain', 'help', 'suggestion', 'application', 'Leboh', 'light', 'because', 'loading', 'sometimes']</v>
      </c>
      <c r="D1531" s="3">
        <v>5.0</v>
      </c>
    </row>
    <row r="1532" ht="15.75" customHeight="1">
      <c r="A1532" s="1">
        <v>1608.0</v>
      </c>
      <c r="B1532" s="3" t="s">
        <v>1504</v>
      </c>
      <c r="C1532" s="3" t="str">
        <f>IFERROR(__xludf.DUMMYFUNCTION("GOOGLETRANSLATE(B1532,""id"",""en"")"),"['Application', 'Indihome', 'Date', 'Easy', 'Benefits', '']")</f>
        <v>['Application', 'Indihome', 'Date', 'Easy', 'Benefits', '']</v>
      </c>
      <c r="D1532" s="3">
        <v>5.0</v>
      </c>
    </row>
    <row r="1533" ht="15.75" customHeight="1">
      <c r="A1533" s="1">
        <v>1609.0</v>
      </c>
      <c r="B1533" s="3" t="s">
        <v>1505</v>
      </c>
      <c r="C1533" s="3" t="str">
        <f>IFERROR(__xludf.DUMMYFUNCTION("GOOGLETRANSLATE(B1533,""id"",""en"")"),"['Help', 'Hopefully', 'Suskes', 'Lov', ""]")</f>
        <v>['Help', 'Hopefully', 'Suskes', 'Lov', "]</v>
      </c>
      <c r="D1533" s="3">
        <v>5.0</v>
      </c>
    </row>
    <row r="1534" ht="15.75" customHeight="1">
      <c r="A1534" s="1">
        <v>1610.0</v>
      </c>
      <c r="B1534" s="3" t="s">
        <v>1506</v>
      </c>
      <c r="C1534" s="3" t="str">
        <f>IFERROR(__xludf.DUMMYFUNCTION("GOOGLETRANSLATE(B1534,""id"",""en"")"),"['customer', 'Indihome', 'obstacles', 'trims', 'indihome']")</f>
        <v>['customer', 'Indihome', 'obstacles', 'trims', 'indihome']</v>
      </c>
      <c r="D1534" s="3">
        <v>5.0</v>
      </c>
    </row>
    <row r="1535" ht="15.75" customHeight="1">
      <c r="A1535" s="1">
        <v>1611.0</v>
      </c>
      <c r="B1535" s="3" t="s">
        <v>1507</v>
      </c>
      <c r="C1535" s="3" t="str">
        <f>IFERROR(__xludf.DUMMYFUNCTION("GOOGLETRANSLATE(B1535,""id"",""en"")"),"['Customer', 'service', 'CPT', 'take action', 'continue', 'complaints', 'network']")</f>
        <v>['Customer', 'service', 'CPT', 'take action', 'continue', 'complaints', 'network']</v>
      </c>
      <c r="D1535" s="3">
        <v>5.0</v>
      </c>
    </row>
    <row r="1536" ht="15.75" customHeight="1">
      <c r="A1536" s="1">
        <v>1612.0</v>
      </c>
      <c r="B1536" s="3" t="s">
        <v>1508</v>
      </c>
      <c r="C1536" s="3" t="str">
        <f>IFERROR(__xludf.DUMMYFUNCTION("GOOGLETRANSLATE(B1536,""id"",""en"")"),"['application', 'makes it easier', 'payment', 'see', 'bill', 'date', 'specification']")</f>
        <v>['application', 'makes it easier', 'payment', 'see', 'bill', 'date', 'specification']</v>
      </c>
      <c r="D1536" s="3">
        <v>5.0</v>
      </c>
    </row>
    <row r="1537" ht="15.75" customHeight="1">
      <c r="A1537" s="1">
        <v>1613.0</v>
      </c>
      <c r="B1537" s="3" t="s">
        <v>1509</v>
      </c>
      <c r="C1537" s="3" t="str">
        <f>IFERROR(__xludf.DUMMYFUNCTION("GOOGLETRANSLATE(B1537,""id"",""en"")"),"['Application', 'Feature', 'Open', 'Loading', 'Slow', 'Enter', 'Menu', 'Hopefully', 'Fast', 'Fix', 'Forward', 'Indihome', ' ']")</f>
        <v>['Application', 'Feature', 'Open', 'Loading', 'Slow', 'Enter', 'Menu', 'Hopefully', 'Fast', 'Fix', 'Forward', 'Indihome', ' ']</v>
      </c>
      <c r="D1537" s="3">
        <v>4.0</v>
      </c>
    </row>
    <row r="1538" ht="15.75" customHeight="1">
      <c r="A1538" s="1">
        <v>1614.0</v>
      </c>
      <c r="B1538" s="3" t="s">
        <v>1510</v>
      </c>
      <c r="C1538" s="3" t="str">
        <f>IFERROR(__xludf.DUMMYFUNCTION("GOOGLETRANSLATE(B1538,""id"",""en"")"),"['Help', 'check', 'info', 'data', 'subscribe', 'usage', 'thank you']")</f>
        <v>['Help', 'check', 'info', 'data', 'subscribe', 'usage', 'thank you']</v>
      </c>
      <c r="D1538" s="3">
        <v>3.0</v>
      </c>
    </row>
    <row r="1539" ht="15.75" customHeight="1">
      <c r="A1539" s="1">
        <v>1615.0</v>
      </c>
      <c r="B1539" s="3" t="s">
        <v>1511</v>
      </c>
      <c r="C1539" s="3" t="str">
        <f>IFERROR(__xludf.DUMMYFUNCTION("GOOGLETRANSLATE(B1539,""id"",""en"")"),"['Application', 'Latest', 'Features', 'Informative', 'Related', 'Package', 'Detailed', 'Benefit']")</f>
        <v>['Application', 'Latest', 'Features', 'Informative', 'Related', 'Package', 'Detailed', 'Benefit']</v>
      </c>
      <c r="D1539" s="3">
        <v>5.0</v>
      </c>
    </row>
    <row r="1540" ht="15.75" customHeight="1">
      <c r="A1540" s="1">
        <v>1616.0</v>
      </c>
      <c r="B1540" s="3" t="s">
        <v>1512</v>
      </c>
      <c r="C1540" s="3" t="str">
        <f>IFERROR(__xludf.DUMMYFUNCTION("GOOGLETRANSLATE(B1540,""id"",""en"")"),"['Indihome', 'Useful', 'Drummary', 'Krna', 'DRMH', 'KMI', 'Difficult', 'Signal']")</f>
        <v>['Indihome', 'Useful', 'Drummary', 'Krna', 'DRMH', 'KMI', 'Difficult', 'Signal']</v>
      </c>
      <c r="D1540" s="3">
        <v>5.0</v>
      </c>
    </row>
    <row r="1541" ht="15.75" customHeight="1">
      <c r="A1541" s="1">
        <v>1618.0</v>
      </c>
      <c r="B1541" s="3" t="s">
        <v>1513</v>
      </c>
      <c r="C1541" s="3" t="str">
        <f>IFERROR(__xludf.DUMMYFUNCTION("GOOGLETRANSLATE(B1541,""id"",""en"")"),"['Cheap', 'quality', 'satisfying']")</f>
        <v>['Cheap', 'quality', 'satisfying']</v>
      </c>
      <c r="D1541" s="3">
        <v>5.0</v>
      </c>
    </row>
    <row r="1542" ht="15.75" customHeight="1">
      <c r="A1542" s="1">
        <v>1619.0</v>
      </c>
      <c r="B1542" s="3" t="s">
        <v>1514</v>
      </c>
      <c r="C1542" s="3" t="str">
        <f>IFERROR(__xludf.DUMMYFUNCTION("GOOGLETRANSLATE(B1542,""id"",""en"")"),"['Change', 'Display', 'Application', 'Good', 'Please', 'Level', 'Karna', 'Slow', 'Loading', 'Application', 'Thanks', ""]")</f>
        <v>['Change', 'Display', 'Application', 'Good', 'Please', 'Level', 'Karna', 'Slow', 'Loading', 'Application', 'Thanks', "]</v>
      </c>
      <c r="D1542" s="3">
        <v>5.0</v>
      </c>
    </row>
    <row r="1543" ht="15.75" customHeight="1">
      <c r="A1543" s="1">
        <v>1620.0</v>
      </c>
      <c r="B1543" s="3" t="s">
        <v>1515</v>
      </c>
      <c r="C1543" s="3" t="str">
        <f>IFERROR(__xludf.DUMMYFUNCTION("GOOGLETRANSLATE(B1543,""id"",""en"")"),"['Customer', 'INDIHOME', 'TH', 'Alhamdulillah', 'Current', 'Trouble', 'Problem', 'Network', 'Smooth', 'Kali', 'Gift', ' Customers', 'loyal', 'wkwkw', 'success']")</f>
        <v>['Customer', 'INDIHOME', 'TH', 'Alhamdulillah', 'Current', 'Trouble', 'Problem', 'Network', 'Smooth', 'Kali', 'Gift', ' Customers', 'loyal', 'wkwkw', 'success']</v>
      </c>
      <c r="D1543" s="3">
        <v>5.0</v>
      </c>
    </row>
    <row r="1544" ht="15.75" customHeight="1">
      <c r="A1544" s="1">
        <v>1622.0</v>
      </c>
      <c r="B1544" s="3" t="s">
        <v>1516</v>
      </c>
      <c r="C1544" s="3" t="str">
        <f>IFERROR(__xludf.DUMMYFUNCTION("GOOGLETRANSLATE(B1544,""id"",""en"")"),"['interesting', 'easy', 'understandable', 'increase', '']")</f>
        <v>['interesting', 'easy', 'understandable', 'increase', '']</v>
      </c>
      <c r="D1544" s="3">
        <v>4.0</v>
      </c>
    </row>
    <row r="1545" ht="15.75" customHeight="1">
      <c r="A1545" s="1">
        <v>1623.0</v>
      </c>
      <c r="B1545" s="3" t="s">
        <v>1517</v>
      </c>
      <c r="C1545" s="3" t="str">
        <f>IFERROR(__xludf.DUMMYFUNCTION("GOOGLETRANSLATE(B1545,""id"",""en"")"),"['already', 'bored', 'report', 'disorder', 'application', 'reply', 'disorder', 'bulk', 'report', 'noon', 'repaired', 'normally', ' The next day ',' Pay ',' Full ',' Mbps ',' get "", 'Mbps', 'Ngaco', 'compensation', 'Disruption', 'Gini', 'Deh', 'Wait', 'Co"&amp;"nsumers' , 'blur', 'see', 'rating', 'already', 'obedience']")</f>
        <v>['already', 'bored', 'report', 'disorder', 'application', 'reply', 'disorder', 'bulk', 'report', 'noon', 'repaired', 'normally', ' The next day ',' Pay ',' Full ',' Mbps ',' get ", 'Mbps', 'Ngaco', 'compensation', 'Disruption', 'Gini', 'Deh', 'Wait', 'Consumers' , 'blur', 'see', 'rating', 'already', 'obedience']</v>
      </c>
      <c r="D1545" s="3">
        <v>1.0</v>
      </c>
    </row>
    <row r="1546" ht="15.75" customHeight="1">
      <c r="A1546" s="1">
        <v>1624.0</v>
      </c>
      <c r="B1546" s="3" t="s">
        <v>1518</v>
      </c>
      <c r="C1546" s="3" t="str">
        <f>IFERROR(__xludf.DUMMYFUNCTION("GOOGLETRANSLATE(B1546,""id"",""en"")"),"['Application', 'Indihome', 'Lemot', 'Super']")</f>
        <v>['Application', 'Indihome', 'Lemot', 'Super']</v>
      </c>
      <c r="D1546" s="3">
        <v>2.0</v>
      </c>
    </row>
    <row r="1547" ht="15.75" customHeight="1">
      <c r="A1547" s="1">
        <v>1625.0</v>
      </c>
      <c r="B1547" s="3" t="s">
        <v>1519</v>
      </c>
      <c r="C1547" s="3" t="str">
        <f>IFERROR(__xludf.DUMMYFUNCTION("GOOGLETRANSLATE(B1547,""id"",""en"")"),"['update', 'chaotic', 'balau']")</f>
        <v>['update', 'chaotic', 'balau']</v>
      </c>
      <c r="D1547" s="3">
        <v>1.0</v>
      </c>
    </row>
    <row r="1548" ht="15.75" customHeight="1">
      <c r="A1548" s="1">
        <v>1626.0</v>
      </c>
      <c r="B1548" s="3" t="s">
        <v>1520</v>
      </c>
      <c r="C1548" s="3" t="str">
        <f>IFERROR(__xludf.DUMMYFUNCTION("GOOGLETRANSLATE(B1548,""id"",""en"")"),"['jerk', 'App', 'Indihome', 'skrng', 'error', 'trs', 'login']")</f>
        <v>['jerk', 'App', 'Indihome', 'skrng', 'error', 'trs', 'login']</v>
      </c>
      <c r="D1548" s="3">
        <v>1.0</v>
      </c>
    </row>
    <row r="1549" ht="15.75" customHeight="1">
      <c r="A1549" s="1">
        <v>1627.0</v>
      </c>
      <c r="B1549" s="3" t="s">
        <v>1521</v>
      </c>
      <c r="C1549" s="3" t="str">
        <f>IFERROR(__xludf.DUMMYFUNCTION("GOOGLETRANSLATE(B1549,""id"",""en"")"),"['Developer', 'Koplok', 'classmate', 'BUMN', 'Developer', 'Gini', 'Semprull', 'Update', 'Yesterday', 'Current', 'Update', 'Iming' Display ',' Try ',' Update ',' Display ',' Doang ',' Function ',' Preferred ',' Woyyyy ',' Lemot ',' Severe ',' Application '"&amp;",' Bug ', ""]")</f>
        <v>['Developer', 'Koplok', 'classmate', 'BUMN', 'Developer', 'Gini', 'Semprull', 'Update', 'Yesterday', 'Current', 'Update', 'Iming' Display ',' Try ',' Update ',' Display ',' Doang ',' Function ',' Preferred ',' Woyyyy ',' Lemot ',' Severe ',' Application ',' Bug ', "]</v>
      </c>
      <c r="D1549" s="3">
        <v>1.0</v>
      </c>
    </row>
    <row r="1550" ht="15.75" customHeight="1">
      <c r="A1550" s="1">
        <v>1628.0</v>
      </c>
      <c r="B1550" s="3" t="s">
        <v>1522</v>
      </c>
      <c r="C1550" s="3" t="str">
        <f>IFERROR(__xludf.DUMMYFUNCTION("GOOGLETRANSLATE(B1550,""id"",""en"")"),"['confused', 'pairs',' wifi ',' get ',' recommendation ',' review ',' google ',' pairs', 'indihome', 'price', 'affordable', 'signal', ' Good ',' Technicians', 'Indihome', 'Fast', 'response', 'disorder', 'Alhamdulillah', 'subscribe', 'get', 'piece', 'payme"&amp;"nt', 'bill', 'subscribe' , 'satisfying', 'Deh', 'Anyway', 'Thank you', 'Indihome', 'Hopefully', 'satisfying', 'Customer', ""]")</f>
        <v>['confused', 'pairs',' wifi ',' get ',' recommendation ',' review ',' google ',' pairs', 'indihome', 'price', 'affordable', 'signal', ' Good ',' Technicians', 'Indihome', 'Fast', 'response', 'disorder', 'Alhamdulillah', 'subscribe', 'get', 'piece', 'payment', 'bill', 'subscribe' , 'satisfying', 'Deh', 'Anyway', 'Thank you', 'Indihome', 'Hopefully', 'satisfying', 'Customer', "]</v>
      </c>
      <c r="D1550" s="3">
        <v>5.0</v>
      </c>
    </row>
    <row r="1551" ht="15.75" customHeight="1">
      <c r="A1551" s="1">
        <v>1629.0</v>
      </c>
      <c r="B1551" s="3" t="s">
        <v>1523</v>
      </c>
      <c r="C1551" s="3" t="str">
        <f>IFERROR(__xludf.DUMMYFUNCTION("GOOGLETRANSLATE(B1551,""id"",""en"")"),"['Ngellag', 'Leet', 'APK']")</f>
        <v>['Ngellag', 'Leet', 'APK']</v>
      </c>
      <c r="D1551" s="3">
        <v>1.0</v>
      </c>
    </row>
    <row r="1552" ht="15.75" customHeight="1">
      <c r="A1552" s="1">
        <v>1630.0</v>
      </c>
      <c r="B1552" s="3" t="s">
        <v>1524</v>
      </c>
      <c r="C1552" s="3" t="str">
        <f>IFERROR(__xludf.DUMMYFUNCTION("GOOGLETRANSLATE(B1552,""id"",""en"")"),"['sorry', 'application', 'annoying', 'Different', 'really', 'application', 'simple']")</f>
        <v>['sorry', 'application', 'annoying', 'Different', 'really', 'application', 'simple']</v>
      </c>
      <c r="D1552" s="3">
        <v>1.0</v>
      </c>
    </row>
    <row r="1553" ht="15.75" customHeight="1">
      <c r="A1553" s="1">
        <v>1631.0</v>
      </c>
      <c r="B1553" s="3" t="s">
        <v>1525</v>
      </c>
      <c r="C1553" s="3" t="str">
        <f>IFERROR(__xludf.DUMMYFUNCTION("GOOGLETRANSLATE(B1553,""id"",""en"")"),"['Download', 'application', 'subscribe', 'wifi', 'indihome', 'upload', 'upload', 'data', 'private', 'requirements',' subscribe ',' fail ',' appears', 'notification', 'repairs',' hope ',' access', 'data', 'saved', 'draft', 'repairs',' finished ',' stay ','"&amp;" upload ',' Please ' , 'Enhanced', 'smoothness', '']")</f>
        <v>['Download', 'application', 'subscribe', 'wifi', 'indihome', 'upload', 'upload', 'data', 'private', 'requirements',' subscribe ',' fail ',' appears', 'notification', 'repairs',' hope ',' access', 'data', 'saved', 'draft', 'repairs',' finished ',' stay ',' upload ',' Please ' , 'Enhanced', 'smoothness', '']</v>
      </c>
      <c r="D1553" s="3">
        <v>1.0</v>
      </c>
    </row>
    <row r="1554" ht="15.75" customHeight="1">
      <c r="A1554" s="1">
        <v>1632.0</v>
      </c>
      <c r="B1554" s="3" t="s">
        <v>1526</v>
      </c>
      <c r="C1554" s="3" t="str">
        <f>IFERROR(__xludf.DUMMYFUNCTION("GOOGLETRANSLATE(B1554,""id"",""en"")"),"['difficult', 'access', 'updatd', 'login', 'difficult', 'please', 'fix']")</f>
        <v>['difficult', 'access', 'updatd', 'login', 'difficult', 'please', 'fix']</v>
      </c>
      <c r="D1554" s="3">
        <v>1.0</v>
      </c>
    </row>
    <row r="1555" ht="15.75" customHeight="1">
      <c r="A1555" s="1">
        <v>1633.0</v>
      </c>
      <c r="B1555" s="3" t="s">
        <v>1527</v>
      </c>
      <c r="C1555" s="3" t="str">
        <f>IFERROR(__xludf.DUMMYFUNCTION("GOOGLETRANSLATE(B1555,""id"",""en"")"),"['invites', 'noise', 'application', 'number', 'already', 'registered', 'website', 'application', 'login', 'registered', '']")</f>
        <v>['invites', 'noise', 'application', 'number', 'already', 'registered', 'website', 'application', 'login', 'registered', '']</v>
      </c>
      <c r="D1555" s="3">
        <v>1.0</v>
      </c>
    </row>
    <row r="1556" ht="15.75" customHeight="1">
      <c r="A1556" s="1">
        <v>1634.0</v>
      </c>
      <c r="B1556" s="3" t="s">
        <v>1528</v>
      </c>
      <c r="C1556" s="3" t="str">
        <f>IFERROR(__xludf.DUMMYFUNCTION("GOOGLETRANSLATE(B1556,""id"",""en"")"),"['Renew', 'Speed', 'Fix', '']")</f>
        <v>['Renew', 'Speed', 'Fix', '']</v>
      </c>
      <c r="D1556" s="3">
        <v>5.0</v>
      </c>
    </row>
    <row r="1557" ht="15.75" customHeight="1">
      <c r="A1557" s="1">
        <v>1635.0</v>
      </c>
      <c r="B1557" s="3" t="s">
        <v>1529</v>
      </c>
      <c r="C1557" s="3" t="str">
        <f>IFERROR(__xludf.DUMMYFUNCTION("GOOGLETRANSLATE(B1557,""id"",""en"")"),"['Registration', 'difficult', 'really', 'sihhhh', 'disappointed']")</f>
        <v>['Registration', 'difficult', 'really', 'sihhhh', 'disappointed']</v>
      </c>
      <c r="D1557" s="3">
        <v>1.0</v>
      </c>
    </row>
    <row r="1558" ht="15.75" customHeight="1">
      <c r="A1558" s="1">
        <v>1636.0</v>
      </c>
      <c r="B1558" s="3" t="s">
        <v>1530</v>
      </c>
      <c r="C1558" s="3" t="str">
        <f>IFERROR(__xludf.DUMMYFUNCTION("GOOGLETRANSLATE(B1558,""id"",""en"")"),"['Network', 'Yesterday', 'Leg', 'Indihome', 'idiot']")</f>
        <v>['Network', 'Yesterday', 'Leg', 'Indihome', 'idiot']</v>
      </c>
      <c r="D1558" s="3">
        <v>1.0</v>
      </c>
    </row>
    <row r="1559" ht="15.75" customHeight="1">
      <c r="A1559" s="1">
        <v>1637.0</v>
      </c>
      <c r="B1559" s="3" t="s">
        <v>1531</v>
      </c>
      <c r="C1559" s="3" t="str">
        <f>IFERROR(__xludf.DUMMYFUNCTION("GOOGLETRANSLATE(B1559,""id"",""en"")"),"['apk', 'smart', 'person', 'difficulty', 'enter', 'register', 'apk', 'continue', 'apk', 'rich', 'gini', 'sdm', ' Low ',' Thinking ',' People ']")</f>
        <v>['apk', 'smart', 'person', 'difficulty', 'enter', 'register', 'apk', 'continue', 'apk', 'rich', 'gini', 'sdm', ' Low ',' Thinking ',' People ']</v>
      </c>
      <c r="D1559" s="3">
        <v>1.0</v>
      </c>
    </row>
    <row r="1560" ht="15.75" customHeight="1">
      <c r="A1560" s="1">
        <v>1638.0</v>
      </c>
      <c r="B1560" s="3" t="s">
        <v>1532</v>
      </c>
      <c r="C1560" s="3" t="str">
        <f>IFERROR(__xludf.DUMMYFUNCTION("GOOGLETRANSLATE(B1560,""id"",""en"")"),"['Update', 'slow', 'application', 'rotten', 'application', 'owned', 'government', 'Se-shame', 'shy', 'search', 'experts',' qualified ',' Stupid ',' fed up ',' open ',' open ',' loading ',' trs', '']")</f>
        <v>['Update', 'slow', 'application', 'rotten', 'application', 'owned', 'government', 'Se-shame', 'shy', 'search', 'experts',' qualified ',' Stupid ',' fed up ',' open ',' open ',' loading ',' trs', '']</v>
      </c>
      <c r="D1560" s="3">
        <v>1.0</v>
      </c>
    </row>
    <row r="1561" ht="15.75" customHeight="1">
      <c r="A1561" s="1">
        <v>1639.0</v>
      </c>
      <c r="B1561" s="3" t="s">
        <v>1533</v>
      </c>
      <c r="C1561" s="3" t="str">
        <f>IFERROR(__xludf.DUMMYFUNCTION("GOOGLETRANSLATE(B1561,""id"",""en"")"),"['update', 'chaotic', 'mending', 'version', 'login', 'difficult', 'checked', 'history', 'payment', 'gini', 'wrong', 'password', ' Told to ',' Wait ',' Clock ',' Application ',' Indihome ',' Mobile ',' Banking ',' Lebay ',' Protection ',' Told ',' Change '"&amp;",' Password ',' Button ' , 'Hadehh', 'Sampe', 'skrg', 'Blom', 'Login', ""]")</f>
        <v>['update', 'chaotic', 'mending', 'version', 'login', 'difficult', 'checked', 'history', 'payment', 'gini', 'wrong', 'password', ' Told to ',' Wait ',' Clock ',' Application ',' Indihome ',' Mobile ',' Banking ',' Lebay ',' Protection ',' Told ',' Change ',' Password ',' Button ' , 'Hadehh', 'Sampe', 'skrg', 'Blom', 'Login', "]</v>
      </c>
      <c r="D1561" s="3">
        <v>1.0</v>
      </c>
    </row>
    <row r="1562" ht="15.75" customHeight="1">
      <c r="A1562" s="1">
        <v>1640.0</v>
      </c>
      <c r="B1562" s="3" t="s">
        <v>1534</v>
      </c>
      <c r="C1562" s="3" t="str">
        <f>IFERROR(__xludf.DUMMYFUNCTION("GOOGLETRANSLATE(B1562,""id"",""en"")"),"['Feature', 'maximum', 'for example', 'complaint', 'disorder', 'application', 'error', 'costumer', 'hear', 'sorry', 'telkom']")</f>
        <v>['Feature', 'maximum', 'for example', 'complaint', 'disorder', 'application', 'error', 'costumer', 'hear', 'sorry', 'telkom']</v>
      </c>
      <c r="D1562" s="3">
        <v>1.0</v>
      </c>
    </row>
    <row r="1563" ht="15.75" customHeight="1">
      <c r="A1563" s="1">
        <v>1641.0</v>
      </c>
      <c r="B1563" s="3" t="s">
        <v>1535</v>
      </c>
      <c r="C1563" s="3" t="str">
        <f>IFERROR(__xludf.DUMMYFUNCTION("GOOGLETRANSLATE(B1563,""id"",""en"")"),"['Code', 'OTP', 'Wrong', 'Repeat', 'Code', 'OTP', 'Wrong', '']")</f>
        <v>['Code', 'OTP', 'Wrong', 'Repeat', 'Code', 'OTP', 'Wrong', '']</v>
      </c>
      <c r="D1563" s="3">
        <v>1.0</v>
      </c>
    </row>
    <row r="1564" ht="15.75" customHeight="1">
      <c r="A1564" s="1">
        <v>1642.0</v>
      </c>
      <c r="B1564" s="3" t="s">
        <v>1536</v>
      </c>
      <c r="C1564" s="3" t="str">
        <f>IFERROR(__xludf.DUMMYFUNCTION("GOOGLETRANSLATE(B1564,""id"",""en"")"),"['', 'ISP', 'APK']")</f>
        <v>['', 'ISP', 'APK']</v>
      </c>
      <c r="D1564" s="3">
        <v>1.0</v>
      </c>
    </row>
    <row r="1565" ht="15.75" customHeight="1">
      <c r="A1565" s="1">
        <v>1643.0</v>
      </c>
      <c r="B1565" s="3" t="s">
        <v>1537</v>
      </c>
      <c r="C1565" s="3" t="str">
        <f>IFERROR(__xludf.DUMMYFUNCTION("GOOGLETRANSLATE(B1565,""id"",""en"")"),"['Indihome', 'slow', 'gaguna', 'gerammat', 'please', 'Indihome', 'fix', 'network']")</f>
        <v>['Indihome', 'slow', 'gaguna', 'gerammat', 'please', 'Indihome', 'fix', 'network']</v>
      </c>
      <c r="D1565" s="3">
        <v>1.0</v>
      </c>
    </row>
    <row r="1566" ht="15.75" customHeight="1">
      <c r="A1566" s="1">
        <v>1644.0</v>
      </c>
      <c r="B1566" s="3" t="s">
        <v>1538</v>
      </c>
      <c r="C1566" s="3" t="str">
        <f>IFERROR(__xludf.DUMMYFUNCTION("GOOGLETRANSLATE(B1566,""id"",""en"")"),"['apk', 'paokk', 'difficult', 'bner', 'entry', 'week', 'verification', 'reset', 'continued', 'the application', 'slow', 'bnerin', ' Napa ',' My APK ',' NGK ',' Sister ',' Kek ',' BNI ']")</f>
        <v>['apk', 'paokk', 'difficult', 'bner', 'entry', 'week', 'verification', 'reset', 'continued', 'the application', 'slow', 'bnerin', ' Napa ',' My APK ',' NGK ',' Sister ',' Kek ',' BNI ']</v>
      </c>
      <c r="D1566" s="3">
        <v>1.0</v>
      </c>
    </row>
    <row r="1567" ht="15.75" customHeight="1">
      <c r="A1567" s="1">
        <v>1645.0</v>
      </c>
      <c r="B1567" s="3" t="s">
        <v>1539</v>
      </c>
      <c r="C1567" s="3" t="str">
        <f>IFERROR(__xludf.DUMMYFUNCTION("GOOGLETRANSLATE(B1567,""id"",""en"")"),"['Please', 'Enhanced', 'Room', 'Feature', 'Application', 'Lemot', 'Paya']")</f>
        <v>['Please', 'Enhanced', 'Room', 'Feature', 'Application', 'Lemot', 'Paya']</v>
      </c>
      <c r="D1567" s="3">
        <v>2.0</v>
      </c>
    </row>
    <row r="1568" ht="15.75" customHeight="1">
      <c r="A1568" s="1">
        <v>1646.0</v>
      </c>
      <c r="B1568" s="3" t="s">
        <v>1540</v>
      </c>
      <c r="C1568" s="3" t="str">
        <f>IFERROR(__xludf.DUMMYFUNCTION("GOOGLETRANSLATE(B1568,""id"",""en"")"),"['Update', 'Bad', 'Application', 'Ribet', 'Enter']")</f>
        <v>['Update', 'Bad', 'Application', 'Ribet', 'Enter']</v>
      </c>
      <c r="D1568" s="3">
        <v>1.0</v>
      </c>
    </row>
    <row r="1569" ht="15.75" customHeight="1">
      <c r="A1569" s="1">
        <v>1647.0</v>
      </c>
      <c r="B1569" s="3" t="s">
        <v>1541</v>
      </c>
      <c r="C1569" s="3" t="str">
        <f>IFERROR(__xludf.DUMMYFUNCTION("GOOGLETRANSLATE(B1569,""id"",""en"")"),"['WOI', 'Send', 'OTP', 'Server', 'Fix', 'Servernyan', 'idiot']")</f>
        <v>['WOI', 'Send', 'OTP', 'Server', 'Fix', 'Servernyan', 'idiot']</v>
      </c>
      <c r="D1569" s="3">
        <v>1.0</v>
      </c>
    </row>
    <row r="1570" ht="15.75" customHeight="1">
      <c r="A1570" s="1">
        <v>1648.0</v>
      </c>
      <c r="B1570" s="3" t="s">
        <v>1542</v>
      </c>
      <c r="C1570" s="3" t="str">
        <f>IFERROR(__xludf.DUMMYFUNCTION("GOOGLETRANSLATE(B1570,""id"",""en"")"),"['version', 'the latest', 'info', 'device', 'connected', 'slow', 'accessed']")</f>
        <v>['version', 'the latest', 'info', 'device', 'connected', 'slow', 'accessed']</v>
      </c>
      <c r="D1570" s="3">
        <v>3.0</v>
      </c>
    </row>
    <row r="1571" ht="15.75" customHeight="1">
      <c r="A1571" s="1">
        <v>1649.0</v>
      </c>
      <c r="B1571" s="3" t="s">
        <v>1543</v>
      </c>
      <c r="C1571" s="3" t="str">
        <f>IFERROR(__xludf.DUMMYFUNCTION("GOOGLETRANSLATE(B1571,""id"",""en"")"),"['disabled', '']")</f>
        <v>['disabled', '']</v>
      </c>
      <c r="D1571" s="3">
        <v>1.0</v>
      </c>
    </row>
    <row r="1572" ht="15.75" customHeight="1">
      <c r="A1572" s="1">
        <v>1650.0</v>
      </c>
      <c r="B1572" s="3" t="s">
        <v>1544</v>
      </c>
      <c r="C1572" s="3" t="str">
        <f>IFERROR(__xludf.DUMMYFUNCTION("GOOGLETRANSLATE(B1572,""id"",""en"")"),"['update', 'application', 'the application', 'open', 'slow', 'really', 'check', 'device', 'user', 'network', 'wifi', 'please', ' repair', '']")</f>
        <v>['update', 'application', 'the application', 'open', 'slow', 'really', 'check', 'device', 'user', 'network', 'wifi', 'please', ' repair', '']</v>
      </c>
      <c r="D1572" s="3">
        <v>1.0</v>
      </c>
    </row>
    <row r="1573" ht="15.75" customHeight="1">
      <c r="A1573" s="1">
        <v>1651.0</v>
      </c>
      <c r="B1573" s="3" t="s">
        <v>1545</v>
      </c>
      <c r="C1573" s="3" t="str">
        <f>IFERROR(__xludf.DUMMYFUNCTION("GOOGLETRANSLATE(B1573,""id"",""en"")"),"['Application', 'slow', 'bad', 'update', 'version', 'light']")</f>
        <v>['Application', 'slow', 'bad', 'update', 'version', 'light']</v>
      </c>
      <c r="D1573" s="3">
        <v>1.0</v>
      </c>
    </row>
    <row r="1574" ht="15.75" customHeight="1">
      <c r="A1574" s="1">
        <v>1652.0</v>
      </c>
      <c r="B1574" s="3" t="s">
        <v>1546</v>
      </c>
      <c r="C1574" s="3" t="str">
        <f>IFERROR(__xludf.DUMMYFUNCTION("GOOGLETRANSLATE(B1574,""id"",""en"")"),"['Application', 'Powerful', 'Loading']")</f>
        <v>['Application', 'Powerful', 'Loading']</v>
      </c>
      <c r="D1574" s="3">
        <v>1.0</v>
      </c>
    </row>
    <row r="1575" ht="15.75" customHeight="1">
      <c r="A1575" s="1">
        <v>1654.0</v>
      </c>
      <c r="B1575" s="3" t="s">
        <v>1547</v>
      </c>
      <c r="C1575" s="3" t="str">
        <f>IFERROR(__xludf.DUMMYFUNCTION("GOOGLETRANSLATE(B1575,""id"",""en"")"),"['Application', 'Lemotttttt', 'WiFi', 'Kenceng', 'Memory', 'Ram', 'Herannnnn']")</f>
        <v>['Application', 'Lemotttttt', 'WiFi', 'Kenceng', 'Memory', 'Ram', 'Herannnnn']</v>
      </c>
      <c r="D1575" s="3">
        <v>1.0</v>
      </c>
    </row>
    <row r="1576" ht="15.75" customHeight="1">
      <c r="A1576" s="1">
        <v>1655.0</v>
      </c>
      <c r="B1576" s="3" t="s">
        <v>1548</v>
      </c>
      <c r="C1576" s="3" t="str">
        <f>IFERROR(__xludf.DUMMYFUNCTION("GOOGLETRANSLATE(B1576,""id"",""en"")"),"['msh', 'good', 'application', 'tks']")</f>
        <v>['msh', 'good', 'application', 'tks']</v>
      </c>
      <c r="D1576" s="3">
        <v>1.0</v>
      </c>
    </row>
    <row r="1577" ht="15.75" customHeight="1">
      <c r="A1577" s="1">
        <v>1656.0</v>
      </c>
      <c r="B1577" s="3" t="s">
        <v>1549</v>
      </c>
      <c r="C1577" s="3" t="str">
        <f>IFERROR(__xludf.DUMMYFUNCTION("GOOGLETRANSLATE(B1577,""id"",""en"")"),"['week', 'report', 'connection', 'technician', 'connect', 'event', 'Connect', 'waiting', 'week', 'connect', 'connect', 'week', ' Disconnect ',' bill ',' fast ',' contact ',' Customer ',' ']")</f>
        <v>['week', 'report', 'connection', 'technician', 'connect', 'event', 'Connect', 'waiting', 'week', 'connect', 'connect', 'week', ' Disconnect ',' bill ',' fast ',' contact ',' Customer ',' ']</v>
      </c>
      <c r="D1577" s="3">
        <v>1.0</v>
      </c>
    </row>
    <row r="1578" ht="15.75" customHeight="1">
      <c r="A1578" s="1">
        <v>1657.0</v>
      </c>
      <c r="B1578" s="3" t="s">
        <v>1550</v>
      </c>
      <c r="C1578" s="3" t="str">
        <f>IFERROR(__xludf.DUMMYFUNCTION("GOOGLETRANSLATE(B1578,""id"",""en"")"),"['Appose', 'complaint', 'service', 'technicians', 'here', 'already', 'times', 'report', '']")</f>
        <v>['Appose', 'complaint', 'service', 'technicians', 'here', 'already', 'times', 'report', '']</v>
      </c>
      <c r="D1578" s="3">
        <v>1.0</v>
      </c>
    </row>
    <row r="1579" ht="15.75" customHeight="1">
      <c r="A1579" s="1">
        <v>1658.0</v>
      </c>
      <c r="B1579" s="3" t="s">
        <v>1551</v>
      </c>
      <c r="C1579" s="3" t="str">
        <f>IFERROR(__xludf.DUMMYFUNCTION("GOOGLETRANSLATE(B1579,""id"",""en"")"),"['Update', 'ugly', 'Open', 'Profile', 'Feature']")</f>
        <v>['Update', 'ugly', 'Open', 'Profile', 'Feature']</v>
      </c>
      <c r="D1579" s="3">
        <v>1.0</v>
      </c>
    </row>
    <row r="1580" ht="15.75" customHeight="1">
      <c r="A1580" s="1">
        <v>1659.0</v>
      </c>
      <c r="B1580" s="3" t="s">
        <v>1552</v>
      </c>
      <c r="C1580" s="3" t="str">
        <f>IFERROR(__xludf.DUMMYFUNCTION("GOOGLETRANSLATE(B1580,""id"",""en"")"),"['suggestion', 'improvement', 'stability', 'performance', 'connection', 'priority']")</f>
        <v>['suggestion', 'improvement', 'stability', 'performance', 'connection', 'priority']</v>
      </c>
      <c r="D1580" s="3">
        <v>1.0</v>
      </c>
    </row>
    <row r="1581" ht="15.75" customHeight="1">
      <c r="A1581" s="1">
        <v>1660.0</v>
      </c>
      <c r="B1581" s="3" t="s">
        <v>1553</v>
      </c>
      <c r="C1581" s="3" t="str">
        <f>IFERROR(__xludf.DUMMYFUNCTION("GOOGLETRANSLATE(B1581,""id"",""en"")"),"['Application', 'slow', 'Feature', 'Contact', 'Direct', 'Customer', 'CARE']")</f>
        <v>['Application', 'slow', 'Feature', 'Contact', 'Direct', 'Customer', 'CARE']</v>
      </c>
      <c r="D1581" s="3">
        <v>1.0</v>
      </c>
    </row>
    <row r="1582" ht="15.75" customHeight="1">
      <c r="A1582" s="1">
        <v>1661.0</v>
      </c>
      <c r="B1582" s="3" t="s">
        <v>1554</v>
      </c>
      <c r="C1582" s="3" t="str">
        <f>IFERROR(__xludf.DUMMYFUNCTION("GOOGLETRANSLATE(B1582,""id"",""en"")"),"['Updated', 'accessed']")</f>
        <v>['Updated', 'accessed']</v>
      </c>
      <c r="D1582" s="3">
        <v>1.0</v>
      </c>
    </row>
    <row r="1583" ht="15.75" customHeight="1">
      <c r="A1583" s="1">
        <v>1662.0</v>
      </c>
      <c r="B1583" s="3" t="s">
        <v>1555</v>
      </c>
      <c r="C1583" s="3" t="str">
        <f>IFERROR(__xludf.DUMMYFUNCTION("GOOGLETRANSLATE(B1583,""id"",""en"")"),"['Application', 'error']")</f>
        <v>['Application', 'error']</v>
      </c>
      <c r="D1583" s="3">
        <v>1.0</v>
      </c>
    </row>
    <row r="1584" ht="15.75" customHeight="1">
      <c r="A1584" s="1">
        <v>1663.0</v>
      </c>
      <c r="B1584" s="3" t="s">
        <v>441</v>
      </c>
      <c r="C1584" s="3" t="str">
        <f>IFERROR(__xludf.DUMMYFUNCTION("GOOGLETRANSLATE(B1584,""id"",""en"")"),"['', '']")</f>
        <v>['', '']</v>
      </c>
      <c r="D1584" s="3">
        <v>5.0</v>
      </c>
    </row>
    <row r="1585" ht="15.75" customHeight="1">
      <c r="A1585" s="1">
        <v>1664.0</v>
      </c>
      <c r="B1585" s="3" t="s">
        <v>1556</v>
      </c>
      <c r="C1585" s="3" t="str">
        <f>IFERROR(__xludf.DUMMYFUNCTION("GOOGLETRANSLATE(B1585,""id"",""en"")"),"['use', 'WiFi', 'wifi', 'because' replace ',' add ',' missing ',' buy ',' add ',' told ',' upgrade ',' package ',' Internet ',' System ',' Puyeng ', ""]")</f>
        <v>['use', 'WiFi', 'wifi', 'because' replace ',' add ',' missing ',' buy ',' add ',' told ',' upgrade ',' package ',' Internet ',' System ',' Puyeng ', "]</v>
      </c>
      <c r="D1585" s="3">
        <v>2.0</v>
      </c>
    </row>
    <row r="1586" ht="15.75" customHeight="1">
      <c r="A1586" s="1">
        <v>1665.0</v>
      </c>
      <c r="B1586" s="3" t="s">
        <v>1557</v>
      </c>
      <c r="C1586" s="3" t="str">
        <f>IFERROR(__xludf.DUMMYFUNCTION("GOOGLETRANSLATE(B1586,""id"",""en"")"),"['wifi', 'already', 'pay', 'slow', 'open', 'app', 'indihome', 'optimal', 'move', 'number', 'indihome', 'slow', ' Quality ',' Indihomo ',' ']")</f>
        <v>['wifi', 'already', 'pay', 'slow', 'open', 'app', 'indihome', 'optimal', 'move', 'number', 'indihome', 'slow', ' Quality ',' Indihomo ',' ']</v>
      </c>
      <c r="D1586" s="3">
        <v>1.0</v>
      </c>
    </row>
    <row r="1587" ht="15.75" customHeight="1">
      <c r="A1587" s="1">
        <v>1666.0</v>
      </c>
      <c r="B1587" s="3" t="s">
        <v>1558</v>
      </c>
      <c r="C1587" s="3" t="str">
        <f>IFERROR(__xludf.DUMMYFUNCTION("GOOGLETRANSLATE(B1587,""id"",""en"")"),"['The network', 'problematic', 'streaming', 'smooth', 'ngekame', 'no', 'ngeedown']")</f>
        <v>['The network', 'problematic', 'streaming', 'smooth', 'ngekame', 'no', 'ngeedown']</v>
      </c>
      <c r="D1587" s="3">
        <v>3.0</v>
      </c>
    </row>
    <row r="1588" ht="15.75" customHeight="1">
      <c r="A1588" s="1">
        <v>1667.0</v>
      </c>
      <c r="B1588" s="3" t="s">
        <v>1559</v>
      </c>
      <c r="C1588" s="3" t="str">
        <f>IFERROR(__xludf.DUMMYFUNCTION("GOOGLETRANSLATE(B1588,""id"",""en"")"),"['Open', 'APK', 'really', 'network', 'slow', 'open', 'APK', 'light', 'fix', '']")</f>
        <v>['Open', 'APK', 'really', 'network', 'slow', 'open', 'APK', 'light', 'fix', '']</v>
      </c>
      <c r="D1588" s="3">
        <v>2.0</v>
      </c>
    </row>
    <row r="1589" ht="15.75" customHeight="1">
      <c r="A1589" s="1">
        <v>1668.0</v>
      </c>
      <c r="B1589" s="3" t="s">
        <v>1560</v>
      </c>
      <c r="C1589" s="3" t="str">
        <f>IFERROR(__xludf.DUMMYFUNCTION("GOOGLETRANSLATE(B1589,""id"",""en"")"),"['already', 'Serimg', 'error', 'for days',' a week ',' error ',' payment ',' late ',' a day ',' diputuss', 'use', 'indihome', ' ',' Loss', 'Gaess',' Mending ',' Use ',' Data ',' Itung ',' Itung ',' Save ',' Buy ',' Data ',' rather ',' subscription ' , 'In"&amp;"ternet', 'use', 'Indihome', 'brought', 'Where', ""]")</f>
        <v>['already', 'Serimg', 'error', 'for days',' a week ',' error ',' payment ',' late ',' a day ',' diputuss', 'use', 'indihome', ' ',' Loss', 'Gaess',' Mending ',' Use ',' Data ',' Itung ',' Itung ',' Save ',' Buy ',' Data ',' rather ',' subscription ' , 'Internet', 'use', 'Indihome', 'brought', 'Where', "]</v>
      </c>
      <c r="D1589" s="3">
        <v>1.0</v>
      </c>
    </row>
    <row r="1590" ht="15.75" customHeight="1">
      <c r="A1590" s="1">
        <v>1669.0</v>
      </c>
      <c r="B1590" s="3" t="s">
        <v>1561</v>
      </c>
      <c r="C1590" s="3" t="str">
        <f>IFERROR(__xludf.DUMMYFUNCTION("GOOGLETRANSLATE(B1590,""id"",""en"")"),"['Severe', 'application']")</f>
        <v>['Severe', 'application']</v>
      </c>
      <c r="D1590" s="3">
        <v>1.0</v>
      </c>
    </row>
    <row r="1591" ht="15.75" customHeight="1">
      <c r="A1591" s="1">
        <v>1670.0</v>
      </c>
      <c r="B1591" s="3" t="s">
        <v>1562</v>
      </c>
      <c r="C1591" s="3" t="str">
        <f>IFERROR(__xludf.DUMMYFUNCTION("GOOGLETRANSLATE(B1591,""id"",""en"")"),"['Hbis', 'update', 'log', 'out', 'difficult', 'tuk', 'login', 'severe', 'late', 'pay', 'call', 'then' Damage ',' Network ',' Indihome ',' Indihome ',' Nidak ', ""]")</f>
        <v>['Hbis', 'update', 'log', 'out', 'difficult', 'tuk', 'login', 'severe', 'late', 'pay', 'call', 'then' Damage ',' Network ',' Indihome ',' Indihome ',' Nidak ', "]</v>
      </c>
      <c r="D1591" s="3">
        <v>2.0</v>
      </c>
    </row>
    <row r="1592" ht="15.75" customHeight="1">
      <c r="A1592" s="1">
        <v>1671.0</v>
      </c>
      <c r="B1592" s="3" t="s">
        <v>1563</v>
      </c>
      <c r="C1592" s="3" t="str">
        <f>IFERROR(__xludf.DUMMYFUNCTION("GOOGLETRANSLATE(B1592,""id"",""en"")"),"['repair', 'fast', 'responsive']")</f>
        <v>['repair', 'fast', 'responsive']</v>
      </c>
      <c r="D1592" s="3">
        <v>5.0</v>
      </c>
    </row>
    <row r="1593" ht="15.75" customHeight="1">
      <c r="A1593" s="1">
        <v>1672.0</v>
      </c>
      <c r="B1593" s="3" t="s">
        <v>1564</v>
      </c>
      <c r="C1593" s="3" t="str">
        <f>IFERROR(__xludf.DUMMYFUNCTION("GOOGLETRANSLATE(B1593,""id"",""en"")"),"['update', 'difficult', 'log']")</f>
        <v>['update', 'difficult', 'log']</v>
      </c>
      <c r="D1593" s="3">
        <v>1.0</v>
      </c>
    </row>
    <row r="1594" ht="15.75" customHeight="1">
      <c r="A1594" s="1">
        <v>1673.0</v>
      </c>
      <c r="B1594" s="3" t="s">
        <v>1565</v>
      </c>
      <c r="C1594" s="3" t="str">
        <f>IFERROR(__xludf.DUMMYFUNCTION("GOOGLETRANSLATE(B1594,""id"",""en"")"),"['woi', 'application', 'kayak', 'slow', 'brain', 'application', 'telephone', 'finish', 'good', 'update', 'application', 'slow' Kayak ',' Snail ',' People ',' Emotion ',' Update ',' Application ',' Taik ']")</f>
        <v>['woi', 'application', 'kayak', 'slow', 'brain', 'application', 'telephone', 'finish', 'good', 'update', 'application', 'slow' Kayak ',' Snail ',' People ',' Emotion ',' Update ',' Application ',' Taik ']</v>
      </c>
      <c r="D1594" s="3">
        <v>1.0</v>
      </c>
    </row>
    <row r="1595" ht="15.75" customHeight="1">
      <c r="A1595" s="1">
        <v>1674.0</v>
      </c>
      <c r="B1595" s="3" t="s">
        <v>1117</v>
      </c>
      <c r="C1595" s="3" t="str">
        <f>IFERROR(__xludf.DUMMYFUNCTION("GOOGLETRANSLATE(B1595,""id"",""en"")"),"['help']")</f>
        <v>['help']</v>
      </c>
      <c r="D1595" s="3">
        <v>4.0</v>
      </c>
    </row>
    <row r="1596" ht="15.75" customHeight="1">
      <c r="A1596" s="1">
        <v>1675.0</v>
      </c>
      <c r="B1596" s="3" t="s">
        <v>1566</v>
      </c>
      <c r="C1596" s="3" t="str">
        <f>IFERROR(__xludf.DUMMYFUNCTION("GOOGLETRANSLATE(B1596,""id"",""en"")"),"['Loding', 'slow', 'really', 'tired', 'Wait']")</f>
        <v>['Loding', 'slow', 'really', 'tired', 'Wait']</v>
      </c>
      <c r="D1596" s="3">
        <v>3.0</v>
      </c>
    </row>
    <row r="1597" ht="15.75" customHeight="1">
      <c r="A1597" s="1">
        <v>1676.0</v>
      </c>
      <c r="B1597" s="3" t="s">
        <v>1567</v>
      </c>
      <c r="C1597" s="3" t="str">
        <f>IFERROR(__xludf.DUMMYFUNCTION("GOOGLETRANSLATE(B1597,""id"",""en"")"),"['beneficial']")</f>
        <v>['beneficial']</v>
      </c>
      <c r="D1597" s="3">
        <v>5.0</v>
      </c>
    </row>
    <row r="1598" ht="15.75" customHeight="1">
      <c r="A1598" s="1">
        <v>1677.0</v>
      </c>
      <c r="B1598" s="3" t="s">
        <v>1568</v>
      </c>
      <c r="C1598" s="3" t="str">
        <f>IFERROR(__xludf.DUMMYFUNCTION("GOOGLETRANSLATE(B1598,""id"",""en"")"),"['Ngebug', 'APK']")</f>
        <v>['Ngebug', 'APK']</v>
      </c>
      <c r="D1598" s="3">
        <v>1.0</v>
      </c>
    </row>
    <row r="1599" ht="15.75" customHeight="1">
      <c r="A1599" s="1">
        <v>1678.0</v>
      </c>
      <c r="B1599" s="3" t="s">
        <v>1569</v>
      </c>
      <c r="C1599" s="3" t="str">
        <f>IFERROR(__xludf.DUMMYFUNCTION("GOOGLETRANSLATE(B1599,""id"",""en"")"),"['application', 'easy', 'makes it easy', 'complaint', 'make it easy', 'it looks', 'bill', 'per month', '']")</f>
        <v>['application', 'easy', 'makes it easy', 'complaint', 'make it easy', 'it looks', 'bill', 'per month', '']</v>
      </c>
      <c r="D1599" s="3">
        <v>5.0</v>
      </c>
    </row>
    <row r="1600" ht="15.75" customHeight="1">
      <c r="A1600" s="1">
        <v>1679.0</v>
      </c>
      <c r="B1600" s="3" t="s">
        <v>1570</v>
      </c>
      <c r="C1600" s="3" t="str">
        <f>IFERROR(__xludf.DUMMYFUNCTION("GOOGLETRANSLATE(B1600,""id"",""en"")"),"['Gabisa', 'Login', 'Najiss', 'Ripuh', 'Quality', 'Local', 'Damaged']")</f>
        <v>['Gabisa', 'Login', 'Najiss', 'Ripuh', 'Quality', 'Local', 'Damaged']</v>
      </c>
      <c r="D1600" s="3">
        <v>1.0</v>
      </c>
    </row>
    <row r="1601" ht="15.75" customHeight="1">
      <c r="A1601" s="1">
        <v>1680.0</v>
      </c>
      <c r="B1601" s="3" t="s">
        <v>1571</v>
      </c>
      <c r="C1601" s="3" t="str">
        <f>IFERROR(__xludf.DUMMYFUNCTION("GOOGLETRANSLATE(B1601,""id"",""en"")"),"['Please', 'permission', 'update', 'difficult', 'login', 'yesterday', 'Yesterday', 'already', 'top', 'application', 'please', 'fix', ' thanks']")</f>
        <v>['Please', 'permission', 'update', 'difficult', 'login', 'yesterday', 'Yesterday', 'already', 'top', 'application', 'please', 'fix', ' thanks']</v>
      </c>
      <c r="D1601" s="3">
        <v>5.0</v>
      </c>
    </row>
    <row r="1602" ht="15.75" customHeight="1">
      <c r="A1602" s="1">
        <v>1681.0</v>
      </c>
      <c r="B1602" s="3" t="s">
        <v>1572</v>
      </c>
      <c r="C1602" s="3" t="str">
        <f>IFERROR(__xludf.DUMMYFUNCTION("GOOGLETRANSLATE(B1602,""id"",""en"")"),"['Myindihome', 'disappointing', 'have', 'features', 'Cool']")</f>
        <v>['Myindihome', 'disappointing', 'have', 'features', 'Cool']</v>
      </c>
      <c r="D1602" s="3">
        <v>5.0</v>
      </c>
    </row>
    <row r="1603" ht="15.75" customHeight="1">
      <c r="A1603" s="1">
        <v>1682.0</v>
      </c>
      <c r="B1603" s="3" t="s">
        <v>1573</v>
      </c>
      <c r="C1603" s="3" t="str">
        <f>IFERROR(__xludf.DUMMYFUNCTION("GOOGLETRANSLATE(B1603,""id"",""en"")"),"['Mendwonlod', 'difficult', 'APUN', '']")</f>
        <v>['Mendwonlod', 'difficult', 'APUN', '']</v>
      </c>
      <c r="D1603" s="3">
        <v>1.0</v>
      </c>
    </row>
    <row r="1604" ht="15.75" customHeight="1">
      <c r="A1604" s="1">
        <v>1684.0</v>
      </c>
      <c r="B1604" s="3" t="s">
        <v>1574</v>
      </c>
      <c r="C1604" s="3" t="str">
        <f>IFERROR(__xludf.DUMMYFUNCTION("GOOGLETRANSLATE(B1604,""id"",""en"")"),"['slow', 'Skli', 'please', 'turning back', 'application', 'makes it easy', 'tolooong', ""]")</f>
        <v>['slow', 'Skli', 'please', 'turning back', 'application', 'makes it easy', 'tolooong', "]</v>
      </c>
      <c r="D1604" s="3">
        <v>1.0</v>
      </c>
    </row>
    <row r="1605" ht="15.75" customHeight="1">
      <c r="A1605" s="1">
        <v>1685.0</v>
      </c>
      <c r="B1605" s="3" t="s">
        <v>1575</v>
      </c>
      <c r="C1605" s="3" t="str">
        <f>IFERROR(__xludf.DUMMYFUNCTION("GOOGLETRANSLATE(B1605,""id"",""en"")"),"['Service', 'Technology', 'Good', 'Ate', 'Suryana', 'Technicians',' Beges', 'Liar', 'Report', 'Resolved', 'Handle', 'Ditelfon', ' Move ',' Location ',' Moving ',' Resolved ',' Harm ',' Customer ',' ']")</f>
        <v>['Service', 'Technology', 'Good', 'Ate', 'Suryana', 'Technicians',' Beges', 'Liar', 'Report', 'Resolved', 'Handle', 'Ditelfon', ' Move ',' Location ',' Moving ',' Resolved ',' Harm ',' Customer ',' ']</v>
      </c>
      <c r="D1605" s="3">
        <v>1.0</v>
      </c>
    </row>
    <row r="1606" ht="15.75" customHeight="1">
      <c r="A1606" s="1">
        <v>1686.0</v>
      </c>
      <c r="B1606" s="3" t="s">
        <v>1576</v>
      </c>
      <c r="C1606" s="3" t="str">
        <f>IFERROR(__xludf.DUMMYFUNCTION("GOOGLETRANSLATE(B1606,""id"",""en"")"),"['Class', 'Indihome', 'Build', 'Apps', 'Slow', 'Severe']")</f>
        <v>['Class', 'Indihome', 'Build', 'Apps', 'Slow', 'Severe']</v>
      </c>
      <c r="D1606" s="3">
        <v>1.0</v>
      </c>
    </row>
    <row r="1607" ht="15.75" customHeight="1">
      <c r="A1607" s="1">
        <v>1687.0</v>
      </c>
      <c r="B1607" s="3" t="s">
        <v>1577</v>
      </c>
      <c r="C1607" s="3" t="str">
        <f>IFERROR(__xludf.DUMMYFUNCTION("GOOGLETRANSLATE(B1607,""id"",""en"")"),"['Ribet', 'update']")</f>
        <v>['Ribet', 'update']</v>
      </c>
      <c r="D1607" s="3">
        <v>1.0</v>
      </c>
    </row>
    <row r="1608" ht="15.75" customHeight="1">
      <c r="A1608" s="1">
        <v>1688.0</v>
      </c>
      <c r="B1608" s="3" t="s">
        <v>1578</v>
      </c>
      <c r="C1608" s="3" t="str">
        <f>IFERROR(__xludf.DUMMYFUNCTION("GOOGLETRANSLATE(B1608,""id"",""en"")"),"['Yesterday', 'update', 'already', 'good', 'account', 'indihome', 'complicated', 'application', 'email', 'number', ""]")</f>
        <v>['Yesterday', 'update', 'already', 'good', 'account', 'indihome', 'complicated', 'application', 'email', 'number', "]</v>
      </c>
      <c r="D1608" s="3">
        <v>1.0</v>
      </c>
    </row>
    <row r="1609" ht="15.75" customHeight="1">
      <c r="A1609" s="1">
        <v>1689.0</v>
      </c>
      <c r="B1609" s="3" t="s">
        <v>1579</v>
      </c>
      <c r="C1609" s="3" t="str">
        <f>IFERROR(__xludf.DUMMYFUNCTION("GOOGLETRANSLATE(B1609,""id"",""en"")"),"['Bener', 'APK', 'update']")</f>
        <v>['Bener', 'APK', 'update']</v>
      </c>
      <c r="D1609" s="3">
        <v>1.0</v>
      </c>
    </row>
    <row r="1610" ht="15.75" customHeight="1">
      <c r="A1610" s="1">
        <v>1690.0</v>
      </c>
      <c r="B1610" s="3" t="s">
        <v>1580</v>
      </c>
      <c r="C1610" s="3" t="str">
        <f>IFERROR(__xludf.DUMMYFUNCTION("GOOGLETRANSLATE(B1610,""id"",""en"")"),"['Myindihome', 'Cool', 'Tuker', 'Point', 'See', 'Bill', 'Details']")</f>
        <v>['Myindihome', 'Cool', 'Tuker', 'Point', 'See', 'Bill', 'Details']</v>
      </c>
      <c r="D1610" s="3">
        <v>5.0</v>
      </c>
    </row>
    <row r="1611" ht="15.75" customHeight="1">
      <c r="A1611" s="1">
        <v>1692.0</v>
      </c>
      <c r="B1611" s="3" t="s">
        <v>1581</v>
      </c>
      <c r="C1611" s="3" t="str">
        <f>IFERROR(__xludf.DUMMYFUNCTION("GOOGLETRANSLATE(B1611,""id"",""en"")"),"['Application', 'Login', 'Update', 'Belongs', 'BUMN', 'Application', 'Kya', 'Gin', 'Pantesan', 'Moving', ""]")</f>
        <v>['Application', 'Login', 'Update', 'Belongs', 'BUMN', 'Application', 'Kya', 'Gin', 'Pantesan', 'Moving', "]</v>
      </c>
      <c r="D1611" s="3">
        <v>1.0</v>
      </c>
    </row>
    <row r="1612" ht="15.75" customHeight="1">
      <c r="A1612" s="1">
        <v>1693.0</v>
      </c>
      <c r="B1612" s="3" t="s">
        <v>1582</v>
      </c>
      <c r="C1612" s="3" t="str">
        <f>IFERROR(__xludf.DUMMYFUNCTION("GOOGLETRANSLATE(B1612,""id"",""en"")"),"['Login', 'difficult', 'slow', 'Bener', 'server']")</f>
        <v>['Login', 'difficult', 'slow', 'Bener', 'server']</v>
      </c>
      <c r="D1612" s="3">
        <v>1.0</v>
      </c>
    </row>
    <row r="1613" ht="15.75" customHeight="1">
      <c r="A1613" s="1">
        <v>1694.0</v>
      </c>
      <c r="B1613" s="3" t="s">
        <v>1583</v>
      </c>
      <c r="C1613" s="3" t="str">
        <f>IFERROR(__xludf.DUMMYFUNCTION("GOOGLETRANSLATE(B1613,""id"",""en"")"),"['monkey', 'application', 'update', 'destroyed', 'log', 'person', 'it', 'application', 'pretentious',' jago ',' eat ',' salary ',' blind', '']")</f>
        <v>['monkey', 'application', 'update', 'destroyed', 'log', 'person', 'it', 'application', 'pretentious',' jago ',' eat ',' salary ',' blind', '']</v>
      </c>
      <c r="D1613" s="3">
        <v>1.0</v>
      </c>
    </row>
    <row r="1614" ht="15.75" customHeight="1">
      <c r="A1614" s="1">
        <v>1695.0</v>
      </c>
      <c r="B1614" s="3" t="s">
        <v>1584</v>
      </c>
      <c r="C1614" s="3" t="str">
        <f>IFERROR(__xludf.DUMMYFUNCTION("GOOGLETRANSLATE(B1614,""id"",""en"")"),"['application', 'difficult', 'login']")</f>
        <v>['application', 'difficult', 'login']</v>
      </c>
      <c r="D1614" s="3">
        <v>1.0</v>
      </c>
    </row>
    <row r="1615" ht="15.75" customHeight="1">
      <c r="A1615" s="1">
        <v>1696.0</v>
      </c>
      <c r="B1615" s="3" t="s">
        <v>1585</v>
      </c>
      <c r="C1615" s="3" t="str">
        <f>IFERROR(__xludf.DUMMYFUNCTION("GOOGLETRANSLATE(B1615,""id"",""en"")"),"['difficult', 'open', 'application', 'indihome']")</f>
        <v>['difficult', 'open', 'application', 'indihome']</v>
      </c>
      <c r="D1615" s="3">
        <v>1.0</v>
      </c>
    </row>
    <row r="1616" ht="15.75" customHeight="1">
      <c r="A1616" s="1">
        <v>1697.0</v>
      </c>
      <c r="B1616" s="3" t="s">
        <v>14</v>
      </c>
      <c r="C1616" s="3" t="str">
        <f>IFERROR(__xludf.DUMMYFUNCTION("GOOGLETRANSLATE(B1616,""id"",""en"")"),"Of course")</f>
        <v>Of course</v>
      </c>
      <c r="D1616" s="3">
        <v>1.0</v>
      </c>
    </row>
    <row r="1617" ht="15.75" customHeight="1">
      <c r="A1617" s="1">
        <v>1698.0</v>
      </c>
      <c r="B1617" s="3" t="s">
        <v>1586</v>
      </c>
      <c r="C1617" s="3" t="str">
        <f>IFERROR(__xludf.DUMMYFUNCTION("GOOGLETRANSLATE(B1617,""id"",""en"")"),"['application', 'help', 'fulfillment', 'needs', 'internet', 'a day', 'explanation', 'product']")</f>
        <v>['application', 'help', 'fulfillment', 'needs', 'internet', 'a day', 'explanation', 'product']</v>
      </c>
      <c r="D1617" s="3">
        <v>5.0</v>
      </c>
    </row>
    <row r="1618" ht="15.75" customHeight="1">
      <c r="A1618" s="1">
        <v>1699.0</v>
      </c>
      <c r="B1618" s="3" t="s">
        <v>1587</v>
      </c>
      <c r="C1618" s="3" t="str">
        <f>IFERROR(__xludf.DUMMYFUNCTION("GOOGLETRANSLATE(B1618,""id"",""en"")"),"['application', 'company', 'koq', 'like', 'login', 'difficult', 'already', 'email', 'number', 'phone', 'how', 'pay', ' Try ',' number ',' wifinya ',' forget ',' login ']")</f>
        <v>['application', 'company', 'koq', 'like', 'login', 'difficult', 'already', 'email', 'number', 'phone', 'how', 'pay', ' Try ',' number ',' wifinya ',' forget ',' login ']</v>
      </c>
      <c r="D1618" s="3">
        <v>1.0</v>
      </c>
    </row>
    <row r="1619" ht="15.75" customHeight="1">
      <c r="A1619" s="1">
        <v>1700.0</v>
      </c>
      <c r="B1619" s="3" t="s">
        <v>1588</v>
      </c>
      <c r="C1619" s="3" t="str">
        <f>IFERROR(__xludf.DUMMYFUNCTION("GOOGLETRANSLATE(B1619,""id"",""en"")"),"['hope', 'strengthen', 'signal', 'lose', 'enthusiasm', 'indihome']")</f>
        <v>['hope', 'strengthen', 'signal', 'lose', 'enthusiasm', 'indihome']</v>
      </c>
      <c r="D1619" s="3">
        <v>4.0</v>
      </c>
    </row>
    <row r="1620" ht="15.75" customHeight="1">
      <c r="A1620" s="1">
        <v>1701.0</v>
      </c>
      <c r="B1620" s="3" t="s">
        <v>1589</v>
      </c>
      <c r="C1620" s="3" t="str">
        <f>IFERROR(__xludf.DUMMYFUNCTION("GOOGLETRANSLATE(B1620,""id"",""en"")"),"['Ribet', 'bin', 'njimet', 'mumet']")</f>
        <v>['Ribet', 'bin', 'njimet', 'mumet']</v>
      </c>
      <c r="D1620" s="3">
        <v>1.0</v>
      </c>
    </row>
    <row r="1621" ht="15.75" customHeight="1">
      <c r="A1621" s="1">
        <v>1702.0</v>
      </c>
      <c r="B1621" s="3" t="s">
        <v>1590</v>
      </c>
      <c r="C1621" s="3" t="str">
        <f>IFERROR(__xludf.DUMMYFUNCTION("GOOGLETRANSLATE(B1621,""id"",""en"")"),"['difficult', 'log', 'help']")</f>
        <v>['difficult', 'log', 'help']</v>
      </c>
      <c r="D1621" s="3">
        <v>1.0</v>
      </c>
    </row>
    <row r="1622" ht="15.75" customHeight="1">
      <c r="A1622" s="1">
        <v>1703.0</v>
      </c>
      <c r="B1622" s="3" t="s">
        <v>1591</v>
      </c>
      <c r="C1622" s="3" t="str">
        <f>IFERROR(__xludf.DUMMYFUNCTION("GOOGLETRANSLATE(B1622,""id"",""en"")"),"['how', 'updated', 'login', 'difficult', 'really', 'my apk', 'dilapidated', '']")</f>
        <v>['how', 'updated', 'login', 'difficult', 'really', 'my apk', 'dilapidated', '']</v>
      </c>
      <c r="D1622" s="3">
        <v>1.0</v>
      </c>
    </row>
    <row r="1623" ht="15.75" customHeight="1">
      <c r="A1623" s="1">
        <v>1704.0</v>
      </c>
      <c r="B1623" s="3" t="s">
        <v>1592</v>
      </c>
      <c r="C1623" s="3" t="str">
        <f>IFERROR(__xludf.DUMMYFUNCTION("GOOGLETRANSLATE(B1623,""id"",""en"")"),"['TLG', 'Fix', 'My APK', 'BYK', 'Menu', 'ADD', 'Seamless', ""]")</f>
        <v>['TLG', 'Fix', 'My APK', 'BYK', 'Menu', 'ADD', 'Seamless', "]</v>
      </c>
      <c r="D1623" s="3">
        <v>1.0</v>
      </c>
    </row>
    <row r="1624" ht="15.75" customHeight="1">
      <c r="A1624" s="1">
        <v>1705.0</v>
      </c>
      <c r="B1624" s="3" t="s">
        <v>1593</v>
      </c>
      <c r="C1624" s="3" t="str">
        <f>IFERROR(__xludf.DUMMYFUNCTION("GOOGLETRANSLATE(B1624,""id"",""en"")"),"['JLEK']")</f>
        <v>['JLEK']</v>
      </c>
      <c r="D1624" s="3">
        <v>1.0</v>
      </c>
    </row>
    <row r="1625" ht="15.75" customHeight="1">
      <c r="A1625" s="1">
        <v>1706.0</v>
      </c>
      <c r="B1625" s="3" t="s">
        <v>1594</v>
      </c>
      <c r="C1625" s="3" t="str">
        <f>IFERROR(__xludf.DUMMYFUNCTION("GOOGLETRANSLATE(B1625,""id"",""en"")"),"['ugly', 'Benget', 'signal', 'choice', 'Indihome', ""]")</f>
        <v>['ugly', 'Benget', 'signal', 'choice', 'Indihome', "]</v>
      </c>
      <c r="D1625" s="3">
        <v>1.0</v>
      </c>
    </row>
    <row r="1626" ht="15.75" customHeight="1">
      <c r="A1626" s="1">
        <v>1707.0</v>
      </c>
      <c r="B1626" s="3" t="s">
        <v>1595</v>
      </c>
      <c r="C1626" s="3" t="str">
        <f>IFERROR(__xludf.DUMMYFUNCTION("GOOGLETRANSLATE(B1626,""id"",""en"")"),"['ugly', 'apk', 'login']")</f>
        <v>['ugly', 'apk', 'login']</v>
      </c>
      <c r="D1626" s="3">
        <v>1.0</v>
      </c>
    </row>
    <row r="1627" ht="15.75" customHeight="1">
      <c r="A1627" s="1">
        <v>1708.0</v>
      </c>
      <c r="B1627" s="3" t="s">
        <v>1596</v>
      </c>
      <c r="C1627" s="3" t="str">
        <f>IFERROR(__xludf.DUMMYFUNCTION("GOOGLETRANSLATE(B1627,""id"",""en"")"),"['Times', 'Application', 'Hang', 'Restart', 'Choice', 'City', 'Sidoarjo']")</f>
        <v>['Times', 'Application', 'Hang', 'Restart', 'Choice', 'City', 'Sidoarjo']</v>
      </c>
      <c r="D1627" s="3">
        <v>1.0</v>
      </c>
    </row>
    <row r="1628" ht="15.75" customHeight="1">
      <c r="A1628" s="1">
        <v>1709.0</v>
      </c>
      <c r="B1628" s="3" t="s">
        <v>1597</v>
      </c>
      <c r="C1628" s="3" t="str">
        <f>IFERROR(__xludf.DUMMYFUNCTION("GOOGLETRANSLATE(B1628,""id"",""en"")"),"['Slow', 'handling', 'disorder', 'login', 'difficult', 'mercy', 'emang', 'service', 'enhanced', 'login']")</f>
        <v>['Slow', 'handling', 'disorder', 'login', 'difficult', 'mercy', 'emang', 'service', 'enhanced', 'login']</v>
      </c>
      <c r="D1628" s="3">
        <v>1.0</v>
      </c>
    </row>
    <row r="1629" ht="15.75" customHeight="1">
      <c r="A1629" s="1">
        <v>1710.0</v>
      </c>
      <c r="B1629" s="3" t="s">
        <v>1598</v>
      </c>
      <c r="C1629" s="3" t="str">
        <f>IFERROR(__xludf.DUMMYFUNCTION("GOOGLETRANSLATE(B1629,""id"",""en"")"),"['application', 'bad', 'loading', 'repeated', 'reset', 'times',' enter ',' code ',' otp ',' wrong ',' already ',' waiting ',' Wrong ',' Removal ',' Application ',' Rich ',' Gini ',' Suggestions', 'Download', 'APK', 'Mending', 'Disappointing', 'Full', 'Sto"&amp;"rage', ""]")</f>
        <v>['application', 'bad', 'loading', 'repeated', 'reset', 'times',' enter ',' code ',' otp ',' wrong ',' already ',' waiting ',' Wrong ',' Removal ',' Application ',' Rich ',' Gini ',' Suggestions', 'Download', 'APK', 'Mending', 'Disappointing', 'Full', 'Storage', "]</v>
      </c>
      <c r="D1629" s="3">
        <v>1.0</v>
      </c>
    </row>
    <row r="1630" ht="15.75" customHeight="1">
      <c r="A1630" s="1">
        <v>1711.0</v>
      </c>
      <c r="B1630" s="3" t="s">
        <v>1599</v>
      </c>
      <c r="C1630" s="3" t="str">
        <f>IFERROR(__xludf.DUMMYFUNCTION("GOOGLETRANSLATE(B1630,""id"",""en"")"),"['Myindihome', 'makes it easy', 'set', 'user', 'friendly', 'see', 'bills']")</f>
        <v>['Myindihome', 'makes it easy', 'set', 'user', 'friendly', 'see', 'bills']</v>
      </c>
      <c r="D1630" s="3">
        <v>5.0</v>
      </c>
    </row>
    <row r="1631" ht="15.75" customHeight="1">
      <c r="A1631" s="1">
        <v>1712.0</v>
      </c>
      <c r="B1631" s="3" t="s">
        <v>1600</v>
      </c>
      <c r="C1631" s="3" t="str">
        <f>IFERROR(__xludf.DUMMYFUNCTION("GOOGLETRANSLATE(B1631,""id"",""en"")"),"['Application', 'bad']")</f>
        <v>['Application', 'bad']</v>
      </c>
      <c r="D1631" s="3">
        <v>1.0</v>
      </c>
    </row>
    <row r="1632" ht="15.75" customHeight="1">
      <c r="A1632" s="1">
        <v>1713.0</v>
      </c>
      <c r="B1632" s="3" t="s">
        <v>1601</v>
      </c>
      <c r="C1632" s="3" t="str">
        <f>IFERROR(__xludf.DUMMYFUNCTION("GOOGLETRANSLATE(B1632,""id"",""en"")"),"['update', 'automatic', 'no', 'enter', 'login', 'wrong', 'password', 'reset', 'loading', 'update', 'newest', 'left', ' ']")</f>
        <v>['update', 'automatic', 'no', 'enter', 'login', 'wrong', 'password', 'reset', 'loading', 'update', 'newest', 'left', ' ']</v>
      </c>
      <c r="D1632" s="3">
        <v>1.0</v>
      </c>
    </row>
    <row r="1633" ht="15.75" customHeight="1">
      <c r="A1633" s="1">
        <v>1714.0</v>
      </c>
      <c r="B1633" s="3" t="s">
        <v>1602</v>
      </c>
      <c r="C1633" s="3" t="str">
        <f>IFERROR(__xludf.DUMMYFUNCTION("GOOGLETRANSLATE(B1633,""id"",""en"")"),"['application', 'idiot', 'provider', 'subscription', 'internet', 'slow', 'emotion', '']")</f>
        <v>['application', 'idiot', 'provider', 'subscription', 'internet', 'slow', 'emotion', '']</v>
      </c>
      <c r="D1633" s="3">
        <v>1.0</v>
      </c>
    </row>
    <row r="1634" ht="15.75" customHeight="1">
      <c r="A1634" s="1">
        <v>1715.0</v>
      </c>
      <c r="B1634" s="3" t="s">
        <v>1603</v>
      </c>
      <c r="C1634" s="3" t="str">
        <f>IFERROR(__xludf.DUMMYFUNCTION("GOOGLETRANSLATE(B1634,""id"",""en"")"),"['Please', 'APK', 'Lemot', 'Update', 'Disappointed']")</f>
        <v>['Please', 'APK', 'Lemot', 'Update', 'Disappointed']</v>
      </c>
      <c r="D1634" s="3">
        <v>1.0</v>
      </c>
    </row>
    <row r="1635" ht="15.75" customHeight="1">
      <c r="A1635" s="1">
        <v>1716.0</v>
      </c>
      <c r="B1635" s="3" t="s">
        <v>1604</v>
      </c>
      <c r="C1635" s="3" t="str">
        <f>IFERROR(__xludf.DUMMYFUNCTION("GOOGLETRANSLATE(B1635,""id"",""en"")"),"['pigii', 'apk', 'login', 'failed', 'anjeeeng']")</f>
        <v>['pigii', 'apk', 'login', 'failed', 'anjeeeng']</v>
      </c>
      <c r="D1635" s="3">
        <v>1.0</v>
      </c>
    </row>
    <row r="1636" ht="15.75" customHeight="1">
      <c r="A1636" s="1">
        <v>1717.0</v>
      </c>
      <c r="B1636" s="3" t="s">
        <v>1605</v>
      </c>
      <c r="C1636" s="3" t="str">
        <f>IFERROR(__xludf.DUMMYFUNCTION("GOOGLETRANSLATE(B1636,""id"",""en"")"),"['ugly', 'really', 'the application', 'indihome', 'login']")</f>
        <v>['ugly', 'really', 'the application', 'indihome', 'login']</v>
      </c>
      <c r="D1636" s="3">
        <v>1.0</v>
      </c>
    </row>
    <row r="1637" ht="15.75" customHeight="1">
      <c r="A1637" s="1">
        <v>1718.0</v>
      </c>
      <c r="B1637" s="3" t="s">
        <v>1606</v>
      </c>
      <c r="C1637" s="3" t="str">
        <f>IFERROR(__xludf.DUMMYFUNCTION("GOOGLETRANSLATE(B1637,""id"",""en"")"),"['Invocated', 'enter', 'FAILUR', 'Fix', 'Min', 'My APK', 'find', 'Solution', 'Delete', 'Dri', 'PlayStore', 'my APK']")</f>
        <v>['Invocated', 'enter', 'FAILUR', 'Fix', 'Min', 'My APK', 'find', 'Solution', 'Delete', 'Dri', 'PlayStore', 'my APK']</v>
      </c>
      <c r="D1637" s="3">
        <v>1.0</v>
      </c>
    </row>
    <row r="1638" ht="15.75" customHeight="1">
      <c r="A1638" s="1">
        <v>1719.0</v>
      </c>
      <c r="B1638" s="3" t="s">
        <v>1607</v>
      </c>
      <c r="C1638" s="3" t="str">
        <f>IFERROR(__xludf.DUMMYFUNCTION("GOOGLETRANSLATE(B1638,""id"",""en"")"),"['Application', 'LEG']")</f>
        <v>['Application', 'LEG']</v>
      </c>
      <c r="D1638" s="3">
        <v>1.0</v>
      </c>
    </row>
    <row r="1639" ht="15.75" customHeight="1">
      <c r="A1639" s="1">
        <v>1720.0</v>
      </c>
      <c r="B1639" s="3" t="s">
        <v>1608</v>
      </c>
      <c r="C1639" s="3" t="str">
        <f>IFERROR(__xludf.DUMMYFUNCTION("GOOGLETRANSLATE(B1639,""id"",""en"")"),"['application', 'slow', 'Sanga', 'according to', 'name']")</f>
        <v>['application', 'slow', 'Sanga', 'according to', 'name']</v>
      </c>
      <c r="D1639" s="3">
        <v>1.0</v>
      </c>
    </row>
    <row r="1640" ht="15.75" customHeight="1">
      <c r="A1640" s="1">
        <v>1721.0</v>
      </c>
      <c r="B1640" s="3" t="s">
        <v>1609</v>
      </c>
      <c r="C1640" s="3" t="str">
        <f>IFERROR(__xludf.DUMMYFUNCTION("GOOGLETRANSLATE(B1640,""id"",""en"")"),"['ugly', 'BURIK', 'garbage', 'Useful']")</f>
        <v>['ugly', 'BURIK', 'garbage', 'Useful']</v>
      </c>
      <c r="D1640" s="3">
        <v>1.0</v>
      </c>
    </row>
    <row r="1641" ht="15.75" customHeight="1">
      <c r="A1641" s="1">
        <v>1722.0</v>
      </c>
      <c r="B1641" s="3" t="s">
        <v>1610</v>
      </c>
      <c r="C1641" s="3" t="str">
        <f>IFERROR(__xludf.DUMMYFUNCTION("GOOGLETRANSLATE(B1641,""id"",""en"")"),"['Most', 'error']")</f>
        <v>['Most', 'error']</v>
      </c>
      <c r="D1641" s="3">
        <v>1.0</v>
      </c>
    </row>
    <row r="1642" ht="15.75" customHeight="1">
      <c r="A1642" s="1">
        <v>1723.0</v>
      </c>
      <c r="B1642" s="3" t="s">
        <v>1611</v>
      </c>
      <c r="C1642" s="3" t="str">
        <f>IFERROR(__xludf.DUMMYFUNCTION("GOOGLETRANSLATE(B1642,""id"",""en"")"),"['ngak', 'input', 'password', '']")</f>
        <v>['ngak', 'input', 'password', '']</v>
      </c>
      <c r="D1642" s="3">
        <v>1.0</v>
      </c>
    </row>
    <row r="1643" ht="15.75" customHeight="1">
      <c r="A1643" s="1">
        <v>1724.0</v>
      </c>
      <c r="B1643" s="3" t="s">
        <v>1612</v>
      </c>
      <c r="C1643" s="3" t="str">
        <f>IFERROR(__xludf.DUMMYFUNCTION("GOOGLETRANSLATE(B1643,""id"",""en"")"),"['Network', 'slow', 'report', 'rare', 'response', 'until', 'a month', 'telvon', 'and then', 'close', 'ticket', 'reporting', ' Repair ',' report ',' LEG ']")</f>
        <v>['Network', 'slow', 'report', 'rare', 'response', 'until', 'a month', 'telvon', 'and then', 'close', 'ticket', 'reporting', ' Repair ',' report ',' LEG ']</v>
      </c>
      <c r="D1643" s="3">
        <v>1.0</v>
      </c>
    </row>
    <row r="1644" ht="15.75" customHeight="1">
      <c r="A1644" s="1">
        <v>1725.0</v>
      </c>
      <c r="B1644" s="3" t="s">
        <v>1613</v>
      </c>
      <c r="C1644" s="3" t="str">
        <f>IFERROR(__xludf.DUMMYFUNCTION("GOOGLETRANSLATE(B1644,""id"",""en"")"),"['Please', 'Transcrease', 'Service', 'Internet']")</f>
        <v>['Please', 'Transcrease', 'Service', 'Internet']</v>
      </c>
      <c r="D1644" s="3">
        <v>4.0</v>
      </c>
    </row>
    <row r="1645" ht="15.75" customHeight="1">
      <c r="A1645" s="1">
        <v>1726.0</v>
      </c>
      <c r="B1645" s="3" t="s">
        <v>1614</v>
      </c>
      <c r="C1645" s="3" t="str">
        <f>IFERROR(__xludf.DUMMYFUNCTION("GOOGLETRANSLATE(B1645,""id"",""en"")"),"['update', 'version', 'the latest', 'difficult', 'login', 'indihome', 'kagak', 'disorder', 'what']")</f>
        <v>['update', 'version', 'the latest', 'difficult', 'login', 'indihome', 'kagak', 'disorder', 'what']</v>
      </c>
      <c r="D1645" s="3">
        <v>1.0</v>
      </c>
    </row>
    <row r="1646" ht="15.75" customHeight="1">
      <c r="A1646" s="1">
        <v>1727.0</v>
      </c>
      <c r="B1646" s="3" t="s">
        <v>1615</v>
      </c>
      <c r="C1646" s="3" t="str">
        <f>IFERROR(__xludf.DUMMYFUNCTION("GOOGLETRANSLATE(B1646,""id"",""en"")"),"['Login', 'improvement', 'please', 'The info']")</f>
        <v>['Login', 'improvement', 'please', 'The info']</v>
      </c>
      <c r="D1646" s="3">
        <v>1.0</v>
      </c>
    </row>
    <row r="1647" ht="15.75" customHeight="1">
      <c r="A1647" s="1">
        <v>1728.0</v>
      </c>
      <c r="B1647" s="3" t="s">
        <v>1616</v>
      </c>
      <c r="C1647" s="3" t="str">
        <f>IFERROR(__xludf.DUMMYFUNCTION("GOOGLETRANSLATE(B1647,""id"",""en"")"),"['Enter', 'Delete', 'Application', 'Enter', 'Use']")</f>
        <v>['Enter', 'Delete', 'Application', 'Enter', 'Use']</v>
      </c>
      <c r="D1647" s="3">
        <v>1.0</v>
      </c>
    </row>
    <row r="1648" ht="15.75" customHeight="1">
      <c r="A1648" s="1">
        <v>1729.0</v>
      </c>
      <c r="B1648" s="3" t="s">
        <v>1617</v>
      </c>
      <c r="C1648" s="3" t="str">
        <f>IFERROR(__xludf.DUMMYFUNCTION("GOOGLETRANSLATE(B1648,""id"",""en"")"),"['min', 'semalem', 'log', 'how', '']")</f>
        <v>['min', 'semalem', 'log', 'how', '']</v>
      </c>
      <c r="D1648" s="3">
        <v>2.0</v>
      </c>
    </row>
    <row r="1649" ht="15.75" customHeight="1">
      <c r="A1649" s="1">
        <v>1730.0</v>
      </c>
      <c r="B1649" s="3" t="s">
        <v>1618</v>
      </c>
      <c r="C1649" s="3" t="str">
        <f>IFERROR(__xludf.DUMMYFUNCTION("GOOGLETRANSLATE(B1649,""id"",""en"")"),"['service', 'friendly', 'signal', 'internet', 'stable', 'recommend', 'installation', 'network', 'internet', 'indihome', 'neighbor', 'sodara', ' ']")</f>
        <v>['service', 'friendly', 'signal', 'internet', 'stable', 'recommend', 'installation', 'network', 'internet', 'indihome', 'neighbor', 'sodara', ' ']</v>
      </c>
      <c r="D1649" s="3">
        <v>5.0</v>
      </c>
    </row>
    <row r="1650" ht="15.75" customHeight="1">
      <c r="A1650" s="1">
        <v>1731.0</v>
      </c>
      <c r="B1650" s="3" t="s">
        <v>1619</v>
      </c>
      <c r="C1650" s="3" t="str">
        <f>IFERROR(__xludf.DUMMYFUNCTION("GOOGLETRANSLATE(B1650,""id"",""en"")"),"['update', 'tested', 'open', 'application', 'muter', 'muter', 'until', 'notification', 'improvement', 'service', 'update', 'update', ' TGL ',' Yesterday ',' ']")</f>
        <v>['update', 'tested', 'open', 'application', 'muter', 'muter', 'until', 'notification', 'improvement', 'service', 'update', 'update', ' TGL ',' Yesterday ',' ']</v>
      </c>
      <c r="D1650" s="3">
        <v>3.0</v>
      </c>
    </row>
    <row r="1651" ht="15.75" customHeight="1">
      <c r="A1651" s="1">
        <v>1732.0</v>
      </c>
      <c r="B1651" s="3" t="s">
        <v>1620</v>
      </c>
      <c r="C1651" s="3" t="str">
        <f>IFERROR(__xludf.DUMMYFUNCTION("GOOGLETRANSLATE(B1651,""id"",""en"")"),"['iihhh', 'Sebel', 'application', 'login', 'already', 'call', 'told', 'check', 'periodic', 'yes', 'enter', ""]")</f>
        <v>['iihhh', 'Sebel', 'application', 'login', 'already', 'call', 'told', 'check', 'periodic', 'yes', 'enter', "]</v>
      </c>
      <c r="D1651" s="3">
        <v>1.0</v>
      </c>
    </row>
    <row r="1652" ht="15.75" customHeight="1">
      <c r="A1652" s="1">
        <v>1733.0</v>
      </c>
      <c r="B1652" s="3" t="s">
        <v>1621</v>
      </c>
      <c r="C1652" s="3" t="str">
        <f>IFERROR(__xludf.DUMMYFUNCTION("GOOGLETRANSLATE(B1652,""id"",""en"")"),"['signal', 'wifi', 'indihome', 'emang', 'dik']")</f>
        <v>['signal', 'wifi', 'indihome', 'emang', 'dik']</v>
      </c>
      <c r="D1652" s="3">
        <v>1.0</v>
      </c>
    </row>
    <row r="1653" ht="15.75" customHeight="1">
      <c r="A1653" s="1">
        <v>1734.0</v>
      </c>
      <c r="B1653" s="3" t="s">
        <v>1622</v>
      </c>
      <c r="C1653" s="3" t="str">
        <f>IFERROR(__xludf.DUMMYFUNCTION("GOOGLETRANSLATE(B1653,""id"",""en"")"),"['Abal', 'abal', 'login']")</f>
        <v>['Abal', 'abal', 'login']</v>
      </c>
      <c r="D1653" s="3">
        <v>1.0</v>
      </c>
    </row>
    <row r="1654" ht="15.75" customHeight="1">
      <c r="A1654" s="1">
        <v>1735.0</v>
      </c>
      <c r="B1654" s="3" t="s">
        <v>1623</v>
      </c>
      <c r="C1654" s="3" t="str">
        <f>IFERROR(__xludf.DUMMYFUNCTION("GOOGLETRANSLATE(B1654,""id"",""en"")"),"['difficult', 'login']")</f>
        <v>['difficult', 'login']</v>
      </c>
      <c r="D1654" s="3">
        <v>1.0</v>
      </c>
    </row>
    <row r="1655" ht="15.75" customHeight="1">
      <c r="A1655" s="1">
        <v>1736.0</v>
      </c>
      <c r="B1655" s="3" t="s">
        <v>1624</v>
      </c>
      <c r="C1655" s="3" t="str">
        <f>IFERROR(__xludf.DUMMYFUNCTION("GOOGLETRANSLATE(B1655,""id"",""en"")"),"['complicated', 'login', 'email', 'msh', 'confim,' sms', 'or', 'trs',' sms', 'confim', 'awaited', 'i've' Aneeh ',' ']")</f>
        <v>['complicated', 'login', 'email', 'msh', 'confim,' sms', 'or', 'trs',' sms', 'confim', 'awaited', 'i've' Aneeh ',' ']</v>
      </c>
      <c r="D1655" s="3">
        <v>1.0</v>
      </c>
    </row>
    <row r="1656" ht="15.75" customHeight="1">
      <c r="A1656" s="1">
        <v>1737.0</v>
      </c>
      <c r="B1656" s="3" t="s">
        <v>1625</v>
      </c>
      <c r="C1656" s="3" t="str">
        <f>IFERROR(__xludf.DUMMYFUNCTION("GOOGLETRANSLATE(B1656,""id"",""en"")"),"['Application', 'Useful', 'Simple']")</f>
        <v>['Application', 'Useful', 'Simple']</v>
      </c>
      <c r="D1656" s="3">
        <v>5.0</v>
      </c>
    </row>
    <row r="1657" ht="15.75" customHeight="1">
      <c r="A1657" s="1">
        <v>1738.0</v>
      </c>
      <c r="B1657" s="3" t="s">
        <v>1626</v>
      </c>
      <c r="C1657" s="3" t="str">
        <f>IFERROR(__xludf.DUMMYFUNCTION("GOOGLETRANSLATE(B1657,""id"",""en"")"),"['update', 'login', 'forgiveness', 'APK']")</f>
        <v>['update', 'login', 'forgiveness', 'APK']</v>
      </c>
      <c r="D1657" s="3">
        <v>1.0</v>
      </c>
    </row>
    <row r="1658" ht="15.75" customHeight="1">
      <c r="A1658" s="1">
        <v>1739.0</v>
      </c>
      <c r="B1658" s="3" t="s">
        <v>1627</v>
      </c>
      <c r="C1658" s="3" t="str">
        <f>IFERROR(__xludf.DUMMYFUNCTION("GOOGLETRANSLATE(B1658,""id"",""en"")"),"['Slow', 'Severe', 'Update', '']")</f>
        <v>['Slow', 'Severe', 'Update', '']</v>
      </c>
      <c r="D1658" s="3">
        <v>1.0</v>
      </c>
    </row>
    <row r="1659" ht="15.75" customHeight="1">
      <c r="A1659" s="1">
        <v>1740.0</v>
      </c>
      <c r="B1659" s="3" t="s">
        <v>1628</v>
      </c>
      <c r="C1659" s="3" t="str">
        <f>IFERROR(__xludf.DUMMYFUNCTION("GOOGLETRANSLATE(B1659,""id"",""en"")"),"['heart', 'waiter', 'fast', 'hope', 'success', 'Jaya', 'trs', 'indihome']")</f>
        <v>['heart', 'waiter', 'fast', 'hope', 'success', 'Jaya', 'trs', 'indihome']</v>
      </c>
      <c r="D1659" s="3">
        <v>5.0</v>
      </c>
    </row>
    <row r="1660" ht="15.75" customHeight="1">
      <c r="A1660" s="1">
        <v>1741.0</v>
      </c>
      <c r="B1660" s="3" t="s">
        <v>1629</v>
      </c>
      <c r="C1660" s="3" t="str">
        <f>IFERROR(__xludf.DUMMYFUNCTION("GOOGLETRANSLATE(B1660,""id"",""en"")"),"['Application', 'GOBLOK', 'Login', 'Ngelek', 'Forgiveness',' Greetings', 'Progammer', 'Orng', 'Network', 'Telkom', 'Glllok', 'all', ' skolah ',' login ',' pass', 'ngeleknya', 'forgiveness',' dongo ']")</f>
        <v>['Application', 'GOBLOK', 'Login', 'Ngelek', 'Forgiveness',' Greetings', 'Progammer', 'Orng', 'Network', 'Telkom', 'Glllok', 'all', ' skolah ',' login ',' pass', 'ngeleknya', 'forgiveness',' dongo ']</v>
      </c>
      <c r="D1660" s="3">
        <v>1.0</v>
      </c>
    </row>
    <row r="1661" ht="15.75" customHeight="1">
      <c r="A1661" s="1">
        <v>1742.0</v>
      </c>
      <c r="B1661" s="3" t="s">
        <v>1630</v>
      </c>
      <c r="C1661" s="3" t="str">
        <f>IFERROR(__xludf.DUMMYFUNCTION("GOOGLETRANSLATE(B1661,""id"",""en"")"),"['Application', 'BURIK']")</f>
        <v>['Application', 'BURIK']</v>
      </c>
      <c r="D1661" s="3">
        <v>1.0</v>
      </c>
    </row>
    <row r="1662" ht="15.75" customHeight="1">
      <c r="A1662" s="1">
        <v>1743.0</v>
      </c>
      <c r="B1662" s="3" t="s">
        <v>1631</v>
      </c>
      <c r="C1662" s="3" t="str">
        <f>IFERROR(__xludf.DUMMYFUNCTION("GOOGLETRANSLATE(B1662,""id"",""en"")"),"['Change', 'mah', 'application', 'difficult', 'enter', 'mening', 'network', 'next door']")</f>
        <v>['Change', 'mah', 'application', 'difficult', 'enter', 'mening', 'network', 'next door']</v>
      </c>
      <c r="D1662" s="3">
        <v>1.0</v>
      </c>
    </row>
    <row r="1663" ht="15.75" customHeight="1">
      <c r="A1663" s="1">
        <v>1744.0</v>
      </c>
      <c r="B1663" s="3" t="s">
        <v>1632</v>
      </c>
      <c r="C1663" s="3" t="str">
        <f>IFERROR(__xludf.DUMMYFUNCTION("GOOGLETRANSLATE(B1663,""id"",""en"")"),"['Application', 'update']")</f>
        <v>['Application', 'update']</v>
      </c>
      <c r="D1663" s="3">
        <v>1.0</v>
      </c>
    </row>
    <row r="1664" ht="15.75" customHeight="1">
      <c r="A1664" s="1">
        <v>1745.0</v>
      </c>
      <c r="B1664" s="3" t="s">
        <v>1633</v>
      </c>
      <c r="C1664" s="3" t="str">
        <f>IFERROR(__xludf.DUMMYFUNCTION("GOOGLETRANSLATE(B1664,""id"",""en"")"),"['Login', 'Severe', 'Nihh', '']")</f>
        <v>['Login', 'Severe', 'Nihh', '']</v>
      </c>
      <c r="D1664" s="3">
        <v>1.0</v>
      </c>
    </row>
    <row r="1665" ht="15.75" customHeight="1">
      <c r="A1665" s="1">
        <v>1746.0</v>
      </c>
      <c r="B1665" s="3" t="s">
        <v>1634</v>
      </c>
      <c r="C1665" s="3" t="str">
        <f>IFERROR(__xludf.DUMMYFUNCTION("GOOGLETRANSLATE(B1665,""id"",""en"")"),"['handling', 'as fast', 'payment', 'month', 'pairs', 'expensive', 'disappointed', 'Sya', ""]")</f>
        <v>['handling', 'as fast', 'payment', 'month', 'pairs', 'expensive', 'disappointed', 'Sya', "]</v>
      </c>
      <c r="D1665" s="3">
        <v>1.0</v>
      </c>
    </row>
    <row r="1666" ht="15.75" customHeight="1">
      <c r="A1666" s="1">
        <v>1747.0</v>
      </c>
      <c r="B1666" s="3" t="s">
        <v>1635</v>
      </c>
      <c r="C1666" s="3" t="str">
        <f>IFERROR(__xludf.DUMMYFUNCTION("GOOGLETRANSLATE(B1666,""id"",""en"")"),"['Application', 'Sangan', 'help', 'steady']")</f>
        <v>['Application', 'Sangan', 'help', 'steady']</v>
      </c>
      <c r="D1666" s="3">
        <v>5.0</v>
      </c>
    </row>
    <row r="1667" ht="15.75" customHeight="1">
      <c r="A1667" s="1">
        <v>1748.0</v>
      </c>
      <c r="B1667" s="3" t="s">
        <v>441</v>
      </c>
      <c r="C1667" s="3" t="str">
        <f>IFERROR(__xludf.DUMMYFUNCTION("GOOGLETRANSLATE(B1667,""id"",""en"")"),"['', '']")</f>
        <v>['', '']</v>
      </c>
      <c r="D1667" s="3">
        <v>1.0</v>
      </c>
    </row>
    <row r="1668" ht="15.75" customHeight="1">
      <c r="A1668" s="1">
        <v>1749.0</v>
      </c>
      <c r="B1668" s="3" t="s">
        <v>1636</v>
      </c>
      <c r="C1668" s="3" t="str">
        <f>IFERROR(__xludf.DUMMYFUNCTION("GOOGLETRANSLATE(B1668,""id"",""en"")"),"['Apps',' bad ',' Loading ',' cellular ',' Tsel ',' Try ',' Speedtest ',' Mbps', 'Loading', 'Doang', 'Buset', 'repay', ' Application ',' ugly ']")</f>
        <v>['Apps',' bad ',' Loading ',' cellular ',' Tsel ',' Try ',' Speedtest ',' Mbps', 'Loading', 'Doang', 'Buset', 'repay', ' Application ',' ugly ']</v>
      </c>
      <c r="D1668" s="3">
        <v>1.0</v>
      </c>
    </row>
    <row r="1669" ht="15.75" customHeight="1">
      <c r="A1669" s="1">
        <v>1750.0</v>
      </c>
      <c r="B1669" s="3" t="s">
        <v>1637</v>
      </c>
      <c r="C1669" s="3" t="str">
        <f>IFERROR(__xludf.DUMMYFUNCTION("GOOGLETRANSLATE(B1669,""id"",""en"")"),"['Access', 'applicture', 'update']")</f>
        <v>['Access', 'applicture', 'update']</v>
      </c>
      <c r="D1669" s="3">
        <v>1.0</v>
      </c>
    </row>
    <row r="1670" ht="15.75" customHeight="1">
      <c r="A1670" s="1">
        <v>1751.0</v>
      </c>
      <c r="B1670" s="3" t="s">
        <v>1638</v>
      </c>
      <c r="C1670" s="3" t="str">
        <f>IFERROR(__xludf.DUMMYFUNCTION("GOOGLETRANSLATE(B1670,""id"",""en"")"),"['Login', 'Application', 'Loading', 'Severe']")</f>
        <v>['Login', 'Application', 'Loading', 'Severe']</v>
      </c>
      <c r="D1670" s="3">
        <v>1.0</v>
      </c>
    </row>
    <row r="1671" ht="15.75" customHeight="1">
      <c r="A1671" s="1">
        <v>1752.0</v>
      </c>
      <c r="B1671" s="3" t="s">
        <v>1639</v>
      </c>
      <c r="C1671" s="3" t="str">
        <f>IFERROR(__xludf.DUMMYFUNCTION("GOOGLETRANSLATE(B1671,""id"",""en"")"),"['update', 'ugly', 'login', ""]")</f>
        <v>['update', 'ugly', 'login', "]</v>
      </c>
      <c r="D1671" s="3">
        <v>1.0</v>
      </c>
    </row>
    <row r="1672" ht="15.75" customHeight="1">
      <c r="A1672" s="1">
        <v>1753.0</v>
      </c>
      <c r="B1672" s="3" t="s">
        <v>1640</v>
      </c>
      <c r="C1672" s="3" t="str">
        <f>IFERROR(__xludf.DUMMYFUNCTION("GOOGLETRANSLATE(B1672,""id"",""en"")"),"['Myindihome', 'Success', 'Aminnn']")</f>
        <v>['Myindihome', 'Success', 'Aminnn']</v>
      </c>
      <c r="D1672" s="3">
        <v>5.0</v>
      </c>
    </row>
    <row r="1673" ht="15.75" customHeight="1">
      <c r="A1673" s="1">
        <v>1754.0</v>
      </c>
      <c r="B1673" s="3" t="s">
        <v>1641</v>
      </c>
      <c r="C1673" s="3" t="str">
        <f>IFERROR(__xludf.DUMMYFUNCTION("GOOGLETRANSLATE(B1673,""id"",""en"")"),"['heavy', 'really', 'entered', 'difficult', 'right', 'pay', 'kaga', '']")</f>
        <v>['heavy', 'really', 'entered', 'difficult', 'right', 'pay', 'kaga', '']</v>
      </c>
      <c r="D1673" s="3">
        <v>1.0</v>
      </c>
    </row>
    <row r="1674" ht="15.75" customHeight="1">
      <c r="A1674" s="1">
        <v>1755.0</v>
      </c>
      <c r="B1674" s="3" t="s">
        <v>1642</v>
      </c>
      <c r="C1674" s="3" t="str">
        <f>IFERROR(__xludf.DUMMYFUNCTION("GOOGLETRANSLATE(B1674,""id"",""en"")"),"['', 'intention', 'gave', 'signal']")</f>
        <v>['', 'intention', 'gave', 'signal']</v>
      </c>
      <c r="D1674" s="3">
        <v>1.0</v>
      </c>
    </row>
    <row r="1675" ht="15.75" customHeight="1">
      <c r="A1675" s="1">
        <v>1756.0</v>
      </c>
      <c r="B1675" s="3" t="s">
        <v>1643</v>
      </c>
      <c r="C1675" s="3" t="str">
        <f>IFERROR(__xludf.DUMMYFUNCTION("GOOGLETRANSLATE(B1675,""id"",""en"")"),"['Stiap', 'children', 'ganguan', 'Mulu', 'intentionally', 'Wear', 'fine', 'late', ""]")</f>
        <v>['Stiap', 'children', 'ganguan', 'Mulu', 'intentionally', 'Wear', 'fine', 'late', "]</v>
      </c>
      <c r="D1675" s="3">
        <v>1.0</v>
      </c>
    </row>
    <row r="1676" ht="15.75" customHeight="1">
      <c r="A1676" s="1">
        <v>1757.0</v>
      </c>
      <c r="B1676" s="3" t="s">
        <v>1644</v>
      </c>
      <c r="C1676" s="3" t="str">
        <f>IFERROR(__xludf.DUMMYFUNCTION("GOOGLETRANSLATE(B1676,""id"",""en"")"),"['late', 'internet', 'already', 'dead', 'fine', 'road', 'pay', 'gannguan', 'yesterday']")</f>
        <v>['late', 'internet', 'already', 'dead', 'fine', 'road', 'pay', 'gannguan', 'yesterday']</v>
      </c>
      <c r="D1676" s="3">
        <v>2.0</v>
      </c>
    </row>
    <row r="1677" ht="15.75" customHeight="1">
      <c r="A1677" s="1">
        <v>1758.0</v>
      </c>
      <c r="B1677" s="3" t="s">
        <v>1645</v>
      </c>
      <c r="C1677" s="3" t="str">
        <f>IFERROR(__xludf.DUMMYFUNCTION("GOOGLETRANSLATE(B1677,""id"",""en"")"),"['difficult', 'log', 'pay', 'difficult', 'disorder', 'turn', 'enter', 'fine', 'pay', ""]")</f>
        <v>['difficult', 'log', 'pay', 'difficult', 'disorder', 'turn', 'enter', 'fine', 'pay', "]</v>
      </c>
      <c r="D1677" s="3">
        <v>1.0</v>
      </c>
    </row>
    <row r="1678" ht="15.75" customHeight="1">
      <c r="A1678" s="1">
        <v>1759.0</v>
      </c>
      <c r="B1678" s="3" t="s">
        <v>1646</v>
      </c>
      <c r="C1678" s="3" t="str">
        <f>IFERROR(__xludf.DUMMYFUNCTION("GOOGLETRANSLATE(B1678,""id"",""en"")"),"['APK', 'makes it easy', 'troubles', 'enter', 'difficult', 'really', ""]")</f>
        <v>['APK', 'makes it easy', 'troubles', 'enter', 'difficult', 'really', "]</v>
      </c>
      <c r="D1678" s="3">
        <v>1.0</v>
      </c>
    </row>
    <row r="1679" ht="15.75" customHeight="1">
      <c r="A1679" s="1">
        <v>1760.0</v>
      </c>
      <c r="B1679" s="3" t="s">
        <v>1647</v>
      </c>
      <c r="C1679" s="3" t="str">
        <f>IFERROR(__xludf.DUMMYFUNCTION("GOOGLETRANSLATE(B1679,""id"",""en"")"),"['please', 'check', 'number', 'really', 'udh', 'update', 'msh', 'gaada', 'change', 'connection', 'internet', 'down', ' ']")</f>
        <v>['please', 'check', 'number', 'really', 'udh', 'update', 'msh', 'gaada', 'change', 'connection', 'internet', 'down', ' ']</v>
      </c>
      <c r="D1679" s="3">
        <v>1.0</v>
      </c>
    </row>
    <row r="1680" ht="15.75" customHeight="1">
      <c r="A1680" s="1">
        <v>1761.0</v>
      </c>
      <c r="B1680" s="3" t="s">
        <v>1648</v>
      </c>
      <c r="C1680" s="3" t="str">
        <f>IFERROR(__xludf.DUMMYFUNCTION("GOOGLETRANSLATE(B1680,""id"",""en"")"),"['Log', 'BUTFERING', 'HARD', 'Entering', 'Please', 'Repaired', 'My APK', '']")</f>
        <v>['Log', 'BUTFERING', 'HARD', 'Entering', 'Please', 'Repaired', 'My APK', '']</v>
      </c>
      <c r="D1680" s="3">
        <v>2.0</v>
      </c>
    </row>
    <row r="1681" ht="15.75" customHeight="1">
      <c r="A1681" s="1">
        <v>1762.0</v>
      </c>
      <c r="B1681" s="3" t="s">
        <v>1649</v>
      </c>
      <c r="C1681" s="3" t="str">
        <f>IFERROR(__xludf.DUMMYFUNCTION("GOOGLETRANSLATE(B1681,""id"",""en"")"),"['Enter', 'its application']")</f>
        <v>['Enter', 'its application']</v>
      </c>
      <c r="D1681" s="3">
        <v>1.0</v>
      </c>
    </row>
    <row r="1682" ht="15.75" customHeight="1">
      <c r="A1682" s="1">
        <v>1764.0</v>
      </c>
      <c r="B1682" s="3" t="s">
        <v>1650</v>
      </c>
      <c r="C1682" s="3" t="str">
        <f>IFERROR(__xludf.DUMMYFUNCTION("GOOGLETRANSLATE(B1682,""id"",""en"")"),"['Gabisa', 'login', 'gabisa', 'children', 'bills', 'internet', 'dead', 'fooling', 'otw', 'replace', 'provider', ""]")</f>
        <v>['Gabisa', 'login', 'gabisa', 'children', 'bills', 'internet', 'dead', 'fooling', 'otw', 'replace', 'provider', "]</v>
      </c>
      <c r="D1682" s="3">
        <v>1.0</v>
      </c>
    </row>
    <row r="1683" ht="15.75" customHeight="1">
      <c r="A1683" s="1">
        <v>1765.0</v>
      </c>
      <c r="B1683" s="3" t="s">
        <v>1651</v>
      </c>
      <c r="C1683" s="3" t="str">
        <f>IFERROR(__xludf.DUMMYFUNCTION("GOOGLETRANSLATE(B1683,""id"",""en"")"),"['Updated', 'entry']")</f>
        <v>['Updated', 'entry']</v>
      </c>
      <c r="D1683" s="3">
        <v>1.0</v>
      </c>
    </row>
    <row r="1684" ht="15.75" customHeight="1">
      <c r="A1684" s="1">
        <v>1766.0</v>
      </c>
      <c r="B1684" s="3" t="s">
        <v>386</v>
      </c>
      <c r="C1684" s="3" t="str">
        <f>IFERROR(__xludf.DUMMYFUNCTION("GOOGLETRANSLATE(B1684,""id"",""en"")"),"['Open', 'the application']")</f>
        <v>['Open', 'the application']</v>
      </c>
      <c r="D1684" s="3">
        <v>1.0</v>
      </c>
    </row>
    <row r="1685" ht="15.75" customHeight="1">
      <c r="A1685" s="1">
        <v>1767.0</v>
      </c>
      <c r="B1685" s="3" t="s">
        <v>1652</v>
      </c>
      <c r="C1685" s="3" t="str">
        <f>IFERROR(__xludf.DUMMYFUNCTION("GOOGLETRANSLATE(B1685,""id"",""en"")"),"['update', 'smkin', 'complicated', 'payment', 'difficult', 'as a result', 'isolated', 'entry', 'list', 'blacklist', 'kemren', 'pay', ' App ',' funds', 'already', 'finished', 'dhibay', 'appears',' message ',' improvement ',' service ',' indiehome ']")</f>
        <v>['update', 'smkin', 'complicated', 'payment', 'difficult', 'as a result', 'isolated', 'entry', 'list', 'blacklist', 'kemren', 'pay', ' App ',' funds', 'already', 'finished', 'dhibay', 'appears',' message ',' improvement ',' service ',' indiehome ']</v>
      </c>
      <c r="D1685" s="3">
        <v>1.0</v>
      </c>
    </row>
    <row r="1686" ht="15.75" customHeight="1">
      <c r="A1686" s="1">
        <v>1768.0</v>
      </c>
      <c r="B1686" s="3" t="s">
        <v>1653</v>
      </c>
      <c r="C1686" s="3" t="str">
        <f>IFERROR(__xludf.DUMMYFUNCTION("GOOGLETRANSLATE(B1686,""id"",""en"")"),"['Please', 'repaired', 'Service', 'Application', 'Login', 'gabisa', 'payment', 'inside', 'apps']")</f>
        <v>['Please', 'repaired', 'Service', 'Application', 'Login', 'gabisa', 'payment', 'inside', 'apps']</v>
      </c>
      <c r="D1686" s="3">
        <v>1.0</v>
      </c>
    </row>
    <row r="1687" ht="15.75" customHeight="1">
      <c r="A1687" s="1">
        <v>1769.0</v>
      </c>
      <c r="B1687" s="3" t="s">
        <v>1654</v>
      </c>
      <c r="C1687" s="3" t="str">
        <f>IFERROR(__xludf.DUMMYFUNCTION("GOOGLETRANSLATE(B1687,""id"",""en"")"),"['Cook', 'login', 'game', 'chat', 'gabisa', 'signal', 'ugly', 'bet', 'lho']")</f>
        <v>['Cook', 'login', 'game', 'chat', 'gabisa', 'signal', 'ugly', 'bet', 'lho']</v>
      </c>
      <c r="D1687" s="3">
        <v>1.0</v>
      </c>
    </row>
    <row r="1688" ht="15.75" customHeight="1">
      <c r="A1688" s="1">
        <v>1770.0</v>
      </c>
      <c r="B1688" s="3" t="s">
        <v>1655</v>
      </c>
      <c r="C1688" s="3" t="str">
        <f>IFERROR(__xludf.DUMMYFUNCTION("GOOGLETRANSLATE(B1688,""id"",""en"")"),"['App', 'Open', 'Pay', 'Shopy', 'then', 'how', 'Indihome', 'Pembah', 'Firs',' Media ',' Yuk ',' Move ',' Fira ',' Media ',' Rayes', 'Install', 'Indihome']")</f>
        <v>['App', 'Open', 'Pay', 'Shopy', 'then', 'how', 'Indihome', 'Pembah', 'Firs',' Media ',' Yuk ',' Move ',' Fira ',' Media ',' Rayes', 'Install', 'Indihome']</v>
      </c>
      <c r="D1688" s="3">
        <v>1.0</v>
      </c>
    </row>
    <row r="1689" ht="15.75" customHeight="1">
      <c r="A1689" s="1">
        <v>1771.0</v>
      </c>
      <c r="B1689" s="3" t="s">
        <v>1656</v>
      </c>
      <c r="C1689" s="3" t="str">
        <f>IFERROR(__xludf.DUMMYFUNCTION("GOOGLETRANSLATE(B1689,""id"",""en"")"),"['already', 'update', 'application', 'disappointing', 'cord', 'oath', 'bagan', 'late', 'version', 'beta', 'tetep', 'kesen', ' disappointing ',' bug ']")</f>
        <v>['already', 'update', 'application', 'disappointing', 'cord', 'oath', 'bagan', 'late', 'version', 'beta', 'tetep', 'kesen', ' disappointing ',' bug ']</v>
      </c>
      <c r="D1689" s="3">
        <v>1.0</v>
      </c>
    </row>
    <row r="1690" ht="15.75" customHeight="1">
      <c r="A1690" s="1">
        <v>1772.0</v>
      </c>
      <c r="B1690" s="3" t="s">
        <v>1657</v>
      </c>
      <c r="C1690" s="3" t="str">
        <f>IFERROR(__xludf.DUMMYFUNCTION("GOOGLETRANSLATE(B1690,""id"",""en"")"),"['Settan', 'cave', 'pay', 'late', 'disorder', 'mulu', 'dead', 'severe', 'until', 'cave', 'ttep', 'pay', ' according to ',' installments', 'high school', 'wisdom', 'minion', 'indihome', 'indihome', 'detrimental', 'anjink', ""]")</f>
        <v>['Settan', 'cave', 'pay', 'late', 'disorder', 'mulu', 'dead', 'severe', 'until', 'cave', 'ttep', 'pay', ' according to ',' installments', 'high school', 'wisdom', 'minion', 'indihome', 'indihome', 'detrimental', 'anjink', "]</v>
      </c>
      <c r="D1690" s="3">
        <v>1.0</v>
      </c>
    </row>
    <row r="1691" ht="15.75" customHeight="1">
      <c r="A1691" s="1">
        <v>1773.0</v>
      </c>
      <c r="B1691" s="3" t="s">
        <v>1658</v>
      </c>
      <c r="C1691" s="3" t="str">
        <f>IFERROR(__xludf.DUMMYFUNCTION("GOOGLETRANSLATE(B1691,""id"",""en"")"),"['Bug']")</f>
        <v>['Bug']</v>
      </c>
      <c r="D1691" s="3">
        <v>1.0</v>
      </c>
    </row>
    <row r="1692" ht="15.75" customHeight="1">
      <c r="A1692" s="1">
        <v>1774.0</v>
      </c>
      <c r="B1692" s="3" t="s">
        <v>1659</v>
      </c>
      <c r="C1692" s="3" t="str">
        <f>IFERROR(__xludf.DUMMYFUNCTION("GOOGLETRANSLATE(B1692,""id"",""en"")"),"['Severe', 'application', 'login', 'that's', 'update']")</f>
        <v>['Severe', 'application', 'login', 'that's', 'update']</v>
      </c>
      <c r="D1692" s="3">
        <v>1.0</v>
      </c>
    </row>
    <row r="1693" ht="15.75" customHeight="1">
      <c r="A1693" s="1">
        <v>1775.0</v>
      </c>
      <c r="B1693" s="3" t="s">
        <v>1660</v>
      </c>
      <c r="C1693" s="3" t="str">
        <f>IFERROR(__xludf.DUMMYFUNCTION("GOOGLETRANSLATE(B1693,""id"",""en"")"),"['Application', 'Model', 'Rich', 'Application', 'Products', 'ECEK', 'ECEK']")</f>
        <v>['Application', 'Model', 'Rich', 'Application', 'Products', 'ECEK', 'ECEK']</v>
      </c>
      <c r="D1693" s="3">
        <v>1.0</v>
      </c>
    </row>
    <row r="1694" ht="15.75" customHeight="1">
      <c r="A1694" s="1">
        <v>1776.0</v>
      </c>
      <c r="B1694" s="3" t="s">
        <v>1661</v>
      </c>
      <c r="C1694" s="3" t="str">
        <f>IFERROR(__xludf.DUMMYFUNCTION("GOOGLETRANSLATE(B1694,""id"",""en"")"),"['', 'application', 'email', 'useful', 'severe', 'gini', 'minimal', 'service', 'seems',' hrs', 'change', 'provider', 'lbh ',' ']")</f>
        <v>['', 'application', 'email', 'useful', 'severe', 'gini', 'minimal', 'service', 'seems',' hrs', 'change', 'provider', 'lbh ',' ']</v>
      </c>
      <c r="D1694" s="3">
        <v>1.0</v>
      </c>
    </row>
    <row r="1695" ht="15.75" customHeight="1">
      <c r="A1695" s="1">
        <v>1777.0</v>
      </c>
      <c r="B1695" s="3" t="s">
        <v>1662</v>
      </c>
      <c r="C1695" s="3" t="str">
        <f>IFERROR(__xludf.DUMMYFUNCTION("GOOGLETRANSLATE(B1695,""id"",""en"")"),"['payment', 'bill', 'decide', 'wifi']")</f>
        <v>['payment', 'bill', 'decide', 'wifi']</v>
      </c>
      <c r="D1695" s="3">
        <v>1.0</v>
      </c>
    </row>
    <row r="1696" ht="15.75" customHeight="1">
      <c r="A1696" s="1">
        <v>1778.0</v>
      </c>
      <c r="B1696" s="3" t="s">
        <v>1663</v>
      </c>
      <c r="C1696" s="3" t="str">
        <f>IFERROR(__xludf.DUMMYFUNCTION("GOOGLETRANSLATE(B1696,""id"",""en"")"),"['APK', 'Leet', '']")</f>
        <v>['APK', 'Leet', '']</v>
      </c>
      <c r="D1696" s="3">
        <v>1.0</v>
      </c>
    </row>
    <row r="1697" ht="15.75" customHeight="1">
      <c r="A1697" s="1">
        <v>1779.0</v>
      </c>
      <c r="B1697" s="3" t="s">
        <v>1664</v>
      </c>
      <c r="C1697" s="3" t="str">
        <f>IFERROR(__xludf.DUMMYFUNCTION("GOOGLETRANSLATE(B1697,""id"",""en"")"),"['battered', 'verification']")</f>
        <v>['battered', 'verification']</v>
      </c>
      <c r="D1697" s="3">
        <v>1.0</v>
      </c>
    </row>
    <row r="1698" ht="15.75" customHeight="1">
      <c r="A1698" s="1">
        <v>1780.0</v>
      </c>
      <c r="B1698" s="3" t="s">
        <v>1665</v>
      </c>
      <c r="C1698" s="3" t="str">
        <f>IFERROR(__xludf.DUMMYFUNCTION("GOOGLETRANSLATE(B1698,""id"",""en"")"),"['Pay', 'Persulit', 'Karna', 'Difficult', 'Enter', 'Application', 'Indihome', 'Check', 'Jdi', 'Fall', 'Tempo', 'Disappointed', ' Playananan ',' ']")</f>
        <v>['Pay', 'Persulit', 'Karna', 'Difficult', 'Enter', 'Application', 'Indihome', 'Check', 'Jdi', 'Fall', 'Tempo', 'Disappointed', ' Playananan ',' ']</v>
      </c>
      <c r="D1698" s="3">
        <v>1.0</v>
      </c>
    </row>
    <row r="1699" ht="15.75" customHeight="1">
      <c r="A1699" s="1">
        <v>1782.0</v>
      </c>
      <c r="B1699" s="3" t="s">
        <v>1666</v>
      </c>
      <c r="C1699" s="3" t="str">
        <f>IFERROR(__xludf.DUMMYFUNCTION("GOOGLETRANSLATE(B1699,""id"",""en"")"),"['', 'Log', 'APK', 'Ouch', 'Report', 'Network', 'Lemot', ""]")</f>
        <v>['', 'Log', 'APK', 'Ouch', 'Report', 'Network', 'Lemot', "]</v>
      </c>
      <c r="D1699" s="3">
        <v>1.0</v>
      </c>
    </row>
    <row r="1700" ht="15.75" customHeight="1">
      <c r="A1700" s="1">
        <v>1783.0</v>
      </c>
      <c r="B1700" s="3" t="s">
        <v>1667</v>
      </c>
      <c r="C1700" s="3" t="str">
        <f>IFERROR(__xludf.DUMMYFUNCTION("GOOGLETRANSLATE(B1700,""id"",""en"")"),"['failed', 'login', 'ngerefers', 'nampiliin', 'koten', 'entry', 'already', 'complement', 'data', 'submission']")</f>
        <v>['failed', 'login', 'ngerefers', 'nampiliin', 'koten', 'entry', 'already', 'complement', 'data', 'submission']</v>
      </c>
      <c r="D1700" s="3">
        <v>1.0</v>
      </c>
    </row>
    <row r="1701" ht="15.75" customHeight="1">
      <c r="A1701" s="1">
        <v>1784.0</v>
      </c>
      <c r="B1701" s="3" t="s">
        <v>1668</v>
      </c>
      <c r="C1701" s="3" t="str">
        <f>IFERROR(__xludf.DUMMYFUNCTION("GOOGLETRANSLATE(B1701,""id"",""en"")"),"['Kek', 'kntle', 'the application', 'difficult', 'times', 'gunaka']")</f>
        <v>['Kek', 'kntle', 'the application', 'difficult', 'times', 'gunaka']</v>
      </c>
      <c r="D1701" s="3">
        <v>1.0</v>
      </c>
    </row>
    <row r="1702" ht="15.75" customHeight="1">
      <c r="A1702" s="1">
        <v>1785.0</v>
      </c>
      <c r="B1702" s="3" t="s">
        <v>1669</v>
      </c>
      <c r="C1702" s="3" t="str">
        <f>IFERROR(__xludf.DUMMYFUNCTION("GOOGLETRANSLATE(B1702,""id"",""en"")"),"['Najis',' really ',' gustiiii ',' the application ',' slow ',' login ',' send ',' verification ',' slow ',' hih ',' bad ',' class', ' BUMN ',' Apartments', 'Rich', 'Litu', '']")</f>
        <v>['Najis',' really ',' gustiiii ',' the application ',' slow ',' login ',' send ',' verification ',' slow ',' hih ',' bad ',' class', ' BUMN ',' Apartments', 'Rich', 'Litu', '']</v>
      </c>
      <c r="D1702" s="3">
        <v>1.0</v>
      </c>
    </row>
    <row r="1703" ht="15.75" customHeight="1">
      <c r="A1703" s="1">
        <v>1786.0</v>
      </c>
      <c r="B1703" s="3" t="s">
        <v>1670</v>
      </c>
      <c r="C1703" s="3" t="str">
        <f>IFERROR(__xludf.DUMMYFUNCTION("GOOGLETRANSLATE(B1703,""id"",""en"")"),"['Update', 'Login', 'Update', 'Login', 'Update', 'Logut', 'Login', 'Service', 'Increase', 'MAH', 'BKN', 'Increase', ' Meals', '']")</f>
        <v>['Update', 'Login', 'Update', 'Login', 'Update', 'Logut', 'Login', 'Service', 'Increase', 'MAH', 'BKN', 'Increase', ' Meals', '']</v>
      </c>
      <c r="D1703" s="3">
        <v>1.0</v>
      </c>
    </row>
    <row r="1704" ht="15.75" customHeight="1">
      <c r="A1704" s="1">
        <v>1787.0</v>
      </c>
      <c r="B1704" s="3" t="s">
        <v>1671</v>
      </c>
      <c r="C1704" s="3" t="str">
        <f>IFERROR(__xludf.DUMMYFUNCTION("GOOGLETRANSLATE(B1704,""id"",""en"")"),"['', 'The', 'Best']")</f>
        <v>['', 'The', 'Best']</v>
      </c>
      <c r="D1704" s="3">
        <v>5.0</v>
      </c>
    </row>
    <row r="1705" ht="15.75" customHeight="1">
      <c r="A1705" s="1">
        <v>1788.0</v>
      </c>
      <c r="B1705" s="3" t="s">
        <v>1672</v>
      </c>
      <c r="C1705" s="3" t="str">
        <f>IFERROR(__xludf.DUMMYFUNCTION("GOOGLETRANSLATE(B1705,""id"",""en"")"),"['application', 'login', 'difficult', 'goodness']")</f>
        <v>['application', 'login', 'difficult', 'goodness']</v>
      </c>
      <c r="D1705" s="3">
        <v>1.0</v>
      </c>
    </row>
    <row r="1706" ht="15.75" customHeight="1">
      <c r="A1706" s="1">
        <v>1789.0</v>
      </c>
      <c r="B1706" s="3" t="s">
        <v>1673</v>
      </c>
      <c r="C1706" s="3" t="str">
        <f>IFERROR(__xludf.DUMMYFUNCTION("GOOGLETRANSLATE(B1706,""id"",""en"")"),"['application', 'feeling', 'use', 'indihome', 'application', 'bug', 'system', 'problematic', 'kayak', 'login', 'web', 'purpose', ' Make it easier to ',' users', 'make it difficult', 'users',' ']")</f>
        <v>['application', 'feeling', 'use', 'indihome', 'application', 'bug', 'system', 'problematic', 'kayak', 'login', 'web', 'purpose', ' Make it easier to ',' users', 'make it difficult', 'users',' ']</v>
      </c>
      <c r="D1706" s="3">
        <v>1.0</v>
      </c>
    </row>
    <row r="1707" ht="15.75" customHeight="1">
      <c r="A1707" s="1">
        <v>1790.0</v>
      </c>
      <c r="B1707" s="3" t="s">
        <v>1674</v>
      </c>
      <c r="C1707" s="3" t="str">
        <f>IFERROR(__xludf.DUMMYFUNCTION("GOOGLETRANSLATE(B1707,""id"",""en"")"),"['Update', 'APK', 'Heavy', 'Opened', 'Loading', 'Very', 'Login', 'Update', 'NOT', 'Good', 'APK', 'ugly', ' heavy ',' open ',' cellphone ',' RAM ',' Gede ',' rich ',' open ',' cellphone ',' RAM ',' GB ',' ']")</f>
        <v>['Update', 'APK', 'Heavy', 'Opened', 'Loading', 'Very', 'Login', 'Update', 'NOT', 'Good', 'APK', 'ugly', ' heavy ',' open ',' cellphone ',' RAM ',' Gede ',' rich ',' open ',' cellphone ',' RAM ',' GB ',' ']</v>
      </c>
      <c r="D1707" s="3">
        <v>1.0</v>
      </c>
    </row>
    <row r="1708" ht="15.75" customHeight="1">
      <c r="A1708" s="1">
        <v>1791.0</v>
      </c>
      <c r="B1708" s="3" t="s">
        <v>1675</v>
      </c>
      <c r="C1708" s="3" t="str">
        <f>IFERROR(__xludf.DUMMYFUNCTION("GOOGLETRANSLATE(B1708,""id"",""en"")"),"['Login', 'Maintenance', '']")</f>
        <v>['Login', 'Maintenance', '']</v>
      </c>
      <c r="D1708" s="3">
        <v>2.0</v>
      </c>
    </row>
    <row r="1709" ht="15.75" customHeight="1">
      <c r="A1709" s="1">
        <v>1792.0</v>
      </c>
      <c r="B1709" s="3" t="s">
        <v>1676</v>
      </c>
      <c r="C1709" s="3" t="str">
        <f>IFERROR(__xludf.DUMMYFUNCTION("GOOGLETRANSLATE(B1709,""id"",""en"")"),"['application', 'login', 'enter', 'email', 'number', 'telephone', 'enter', 'fail', 'login']")</f>
        <v>['application', 'login', 'enter', 'email', 'number', 'telephone', 'enter', 'fail', 'login']</v>
      </c>
      <c r="D1709" s="3">
        <v>1.0</v>
      </c>
    </row>
    <row r="1710" ht="15.75" customHeight="1">
      <c r="A1710" s="1">
        <v>1793.0</v>
      </c>
      <c r="B1710" s="3" t="s">
        <v>1677</v>
      </c>
      <c r="C1710" s="3" t="str">
        <f>IFERROR(__xludf.DUMMYFUNCTION("GOOGLETRANSLATE(B1710,""id"",""en"")"),"['Sorry', 'annoying', 'boss', 'pay', 'Indihome', 'disorder', 'fine', ""]")</f>
        <v>['Sorry', 'annoying', 'boss', 'pay', 'Indihome', 'disorder', 'fine', "]</v>
      </c>
      <c r="D1710" s="3">
        <v>3.0</v>
      </c>
    </row>
    <row r="1711" ht="15.75" customHeight="1">
      <c r="A1711" s="1">
        <v>1794.0</v>
      </c>
      <c r="B1711" s="3" t="s">
        <v>1678</v>
      </c>
      <c r="C1711" s="3" t="str">
        <f>IFERROR(__xludf.DUMMYFUNCTION("GOOGLETRANSLATE(B1711,""id"",""en"")"),"['Hopefully', 'smooth', 'improved', 'application', 'service', 'customer', 'servicenya', 'keep', 'the', 'good', 'work', ""]")</f>
        <v>['Hopefully', 'smooth', 'improved', 'application', 'service', 'customer', 'servicenya', 'keep', 'the', 'good', 'work', "]</v>
      </c>
      <c r="D1711" s="3">
        <v>5.0</v>
      </c>
    </row>
    <row r="1712" ht="15.75" customHeight="1">
      <c r="A1712" s="1">
        <v>1795.0</v>
      </c>
      <c r="B1712" s="3" t="s">
        <v>1679</v>
      </c>
      <c r="C1712" s="3" t="str">
        <f>IFERROR(__xludf.DUMMYFUNCTION("GOOGLETRANSLATE(B1712,""id"",""en"")"),"['Indihome', 'emang', 'regret', 'smooth', 'network', 'rare', 'really', 'down']")</f>
        <v>['Indihome', 'emang', 'regret', 'smooth', 'network', 'rare', 'really', 'down']</v>
      </c>
      <c r="D1712" s="3">
        <v>5.0</v>
      </c>
    </row>
    <row r="1713" ht="15.75" customHeight="1">
      <c r="A1713" s="1">
        <v>1796.0</v>
      </c>
      <c r="B1713" s="3" t="s">
        <v>1680</v>
      </c>
      <c r="C1713" s="3" t="str">
        <f>IFERROR(__xludf.DUMMYFUNCTION("GOOGLETRANSLATE(B1713,""id"",""en"")"),"['already', 'Pay', 'Indihome', 'use', 'Gopay', 'Date', 'Date', 'Disconnect', 'Internet', 'Telf', 'smpai', ' Process', 'skrng']")</f>
        <v>['already', 'Pay', 'Indihome', 'use', 'Gopay', 'Date', 'Date', 'Disconnect', 'Internet', 'Telf', 'smpai', ' Process', 'skrng']</v>
      </c>
      <c r="D1713" s="3">
        <v>1.0</v>
      </c>
    </row>
    <row r="1714" ht="15.75" customHeight="1">
      <c r="A1714" s="1">
        <v>1797.0</v>
      </c>
      <c r="B1714" s="3" t="s">
        <v>1681</v>
      </c>
      <c r="C1714" s="3" t="str">
        <f>IFERROR(__xludf.DUMMYFUNCTION("GOOGLETRANSLATE(B1714,""id"",""en"")"),"['The application', 'good', 'useful', 'really']")</f>
        <v>['The application', 'good', 'useful', 'really']</v>
      </c>
      <c r="D1714" s="3">
        <v>5.0</v>
      </c>
    </row>
    <row r="1715" ht="15.75" customHeight="1">
      <c r="A1715" s="1">
        <v>1798.0</v>
      </c>
      <c r="B1715" s="3" t="s">
        <v>1682</v>
      </c>
      <c r="C1715" s="3" t="str">
        <f>IFERROR(__xludf.DUMMYFUNCTION("GOOGLETRANSLATE(B1715,""id"",""en"")"),"['application', 'sgt', 'useful', 'pay', 'bill', 'buy', 'add', '']")</f>
        <v>['application', 'sgt', 'useful', 'pay', 'bill', 'buy', 'add', '']</v>
      </c>
      <c r="D1715" s="3">
        <v>5.0</v>
      </c>
    </row>
    <row r="1716" ht="15.75" customHeight="1">
      <c r="A1716" s="1">
        <v>1799.0</v>
      </c>
      <c r="B1716" s="3" t="s">
        <v>1683</v>
      </c>
      <c r="C1716" s="3" t="str">
        <f>IFERROR(__xludf.DUMMYFUNCTION("GOOGLETRANSLATE(B1716,""id"",""en"")"),"['Easy', 'Good', 'Thanks']")</f>
        <v>['Easy', 'Good', 'Thanks']</v>
      </c>
      <c r="D1716" s="3">
        <v>5.0</v>
      </c>
    </row>
    <row r="1717" ht="15.75" customHeight="1">
      <c r="A1717" s="1">
        <v>1800.0</v>
      </c>
      <c r="B1717" s="3" t="s">
        <v>1684</v>
      </c>
      <c r="C1717" s="3" t="str">
        <f>IFERROR(__xludf.DUMMYFUNCTION("GOOGLETRANSLATE(B1717,""id"",""en"")"),"['Customer', 'Service', 'Help']")</f>
        <v>['Customer', 'Service', 'Help']</v>
      </c>
      <c r="D1717" s="3">
        <v>5.0</v>
      </c>
    </row>
    <row r="1718" ht="15.75" customHeight="1">
      <c r="A1718" s="1">
        <v>1801.0</v>
      </c>
      <c r="B1718" s="3" t="s">
        <v>1685</v>
      </c>
      <c r="C1718" s="3" t="str">
        <f>IFERROR(__xludf.DUMMYFUNCTION("GOOGLETRANSLATE(B1718,""id"",""en"")"),"['Cool', 'Application', 'New', 'Fresh', 'Intuitive']")</f>
        <v>['Cool', 'Application', 'New', 'Fresh', 'Intuitive']</v>
      </c>
      <c r="D1718" s="3">
        <v>5.0</v>
      </c>
    </row>
    <row r="1719" ht="15.75" customHeight="1">
      <c r="A1719" s="1">
        <v>1802.0</v>
      </c>
      <c r="B1719" s="3" t="s">
        <v>1686</v>
      </c>
      <c r="C1719" s="3" t="str">
        <f>IFERROR(__xludf.DUMMYFUNCTION("GOOGLETRANSLATE(B1719,""id"",""en"")"),"['Mantab', 'soul', 'thank', 'love', 'indihome']")</f>
        <v>['Mantab', 'soul', 'thank', 'love', 'indihome']</v>
      </c>
      <c r="D1719" s="3">
        <v>5.0</v>
      </c>
    </row>
    <row r="1720" ht="15.75" customHeight="1">
      <c r="A1720" s="1">
        <v>1803.0</v>
      </c>
      <c r="B1720" s="3" t="s">
        <v>1687</v>
      </c>
      <c r="C1720" s="3" t="str">
        <f>IFERROR(__xludf.DUMMYFUNCTION("GOOGLETRANSLATE(B1720,""id"",""en"")"),"['imagine', 'internet', 'home', 'thank', 'love', 'indihome']")</f>
        <v>['imagine', 'internet', 'home', 'thank', 'love', 'indihome']</v>
      </c>
      <c r="D1720" s="3">
        <v>5.0</v>
      </c>
    </row>
    <row r="1721" ht="15.75" customHeight="1">
      <c r="A1721" s="1">
        <v>1804.0</v>
      </c>
      <c r="B1721" s="3" t="s">
        <v>1688</v>
      </c>
      <c r="C1721" s="3" t="str">
        <f>IFERROR(__xludf.DUMMYFUNCTION("GOOGLETRANSLATE(B1721,""id"",""en"")"),"['Internet', 'smooth', 'family', 'Happy']")</f>
        <v>['Internet', 'smooth', 'family', 'Happy']</v>
      </c>
      <c r="D1721" s="3">
        <v>5.0</v>
      </c>
    </row>
    <row r="1722" ht="15.75" customHeight="1">
      <c r="A1722" s="1">
        <v>1805.0</v>
      </c>
      <c r="B1722" s="3" t="s">
        <v>1689</v>
      </c>
      <c r="C1722" s="3" t="str">
        <f>IFERROR(__xludf.DUMMYFUNCTION("GOOGLETRANSLATE(B1722,""id"",""en"")"),"['original', 'application', 'function', 'purpose', 'application', 'shy', 'shyin', 'plate', 'red', '']")</f>
        <v>['original', 'application', 'function', 'purpose', 'application', 'shy', 'shyin', 'plate', 'red', '']</v>
      </c>
      <c r="D1722" s="3">
        <v>1.0</v>
      </c>
    </row>
    <row r="1723" ht="15.75" customHeight="1">
      <c r="A1723" s="1">
        <v>1807.0</v>
      </c>
      <c r="B1723" s="3" t="s">
        <v>1690</v>
      </c>
      <c r="C1723" s="3" t="str">
        <f>IFERROR(__xludf.DUMMYFUNCTION("GOOGLETRANSLATE(B1723,""id"",""en"")"),"['difficult', 'really', 'login', 'turn', 'already', 'pay', 'via', 'Alfamart', 'notification', 'pay', 'hidup', 'fined', ' A year ',' capitalist ',' capitalist ',' disappointed ']")</f>
        <v>['difficult', 'really', 'login', 'turn', 'already', 'pay', 'via', 'Alfamart', 'notification', 'pay', 'hidup', 'fined', ' A year ',' capitalist ',' capitalist ',' disappointed ']</v>
      </c>
      <c r="D1723" s="3">
        <v>1.0</v>
      </c>
    </row>
    <row r="1724" ht="15.75" customHeight="1">
      <c r="A1724" s="1">
        <v>1808.0</v>
      </c>
      <c r="B1724" s="3" t="s">
        <v>1691</v>
      </c>
      <c r="C1724" s="3" t="str">
        <f>IFERROR(__xludf.DUMMYFUNCTION("GOOGLETRANSLATE(B1724,""id"",""en"")"),"['Since', 'Updated', 'Login', 'yaa']")</f>
        <v>['Since', 'Updated', 'Login', 'yaa']</v>
      </c>
      <c r="D1724" s="3">
        <v>4.0</v>
      </c>
    </row>
    <row r="1725" ht="15.75" customHeight="1">
      <c r="A1725" s="1">
        <v>1809.0</v>
      </c>
      <c r="B1725" s="3" t="s">
        <v>1692</v>
      </c>
      <c r="C1725" s="3" t="str">
        <f>IFERROR(__xludf.DUMMYFUNCTION("GOOGLETRANSLATE(B1725,""id"",""en"")"),"['Please', 'Application', 'Fix', 'Karna', 'Open', 'Loading', '']")</f>
        <v>['Please', 'Application', 'Fix', 'Karna', 'Open', 'Loading', '']</v>
      </c>
      <c r="D1725" s="3">
        <v>1.0</v>
      </c>
    </row>
    <row r="1726" ht="15.75" customHeight="1">
      <c r="A1726" s="1">
        <v>1810.0</v>
      </c>
      <c r="B1726" s="3" t="s">
        <v>1693</v>
      </c>
      <c r="C1726" s="3" t="str">
        <f>IFERROR(__xludf.DUMMYFUNCTION("GOOGLETRANSLATE(B1726,""id"",""en"")"),"['apk', 'tibatiba', 'logout', 'login', 'difficult', 'sampe', 'loading', 'wifi', 'dipake', 'enter', 'network', 'connected', ' Internet ',' pdhal ',' bills', 'paid', 'all-round', 'online', 'activities',' family ',' hampered ',' Thank you ',' Hopefully ',' n"&amp;"oticed ',' repaired ' , '']")</f>
        <v>['apk', 'tibatiba', 'logout', 'login', 'difficult', 'sampe', 'loading', 'wifi', 'dipake', 'enter', 'network', 'connected', ' Internet ',' pdhal ',' bills', 'paid', 'all-round', 'online', 'activities',' family ',' hampered ',' Thank you ',' Hopefully ',' noticed ',' repaired ' , '']</v>
      </c>
      <c r="D1726" s="3">
        <v>1.0</v>
      </c>
    </row>
    <row r="1727" ht="15.75" customHeight="1">
      <c r="A1727" s="1">
        <v>1811.0</v>
      </c>
      <c r="B1727" s="3" t="s">
        <v>1694</v>
      </c>
      <c r="C1727" s="3" t="str">
        <f>IFERROR(__xludf.DUMMYFUNCTION("GOOGLETRANSLATE(B1727,""id"",""en"")"),"['Severe', 'Application', 'Download', 'Fast', 'Description', 'Application', 'Improved', 'Application', ""]")</f>
        <v>['Severe', 'Application', 'Download', 'Fast', 'Description', 'Application', 'Improved', 'Application', "]</v>
      </c>
      <c r="D1727" s="3">
        <v>1.0</v>
      </c>
    </row>
    <row r="1728" ht="15.75" customHeight="1">
      <c r="A1728" s="1">
        <v>1812.0</v>
      </c>
      <c r="B1728" s="3" t="s">
        <v>1695</v>
      </c>
      <c r="C1728" s="3" t="str">
        <f>IFERROR(__xludf.DUMMYFUNCTION("GOOGLETRANSLATE(B1728,""id"",""en"")"),"['logout', 'difficult', 'login', 'application', 'ngelag', ""]")</f>
        <v>['logout', 'difficult', 'login', 'application', 'ngelag', "]</v>
      </c>
      <c r="D1728" s="3">
        <v>1.0</v>
      </c>
    </row>
    <row r="1729" ht="15.75" customHeight="1">
      <c r="A1729" s="1">
        <v>1813.0</v>
      </c>
      <c r="B1729" s="3" t="s">
        <v>1696</v>
      </c>
      <c r="C1729" s="3" t="str">
        <f>IFERROR(__xludf.DUMMYFUNCTION("GOOGLETRANSLATE(B1729,""id"",""en"")"),"['slow', 'really', 'image', 'loading', 'ad', 'check', 'kuoata', 'use', 'really', 'mending', 'application', 'simple', ' slow ',' application ',' light ',' promo ',' ad ',' product ',' slow ',' loading ',' speed ',' already ',' direct ',' drop ',' until ' ,"&amp;" 'FUP', '']")</f>
        <v>['slow', 'really', 'image', 'loading', 'ad', 'check', 'kuoata', 'use', 'really', 'mending', 'application', 'simple', ' slow ',' application ',' light ',' promo ',' ad ',' product ',' slow ',' loading ',' speed ',' already ',' direct ',' drop ',' until ' , 'FUP', '']</v>
      </c>
      <c r="D1729" s="3">
        <v>2.0</v>
      </c>
    </row>
    <row r="1730" ht="15.75" customHeight="1">
      <c r="A1730" s="1">
        <v>1814.0</v>
      </c>
      <c r="B1730" s="3" t="s">
        <v>1697</v>
      </c>
      <c r="C1730" s="3" t="str">
        <f>IFERROR(__xludf.DUMMYFUNCTION("GOOGLETRANSLATE(B1730,""id"",""en"")"),"['Application', 'Rich', 'Kakean', 'Login', 'Mending', 'Ari', 'Login', 'Direct', 'Enter', 'Wis',' blonde ',' blonde ',' Login ',' ORA ',' Enter ',' Enter ',' Wedie ',' Ora ',' Pay ',' Tenan ']")</f>
        <v>['Application', 'Rich', 'Kakean', 'Login', 'Mending', 'Ari', 'Login', 'Direct', 'Enter', 'Wis',' blonde ',' blonde ',' Login ',' ORA ',' Enter ',' Enter ',' Wedie ',' Ora ',' Pay ',' Tenan ']</v>
      </c>
      <c r="D1730" s="3">
        <v>1.0</v>
      </c>
    </row>
    <row r="1731" ht="15.75" customHeight="1">
      <c r="A1731" s="1">
        <v>1815.0</v>
      </c>
      <c r="B1731" s="3" t="s">
        <v>1698</v>
      </c>
      <c r="C1731" s="3" t="str">
        <f>IFERROR(__xludf.DUMMYFUNCTION("GOOGLETRANSLATE(B1731,""id"",""en"")"),"['Out', 'update', 'difficult', 'enter']")</f>
        <v>['Out', 'update', 'difficult', 'enter']</v>
      </c>
      <c r="D1731" s="3">
        <v>1.0</v>
      </c>
    </row>
    <row r="1732" ht="15.75" customHeight="1">
      <c r="A1732" s="1">
        <v>1816.0</v>
      </c>
      <c r="B1732" s="3" t="s">
        <v>1699</v>
      </c>
      <c r="C1732" s="3" t="str">
        <f>IFERROR(__xludf.DUMMYFUNCTION("GOOGLETRANSLATE(B1732,""id"",""en"")"),"['Please', 'pay', 'bills', 'connected', 'internet']")</f>
        <v>['Please', 'pay', 'bills', 'connected', 'internet']</v>
      </c>
      <c r="D1732" s="3">
        <v>5.0</v>
      </c>
    </row>
    <row r="1733" ht="15.75" customHeight="1">
      <c r="A1733" s="1">
        <v>1817.0</v>
      </c>
      <c r="B1733" s="3" t="s">
        <v>1700</v>
      </c>
      <c r="C1733" s="3" t="str">
        <f>IFERROR(__xludf.DUMMYFUNCTION("GOOGLETRANSLATE(B1733,""id"",""en"")"),"['Muter', 'slow', '']")</f>
        <v>['Muter', 'slow', '']</v>
      </c>
      <c r="D1733" s="3">
        <v>1.0</v>
      </c>
    </row>
    <row r="1734" ht="15.75" customHeight="1">
      <c r="A1734" s="1">
        <v>1818.0</v>
      </c>
      <c r="B1734" s="3" t="s">
        <v>1701</v>
      </c>
      <c r="C1734" s="3" t="str">
        <f>IFERROR(__xludf.DUMMYFUNCTION("GOOGLETRANSLATE(B1734,""id"",""en"")"),"['OTP', 'SMS', 'Login', 'Application', 'Update', 'Please', 'Repair']")</f>
        <v>['OTP', 'SMS', 'Login', 'Application', 'Update', 'Please', 'Repair']</v>
      </c>
      <c r="D1734" s="3">
        <v>1.0</v>
      </c>
    </row>
    <row r="1735" ht="15.75" customHeight="1">
      <c r="A1735" s="1">
        <v>1819.0</v>
      </c>
      <c r="B1735" s="3" t="s">
        <v>1702</v>
      </c>
      <c r="C1735" s="3" t="str">
        <f>IFERROR(__xludf.DUMMYFUNCTION("GOOGLETRANSLATE(B1735,""id"",""en"")"),"['', 'Login', 'Abis',' enter ',' password ',' enter ',' application ',' appears', 'notif', 'Please', 'sorry', 'improvement', 'service ',' please ',' dev ',' application ',' ready ',' release ',' BUMN ',' good ',' service ',' ']")</f>
        <v>['', 'Login', 'Abis',' enter ',' password ',' enter ',' application ',' appears', 'notif', 'Please', 'sorry', 'improvement', 'service ',' please ',' dev ',' application ',' ready ',' release ',' BUMN ',' good ',' service ',' ']</v>
      </c>
      <c r="D1735" s="3">
        <v>1.0</v>
      </c>
    </row>
    <row r="1736" ht="15.75" customHeight="1">
      <c r="A1736" s="1">
        <v>1820.0</v>
      </c>
      <c r="B1736" s="3" t="s">
        <v>1703</v>
      </c>
      <c r="C1736" s="3" t="str">
        <f>IFERROR(__xludf.DUMMYFUNCTION("GOOGLETRANSLATE(B1736,""id"",""en"")"),"['Bill', 'already', 'no', 'responded', 'complaints', 'Customer', 'no', 'responded', 'service', 'embarrassing', ""]")</f>
        <v>['Bill', 'already', 'no', 'responded', 'complaints', 'Customer', 'no', 'responded', 'service', 'embarrassing', "]</v>
      </c>
      <c r="D1736" s="3">
        <v>1.0</v>
      </c>
    </row>
    <row r="1737" ht="15.75" customHeight="1">
      <c r="A1737" s="1">
        <v>1821.0</v>
      </c>
      <c r="B1737" s="3" t="s">
        <v>1704</v>
      </c>
      <c r="C1737" s="3" t="str">
        <f>IFERROR(__xludf.DUMMYFUNCTION("GOOGLETRANSLATE(B1737,""id"",""en"")"),"['bad', 'delicious', 'version', '']")</f>
        <v>['bad', 'delicious', 'version', '']</v>
      </c>
      <c r="D1737" s="3">
        <v>2.0</v>
      </c>
    </row>
    <row r="1738" ht="15.75" customHeight="1">
      <c r="A1738" s="1">
        <v>1822.0</v>
      </c>
      <c r="B1738" s="3" t="s">
        <v>1705</v>
      </c>
      <c r="C1738" s="3" t="str">
        <f>IFERROR(__xludf.DUMMYFUNCTION("GOOGLETRANSLATE(B1738,""id"",""en"")"),"['Gag']")</f>
        <v>['Gag']</v>
      </c>
      <c r="D1738" s="3">
        <v>1.0</v>
      </c>
    </row>
    <row r="1739" ht="15.75" customHeight="1">
      <c r="A1739" s="1">
        <v>1823.0</v>
      </c>
      <c r="B1739" s="3" t="s">
        <v>1706</v>
      </c>
      <c r="C1739" s="3" t="str">
        <f>IFERROR(__xludf.DUMMYFUNCTION("GOOGLETRANSLATE(B1739,""id"",""en"")"),"['Error', 'GANANIAT', 'Application', '']")</f>
        <v>['Error', 'GANANIAT', 'Application', '']</v>
      </c>
      <c r="D1739" s="3">
        <v>1.0</v>
      </c>
    </row>
    <row r="1740" ht="15.75" customHeight="1">
      <c r="A1740" s="1">
        <v>1824.0</v>
      </c>
      <c r="B1740" s="3" t="s">
        <v>1707</v>
      </c>
      <c r="C1740" s="3" t="str">
        <f>IFERROR(__xludf.DUMMYFUNCTION("GOOGLETRANSLATE(B1740,""id"",""en"")"),"['Mantulllll']")</f>
        <v>['Mantulllll']</v>
      </c>
      <c r="D1740" s="3">
        <v>4.0</v>
      </c>
    </row>
    <row r="1741" ht="15.75" customHeight="1">
      <c r="A1741" s="1">
        <v>1825.0</v>
      </c>
      <c r="B1741" s="3" t="s">
        <v>1708</v>
      </c>
      <c r="C1741" s="3" t="str">
        <f>IFERROR(__xludf.DUMMYFUNCTION("GOOGLETRANSLATE(B1741,""id"",""en"")"),"['no', 'login', 'application', 'no', ""]")</f>
        <v>['no', 'login', 'application', 'no', "]</v>
      </c>
      <c r="D1741" s="3">
        <v>1.0</v>
      </c>
    </row>
    <row r="1742" ht="15.75" customHeight="1">
      <c r="A1742" s="1">
        <v>1826.0</v>
      </c>
      <c r="B1742" s="3" t="s">
        <v>1709</v>
      </c>
      <c r="C1742" s="3" t="str">
        <f>IFERROR(__xludf.DUMMYFUNCTION("GOOGLETRANSLATE(B1742,""id"",""en"")"),"['Application', 'idiot']")</f>
        <v>['Application', 'idiot']</v>
      </c>
      <c r="D1742" s="3">
        <v>1.0</v>
      </c>
    </row>
    <row r="1743" ht="15.75" customHeight="1">
      <c r="A1743" s="1">
        <v>1827.0</v>
      </c>
      <c r="B1743" s="3" t="s">
        <v>1710</v>
      </c>
      <c r="C1743" s="3" t="str">
        <f>IFERROR(__xludf.DUMMYFUNCTION("GOOGLETRANSLATE(B1743,""id"",""en"")"),"['', 'Provider', 'My APK', 'garbage']")</f>
        <v>['', 'Provider', 'My APK', 'garbage']</v>
      </c>
      <c r="D1743" s="3">
        <v>1.0</v>
      </c>
    </row>
    <row r="1744" ht="15.75" customHeight="1">
      <c r="A1744" s="1">
        <v>1828.0</v>
      </c>
      <c r="B1744" s="3" t="s">
        <v>1711</v>
      </c>
      <c r="C1744" s="3" t="str">
        <f>IFERROR(__xludf.DUMMYFUNCTION("GOOGLETRANSLATE(B1744,""id"",""en"")"),"['list', 'loading', 'bnget', 'sometimes',' failed ',' emergence ',' improvement ',' improvement ',' system ',' already ',' good ',' love ',' The star ',' love ',' star ']")</f>
        <v>['list', 'loading', 'bnget', 'sometimes',' failed ',' emergence ',' improvement ',' improvement ',' system ',' already ',' good ',' love ',' The star ',' love ',' star ']</v>
      </c>
      <c r="D1744" s="3">
        <v>1.0</v>
      </c>
    </row>
    <row r="1745" ht="15.75" customHeight="1">
      <c r="A1745" s="1">
        <v>1829.0</v>
      </c>
      <c r="B1745" s="3" t="s">
        <v>1712</v>
      </c>
      <c r="C1745" s="3" t="str">
        <f>IFERROR(__xludf.DUMMYFUNCTION("GOOGLETRANSLATE(B1745,""id"",""en"")"),"['update', 'version', 'the latest', 'access', 'poor', 'company', 'plate', 'red', 'its application', 'sophisticated']")</f>
        <v>['update', 'version', 'the latest', 'access', 'poor', 'company', 'plate', 'red', 'its application', 'sophisticated']</v>
      </c>
      <c r="D1745" s="3">
        <v>1.0</v>
      </c>
    </row>
    <row r="1746" ht="15.75" customHeight="1">
      <c r="A1746" s="1">
        <v>1830.0</v>
      </c>
      <c r="B1746" s="3" t="s">
        <v>1713</v>
      </c>
      <c r="C1746" s="3" t="str">
        <f>IFERROR(__xludf.DUMMYFUNCTION("GOOGLETRANSLATE(B1746,""id"",""en"")"),"['', 'annoyed', 'emang', 'pay', 'date', 'disorder', 'wait', 'until', 'tomorrow', 'disruption', 'the morning', 'wifi', 'broke ',' Late ',' a day ',' App ',' opened ',' Hang ',' Loading ',' Rating ',' ugly ',' rank ', ""]")</f>
        <v>['', 'annoyed', 'emang', 'pay', 'date', 'disorder', 'wait', 'until', 'tomorrow', 'disruption', 'the morning', 'wifi', 'broke ',' Late ',' a day ',' App ',' opened ',' Hang ',' Loading ',' Rating ',' ugly ',' rank ', "]</v>
      </c>
      <c r="D1746" s="3">
        <v>1.0</v>
      </c>
    </row>
    <row r="1747" ht="15.75" customHeight="1">
      <c r="A1747" s="1">
        <v>1832.0</v>
      </c>
      <c r="B1747" s="3" t="s">
        <v>1714</v>
      </c>
      <c r="C1747" s="3" t="str">
        <f>IFERROR(__xludf.DUMMYFUNCTION("GOOGLETRANSLATE(B1747,""id"",""en"")"),"['Access',' MyIndihome ',' Please ',' Sorry ',' Improved ',' Service ',' Internet ',' At Home ',' Internet ',' Report ',' Busy ',' Report ',' Technicians', 'response', 'service', 'Increase', '']")</f>
        <v>['Access',' MyIndihome ',' Please ',' Sorry ',' Improved ',' Service ',' Internet ',' At Home ',' Internet ',' Report ',' Busy ',' Report ',' Technicians', 'response', 'service', 'Increase', '']</v>
      </c>
      <c r="D1747" s="3">
        <v>1.0</v>
      </c>
    </row>
    <row r="1748" ht="15.75" customHeight="1">
      <c r="A1748" s="1">
        <v>1833.0</v>
      </c>
      <c r="B1748" s="3" t="s">
        <v>1715</v>
      </c>
      <c r="C1748" s="3" t="str">
        <f>IFERROR(__xludf.DUMMYFUNCTION("GOOGLETRANSLATE(B1748,""id"",""en"")"),"['I think', 'fast', 'bean']")</f>
        <v>['I think', 'fast', 'bean']</v>
      </c>
      <c r="D1748" s="3">
        <v>1.0</v>
      </c>
    </row>
    <row r="1749" ht="15.75" customHeight="1">
      <c r="A1749" s="1">
        <v>1834.0</v>
      </c>
      <c r="B1749" s="3" t="s">
        <v>1716</v>
      </c>
      <c r="C1749" s="3" t="str">
        <f>IFERROR(__xludf.DUMMYFUNCTION("GOOGLETRANSLATE(B1749,""id"",""en"")"),"['Bagusan', 'application']")</f>
        <v>['Bagusan', 'application']</v>
      </c>
      <c r="D1749" s="3">
        <v>2.0</v>
      </c>
    </row>
    <row r="1750" ht="15.75" customHeight="1">
      <c r="A1750" s="1">
        <v>1835.0</v>
      </c>
      <c r="B1750" s="3" t="s">
        <v>1717</v>
      </c>
      <c r="C1750" s="3" t="str">
        <f>IFERROR(__xludf.DUMMYFUNCTION("GOOGLETRANSLATE(B1750,""id"",""en"")"),"['', 'APK', 'update', 'mlah', 'good', 'troublenya', 'entry', 'king']")</f>
        <v>['', 'APK', 'update', 'mlah', 'good', 'troublenya', 'entry', 'king']</v>
      </c>
      <c r="D1750" s="3">
        <v>2.0</v>
      </c>
    </row>
    <row r="1751" ht="15.75" customHeight="1">
      <c r="A1751" s="1">
        <v>1836.0</v>
      </c>
      <c r="B1751" s="3" t="s">
        <v>1718</v>
      </c>
      <c r="C1751" s="3" t="str">
        <f>IFERROR(__xludf.DUMMYFUNCTION("GOOGLETRANSLATE(B1751,""id"",""en"")"),"['What', 'already', 'entered', 'log', 'out', 'plis', 'increase', 'bet']")</f>
        <v>['What', 'already', 'entered', 'log', 'out', 'plis', 'increase', 'bet']</v>
      </c>
      <c r="D1751" s="3">
        <v>1.0</v>
      </c>
    </row>
    <row r="1752" ht="15.75" customHeight="1">
      <c r="A1752" s="1">
        <v>1837.0</v>
      </c>
      <c r="B1752" s="3" t="s">
        <v>1719</v>
      </c>
      <c r="C1752" s="3" t="str">
        <f>IFERROR(__xludf.DUMMYFUNCTION("GOOGLETRANSLATE(B1752,""id"",""en"")"),"['Lekakikasi', 'slow']")</f>
        <v>['Lekakikasi', 'slow']</v>
      </c>
      <c r="D1752" s="3">
        <v>1.0</v>
      </c>
    </row>
    <row r="1753" ht="15.75" customHeight="1">
      <c r="A1753" s="1">
        <v>1838.0</v>
      </c>
      <c r="B1753" s="3" t="s">
        <v>1720</v>
      </c>
      <c r="C1753" s="3" t="str">
        <f>IFERROR(__xludf.DUMMYFUNCTION("GOOGLETRANSLATE(B1753,""id"",""en"")"),"['Quality', 'Network', 'Application', 'Bad', 'already', 'Litu', ""]")</f>
        <v>['Quality', 'Network', 'Application', 'Bad', 'already', 'Litu', "]</v>
      </c>
      <c r="D1753" s="3">
        <v>1.0</v>
      </c>
    </row>
    <row r="1754" ht="15.75" customHeight="1">
      <c r="A1754" s="1">
        <v>1839.0</v>
      </c>
      <c r="B1754" s="3" t="s">
        <v>1721</v>
      </c>
      <c r="C1754" s="3" t="str">
        <f>IFERROR(__xludf.DUMMYFUNCTION("GOOGLETRANSLATE(B1754,""id"",""en"")"),"['how', 'APK', 'told', 'login', 'gabisa', 'access',' already ',' replace ',' password ',' writing ',' improvement ',' service ',' poor ']")</f>
        <v>['how', 'APK', 'told', 'login', 'gabisa', 'access',' already ',' replace ',' password ',' writing ',' improvement ',' service ',' poor ']</v>
      </c>
      <c r="D1754" s="3">
        <v>1.0</v>
      </c>
    </row>
    <row r="1755" ht="15.75" customHeight="1">
      <c r="A1755" s="1">
        <v>1840.0</v>
      </c>
      <c r="B1755" s="3" t="s">
        <v>1722</v>
      </c>
      <c r="C1755" s="3" t="str">
        <f>IFERROR(__xludf.DUMMYFUNCTION("GOOGLETRANSLATE(B1755,""id"",""en"")"),"['Application', 'Disappointing', 'Update', 'Skapan', 'Total', 'Update', 'then', 'BKA', 'SSAH', ""]")</f>
        <v>['Application', 'Disappointing', 'Update', 'Skapan', 'Total', 'Update', 'then', 'BKA', 'SSAH', "]</v>
      </c>
      <c r="D1755" s="3">
        <v>5.0</v>
      </c>
    </row>
    <row r="1756" ht="15.75" customHeight="1">
      <c r="A1756" s="1">
        <v>1841.0</v>
      </c>
      <c r="B1756" s="3" t="s">
        <v>1723</v>
      </c>
      <c r="C1756" s="3" t="str">
        <f>IFERROR(__xludf.DUMMYFUNCTION("GOOGLETRANSLATE(B1756,""id"",""en"")"),"['Update', 'Login', 'strange', '']")</f>
        <v>['Update', 'Login', 'strange', '']</v>
      </c>
      <c r="D1756" s="3">
        <v>1.0</v>
      </c>
    </row>
    <row r="1757" ht="15.75" customHeight="1">
      <c r="A1757" s="1">
        <v>1843.0</v>
      </c>
      <c r="B1757" s="3" t="s">
        <v>1724</v>
      </c>
      <c r="C1757" s="3" t="str">
        <f>IFERROR(__xludf.DUMMYFUNCTION("GOOGLETRANSLATE(B1757,""id"",""en"")"),"['KOQ', 'Ribet', 'already', 'enter', 'email', 'password', 'enter', 'code', 'verification', 'kurneb', 'setting', 'dipake', ' APK ',' already ',' told ',' enter ',' reset ',' code ',' verifi ',' hadeeeeh ',' service ',' koq ',' bkn ',' easy ',' difficult ' "&amp;", 'Ribet', 'Gini', 'yak', '']")</f>
        <v>['KOQ', 'Ribet', 'already', 'enter', 'email', 'password', 'enter', 'code', 'verification', 'kurneb', 'setting', 'dipake', ' APK ',' already ',' told ',' enter ',' reset ',' code ',' verifi ',' hadeeeeh ',' service ',' koq ',' bkn ',' easy ',' difficult ' , 'Ribet', 'Gini', 'yak', '']</v>
      </c>
      <c r="D1757" s="3">
        <v>1.0</v>
      </c>
    </row>
    <row r="1758" ht="15.75" customHeight="1">
      <c r="A1758" s="1">
        <v>1844.0</v>
      </c>
      <c r="B1758" s="3" t="s">
        <v>1725</v>
      </c>
      <c r="C1758" s="3" t="str">
        <f>IFERROR(__xludf.DUMMYFUNCTION("GOOGLETRANSLATE(B1758,""id"",""en"")"),"['application', 'TLG', 'repaired', 'bnyak', 'deficiency', 'developer', 'sophisticated', 'lbh', 'application', 'bozz', 'hrs',' appears', ' Latest ',' lbh ',' tmbh ',' bad ',' HADEWH ',' tired ',' dech ', ""]")</f>
        <v>['application', 'TLG', 'repaired', 'bnyak', 'deficiency', 'developer', 'sophisticated', 'lbh', 'application', 'bozz', 'hrs',' appears', ' Latest ',' lbh ',' tmbh ',' bad ',' HADEWH ',' tired ',' dech ', "]</v>
      </c>
      <c r="D1758" s="3">
        <v>1.0</v>
      </c>
    </row>
    <row r="1759" ht="15.75" customHeight="1">
      <c r="A1759" s="1">
        <v>1845.0</v>
      </c>
      <c r="B1759" s="3" t="s">
        <v>1726</v>
      </c>
      <c r="C1759" s="3" t="str">
        <f>IFERROR(__xludf.DUMMYFUNCTION("GOOGLETRANSLATE(B1759,""id"",""en"")"),"['Pantyanan', 'Bad', 'Money', 'Guarantee', 'Cut', 'Bill', 'Restore', 'Contact', 'Date', 'October', 'November', 'answer', ' Have ',' Wait ',' Yanga ',' Wait ',' Service ',' Data ',' Disconnect ',' Useful ',' Center ',' Service ', ""]")</f>
        <v>['Pantyanan', 'Bad', 'Money', 'Guarantee', 'Cut', 'Bill', 'Restore', 'Contact', 'Date', 'October', 'November', 'answer', ' Have ',' Wait ',' Yanga ',' Wait ',' Service ',' Data ',' Disconnect ',' Useful ',' Center ',' Service ', "]</v>
      </c>
      <c r="D1759" s="3">
        <v>1.0</v>
      </c>
    </row>
    <row r="1760" ht="15.75" customHeight="1">
      <c r="A1760" s="1">
        <v>1846.0</v>
      </c>
      <c r="B1760" s="3" t="s">
        <v>1727</v>
      </c>
      <c r="C1760" s="3" t="str">
        <f>IFERROR(__xludf.DUMMYFUNCTION("GOOGLETRANSLATE(B1760,""id"",""en"")"),"['application', 'slow', 'for', 'see', 'info', 'network', 'ngak', 'consistent', 'position', 'mbps', 'mbps']")</f>
        <v>['application', 'slow', 'for', 'see', 'info', 'network', 'ngak', 'consistent', 'position', 'mbps', 'mbps']</v>
      </c>
      <c r="D1760" s="3">
        <v>1.0</v>
      </c>
    </row>
    <row r="1761" ht="15.75" customHeight="1">
      <c r="A1761" s="1">
        <v>1847.0</v>
      </c>
      <c r="B1761" s="3" t="s">
        <v>1728</v>
      </c>
      <c r="C1761" s="3" t="str">
        <f>IFERROR(__xludf.DUMMYFUNCTION("GOOGLETRANSLATE(B1761,""id"",""en"")"),"['Nomer', 'saved', 'automatic', 'number', 'email', 'registered', 'Android', 'Devoper', 'Insurered', 'Application', 'Enhanced', 'Good', ' Login ',' type ',' reset ',' tingal ',' verification ',' code ',' automatic ',' security ']")</f>
        <v>['Nomer', 'saved', 'automatic', 'number', 'email', 'registered', 'Android', 'Devoper', 'Insurered', 'Application', 'Enhanced', 'Good', ' Login ',' type ',' reset ',' tingal ',' verification ',' code ',' automatic ',' security ']</v>
      </c>
      <c r="D1761" s="3">
        <v>2.0</v>
      </c>
    </row>
    <row r="1762" ht="15.75" customHeight="1">
      <c r="A1762" s="1">
        <v>1848.0</v>
      </c>
      <c r="B1762" s="3" t="s">
        <v>1729</v>
      </c>
      <c r="C1762" s="3" t="str">
        <f>IFERROR(__xludf.DUMMYFUNCTION("GOOGLETRANSLATE(B1762,""id"",""en"")"),"['ADD', 'OSN', 'Report', 'Update', 'Application', 'Login', 'Reset', 'Latest', 'Subscriptions',' Box ',' Profile ',' Indihome ',' Phone ',' wonder ']")</f>
        <v>['ADD', 'OSN', 'Report', 'Update', 'Application', 'Login', 'Reset', 'Latest', 'Subscriptions',' Box ',' Profile ',' Indihome ',' Phone ',' wonder ']</v>
      </c>
      <c r="D1762" s="3">
        <v>1.0</v>
      </c>
    </row>
    <row r="1763" ht="15.75" customHeight="1">
      <c r="A1763" s="1">
        <v>1849.0</v>
      </c>
      <c r="B1763" s="3" t="s">
        <v>1730</v>
      </c>
      <c r="C1763" s="3" t="str">
        <f>IFERROR(__xludf.DUMMYFUNCTION("GOOGLETRANSLATE(B1763,""id"",""en"")"),"['Not bad', 'leg', 'really', 'apk', 'new']")</f>
        <v>['Not bad', 'leg', 'really', 'apk', 'new']</v>
      </c>
      <c r="D1763" s="3">
        <v>3.0</v>
      </c>
    </row>
    <row r="1764" ht="15.75" customHeight="1">
      <c r="A1764" s="1">
        <v>1850.0</v>
      </c>
      <c r="B1764" s="3" t="s">
        <v>1731</v>
      </c>
      <c r="C1764" s="3" t="str">
        <f>IFERROR(__xludf.DUMMYFUNCTION("GOOGLETRANSLATE(B1764,""id"",""en"")"),"['Napa', 'told', 'Login', 'already', 'Login', 'Tetep', 'Gabisa', 'Opened', 'Ahh', 'Indihome', 'Rivet']")</f>
        <v>['Napa', 'told', 'Login', 'already', 'Login', 'Tetep', 'Gabisa', 'Opened', 'Ahh', 'Indihome', 'Rivet']</v>
      </c>
      <c r="D1764" s="3">
        <v>1.0</v>
      </c>
    </row>
    <row r="1765" ht="15.75" customHeight="1">
      <c r="A1765" s="1">
        <v>1851.0</v>
      </c>
      <c r="B1765" s="3" t="s">
        <v>1732</v>
      </c>
      <c r="C1765" s="3" t="str">
        <f>IFERROR(__xludf.DUMMYFUNCTION("GOOGLETRANSLATE(B1765,""id"",""en"")"),"['Date', 'Pay', 'Trouble', 'Teros',' Turn ',' Enter ',' Date ',' Direct ',' Disconnect ',' Masang ',' Deadline ',' Sampek ',' Enter ',' Date ',' Tomorrow ',' It's', 'Gabisa', 'Taii', 'Bener', 'Indihome', 'skrg', 'work', 'Different', 'Date', 'payday' , 'bl"&amp;"ock', 'think', 'user', 'little', 'difficult', 'Bener', ""]")</f>
        <v>['Date', 'Pay', 'Trouble', 'Teros',' Turn ',' Enter ',' Date ',' Direct ',' Disconnect ',' Masang ',' Deadline ',' Sampek ',' Enter ',' Date ',' Tomorrow ',' It's', 'Gabisa', 'Taii', 'Bener', 'Indihome', 'skrg', 'work', 'Different', 'Date', 'payday' , 'block', 'think', 'user', 'little', 'difficult', 'Bener', "]</v>
      </c>
      <c r="D1765" s="3">
        <v>1.0</v>
      </c>
    </row>
    <row r="1766" ht="15.75" customHeight="1">
      <c r="A1766" s="1">
        <v>1852.0</v>
      </c>
      <c r="B1766" s="3" t="s">
        <v>1733</v>
      </c>
      <c r="C1766" s="3" t="str">
        <f>IFERROR(__xludf.DUMMYFUNCTION("GOOGLETRANSLATE(B1766,""id"",""en"")"),"['Login', 'account', 'forget', 'password', 'number', 'sometimes',' likes', 'charred', 'klau', 'contents',' pulse ',' pls', ' repair']")</f>
        <v>['Login', 'account', 'forget', 'password', 'number', 'sometimes',' likes', 'charred', 'klau', 'contents',' pulse ',' pls', ' repair']</v>
      </c>
      <c r="D1766" s="3">
        <v>1.0</v>
      </c>
    </row>
    <row r="1767" ht="15.75" customHeight="1">
      <c r="A1767" s="1">
        <v>1853.0</v>
      </c>
      <c r="B1767" s="3" t="s">
        <v>1734</v>
      </c>
      <c r="C1767" s="3" t="str">
        <f>IFERROR(__xludf.DUMMYFUNCTION("GOOGLETRANSLATE(B1767,""id"",""en"")"),"['application', 'best', 'failed', 'ticket', 'complaint', '']")</f>
        <v>['application', 'best', 'failed', 'ticket', 'complaint', '']</v>
      </c>
      <c r="D1767" s="3">
        <v>1.0</v>
      </c>
    </row>
    <row r="1768" ht="15.75" customHeight="1">
      <c r="A1768" s="1">
        <v>1854.0</v>
      </c>
      <c r="B1768" s="3" t="s">
        <v>1735</v>
      </c>
      <c r="C1768" s="3" t="str">
        <f>IFERROR(__xludf.DUMMYFUNCTION("GOOGLETRANSLATE(B1768,""id"",""en"")"),"['Disappointed', 'Program', 'Telkom', 'Payment', 'Tagian', 'maximum', 'date', 'payment', 'date', 'clock', 'via', 'Link', ' Lazada ',' Tokopedia ',' hope ',' getting ',' fine ',' end ',' paid ',' hour ',' paid ',' named ',' Curang ',' consumer ',' fine ' ,"&amp;" 'Indonesia', 'Value', 'Really', 'Disappointed', 'System', 'Management', 'Telkom', 'Compensation', 'Please', 'Koly']")</f>
        <v>['Disappointed', 'Program', 'Telkom', 'Payment', 'Tagian', 'maximum', 'date', 'payment', 'date', 'clock', 'via', 'Link', ' Lazada ',' Tokopedia ',' hope ',' getting ',' fine ',' end ',' paid ',' hour ',' paid ',' named ',' Curang ',' consumer ',' fine ' , 'Indonesia', 'Value', 'Really', 'Disappointed', 'System', 'Management', 'Telkom', 'Compensation', 'Please', 'Koly']</v>
      </c>
      <c r="D1768" s="3">
        <v>1.0</v>
      </c>
    </row>
    <row r="1769" ht="15.75" customHeight="1">
      <c r="A1769" s="1">
        <v>1855.0</v>
      </c>
      <c r="B1769" s="3" t="s">
        <v>1736</v>
      </c>
      <c r="C1769" s="3" t="str">
        <f>IFERROR(__xludf.DUMMYFUNCTION("GOOGLETRANSLATE(B1769,""id"",""en"")"),"['heavy', 'application', 'heavy', 'darieadin', 'genshin', 'impact', 'entry', 'convoluted', 'turn', 'pay', 'difficult', '']")</f>
        <v>['heavy', 'application', 'heavy', 'darieadin', 'genshin', 'impact', 'entry', 'convoluted', 'turn', 'pay', 'difficult', '']</v>
      </c>
      <c r="D1769" s="3">
        <v>1.0</v>
      </c>
    </row>
    <row r="1770" ht="15.75" customHeight="1">
      <c r="A1770" s="1">
        <v>1856.0</v>
      </c>
      <c r="B1770" s="3" t="s">
        <v>1737</v>
      </c>
      <c r="C1770" s="3" t="str">
        <f>IFERROR(__xludf.DUMMYFUNCTION("GOOGLETRANSLATE(B1770,""id"",""en"")"),"['application']")</f>
        <v>['application']</v>
      </c>
      <c r="D1770" s="3">
        <v>1.0</v>
      </c>
    </row>
    <row r="1771" ht="15.75" customHeight="1">
      <c r="A1771" s="1">
        <v>1857.0</v>
      </c>
      <c r="B1771" s="3" t="s">
        <v>1738</v>
      </c>
      <c r="C1771" s="3" t="str">
        <f>IFERROR(__xludf.DUMMYFUNCTION("GOOGLETRANSLATE(B1771,""id"",""en"")"),"['slow', 'really', 'signal', 'swear']")</f>
        <v>['slow', 'really', 'signal', 'swear']</v>
      </c>
      <c r="D1771" s="3">
        <v>1.0</v>
      </c>
    </row>
    <row r="1772" ht="15.75" customHeight="1">
      <c r="A1772" s="1">
        <v>1858.0</v>
      </c>
      <c r="B1772" s="3" t="s">
        <v>1739</v>
      </c>
      <c r="C1772" s="3" t="str">
        <f>IFERROR(__xludf.DUMMYFUNCTION("GOOGLETRANSLATE(B1772,""id"",""en"")"),"['Application', 'Ngadat', 'Telkom', 'No', 'Application', 'Bener', 'Embarrassing', 'Telkom']")</f>
        <v>['Application', 'Ngadat', 'Telkom', 'No', 'Application', 'Bener', 'Embarrassing', 'Telkom']</v>
      </c>
      <c r="D1772" s="3">
        <v>1.0</v>
      </c>
    </row>
    <row r="1773" ht="15.75" customHeight="1">
      <c r="A1773" s="1">
        <v>1859.0</v>
      </c>
      <c r="B1773" s="3" t="s">
        <v>14</v>
      </c>
      <c r="C1773" s="3" t="str">
        <f>IFERROR(__xludf.DUMMYFUNCTION("GOOGLETRANSLATE(B1773,""id"",""en"")"),"Of course")</f>
        <v>Of course</v>
      </c>
      <c r="D1773" s="3">
        <v>5.0</v>
      </c>
    </row>
    <row r="1774" ht="15.75" customHeight="1">
      <c r="A1774" s="1">
        <v>1860.0</v>
      </c>
      <c r="B1774" s="3" t="s">
        <v>1740</v>
      </c>
      <c r="C1774" s="3" t="str">
        <f>IFERROR(__xludf.DUMMYFUNCTION("GOOGLETRANSLATE(B1774,""id"",""en"")"),"['Samppppppaaahhhh', 'UFDate', 'Login', 'Difficult', 'Enter', 'Severe', 'Severe', 'APK', 'Destroyed', ""]")</f>
        <v>['Samppppppaaahhhh', 'UFDate', 'Login', 'Difficult', 'Enter', 'Severe', 'Severe', 'APK', 'Destroyed', "]</v>
      </c>
      <c r="D1774" s="3">
        <v>1.0</v>
      </c>
    </row>
    <row r="1775" ht="15.75" customHeight="1">
      <c r="A1775" s="1">
        <v>1861.0</v>
      </c>
      <c r="B1775" s="3" t="s">
        <v>1741</v>
      </c>
      <c r="C1775" s="3" t="str">
        <f>IFERROR(__xludf.DUMMYFUNCTION("GOOGLETRANSLATE(B1775,""id"",""en"")"),"['Like', 'Application', 'Application', 'Loading', 'Information']")</f>
        <v>['Like', 'Application', 'Application', 'Loading', 'Information']</v>
      </c>
      <c r="D1775" s="3">
        <v>5.0</v>
      </c>
    </row>
    <row r="1776" ht="15.75" customHeight="1">
      <c r="A1776" s="1">
        <v>1862.0</v>
      </c>
      <c r="B1776" s="3" t="s">
        <v>1742</v>
      </c>
      <c r="C1776" s="3" t="str">
        <f>IFERROR(__xludf.DUMMYFUNCTION("GOOGLETRANSLATE(B1776,""id"",""en"")"),"['', 'like', 'application', 'ADL', 'App', 'Loading', 'Information']")</f>
        <v>['', 'like', 'application', 'ADL', 'App', 'Loading', 'Information']</v>
      </c>
      <c r="D1776" s="3">
        <v>5.0</v>
      </c>
    </row>
    <row r="1777" ht="15.75" customHeight="1">
      <c r="A1777" s="1">
        <v>1863.0</v>
      </c>
      <c r="B1777" s="3" t="s">
        <v>1743</v>
      </c>
      <c r="C1777" s="3" t="str">
        <f>IFERROR(__xludf.DUMMYFUNCTION("GOOGLETRANSLATE(B1777,""id"",""en"")"),"['Loading', 'Loading', 'Try', 'Upgrade', 'Package', 'Sport', 'Pay']")</f>
        <v>['Loading', 'Loading', 'Try', 'Upgrade', 'Package', 'Sport', 'Pay']</v>
      </c>
      <c r="D1777" s="3">
        <v>1.0</v>
      </c>
    </row>
    <row r="1778" ht="15.75" customHeight="1">
      <c r="A1778" s="1">
        <v>1864.0</v>
      </c>
      <c r="B1778" s="3" t="s">
        <v>614</v>
      </c>
      <c r="C1778" s="3" t="str">
        <f>IFERROR(__xludf.DUMMYFUNCTION("GOOGLETRANSLATE(B1778,""id"",""en"")"),"['slow']")</f>
        <v>['slow']</v>
      </c>
      <c r="D1778" s="3">
        <v>1.0</v>
      </c>
    </row>
    <row r="1779" ht="15.75" customHeight="1">
      <c r="A1779" s="1">
        <v>1865.0</v>
      </c>
      <c r="B1779" s="3" t="s">
        <v>1744</v>
      </c>
      <c r="C1779" s="3" t="str">
        <f>IFERROR(__xludf.DUMMYFUNCTION("GOOGLETRANSLATE(B1779,""id"",""en"")"),"['Application', 'Help', 'Mantab']")</f>
        <v>['Application', 'Help', 'Mantab']</v>
      </c>
      <c r="D1779" s="3">
        <v>5.0</v>
      </c>
    </row>
    <row r="1780" ht="15.75" customHeight="1">
      <c r="A1780" s="1">
        <v>1866.0</v>
      </c>
      <c r="B1780" s="3" t="s">
        <v>1745</v>
      </c>
      <c r="C1780" s="3" t="str">
        <f>IFERROR(__xludf.DUMMYFUNCTION("GOOGLETRANSLATE(B1780,""id"",""en"")"),"['Update', 'The application', 'Lemot', 'Euy']")</f>
        <v>['Update', 'The application', 'Lemot', 'Euy']</v>
      </c>
      <c r="D1780" s="3">
        <v>1.0</v>
      </c>
    </row>
    <row r="1781" ht="15.75" customHeight="1">
      <c r="A1781" s="1">
        <v>1867.0</v>
      </c>
      <c r="B1781" s="3" t="s">
        <v>1746</v>
      </c>
      <c r="C1781" s="3" t="str">
        <f>IFERROR(__xludf.DUMMYFUNCTION("GOOGLETRANSLATE(B1781,""id"",""en"")"),"['Please', 'Restore', 'Menu', 'Version', 'Version', 'Difficult', 'Information', 'Ina', 'Loading', 'Menitu', 'version', 'LBH', ' LBH ',' it's easy ']")</f>
        <v>['Please', 'Restore', 'Menu', 'Version', 'Version', 'Difficult', 'Information', 'Ina', 'Loading', 'Menitu', 'version', 'LBH', ' LBH ',' it's easy ']</v>
      </c>
      <c r="D1781" s="3">
        <v>1.0</v>
      </c>
    </row>
    <row r="1782" ht="15.75" customHeight="1">
      <c r="A1782" s="1">
        <v>1868.0</v>
      </c>
      <c r="B1782" s="3" t="s">
        <v>1747</v>
      </c>
      <c r="C1782" s="3" t="str">
        <f>IFERROR(__xludf.DUMMYFUNCTION("GOOGLETRANSLATE(B1782,""id"",""en"")"),"['open', 'application', 'sampek', 'hour', 'tip', 'error', 'bug', 'mhon', 'fix']")</f>
        <v>['open', 'application', 'sampek', 'hour', 'tip', 'error', 'bug', 'mhon', 'fix']</v>
      </c>
      <c r="D1782" s="3">
        <v>1.0</v>
      </c>
    </row>
    <row r="1783" ht="15.75" customHeight="1">
      <c r="A1783" s="1">
        <v>1869.0</v>
      </c>
      <c r="B1783" s="3" t="s">
        <v>1748</v>
      </c>
      <c r="C1783" s="3" t="str">
        <f>IFERROR(__xludf.DUMMYFUNCTION("GOOGLETRANSLATE(B1783,""id"",""en"")"),"['Application', 'Myindihome', 'version', 'Latest', 'Super', 'Cool', 'Display', 'User', 'Friendly', 'Feature', 'Complete', 'Use', ' Easy ',' hope ',' update ',' experience ',' fun ',' indihome ',' ']")</f>
        <v>['Application', 'Myindihome', 'version', 'Latest', 'Super', 'Cool', 'Display', 'User', 'Friendly', 'Feature', 'Complete', 'Use', ' Easy ',' hope ',' update ',' experience ',' fun ',' indihome ',' ']</v>
      </c>
      <c r="D1783" s="3">
        <v>5.0</v>
      </c>
    </row>
    <row r="1784" ht="15.75" customHeight="1">
      <c r="A1784" s="1">
        <v>1870.0</v>
      </c>
      <c r="B1784" s="3" t="s">
        <v>1749</v>
      </c>
      <c r="C1784" s="3" t="str">
        <f>IFERROR(__xludf.DUMMYFUNCTION("GOOGLETRANSLATE(B1784,""id"",""en"")"),"['Bad']")</f>
        <v>['Bad']</v>
      </c>
      <c r="D1784" s="3">
        <v>1.0</v>
      </c>
    </row>
    <row r="1785" ht="15.75" customHeight="1">
      <c r="A1785" s="1">
        <v>1871.0</v>
      </c>
      <c r="B1785" s="3" t="s">
        <v>1750</v>
      </c>
      <c r="C1785" s="3" t="str">
        <f>IFERROR(__xludf.DUMMYFUNCTION("GOOGLETRANSLATE(B1785,""id"",""en"")"),"['application', 'apan', 'difficult', 'really', 'msuk', 'pdhl', 'udh', 'beb or', 'tpi', 'msuk', 'jga', 'mending', ' Unistal ']")</f>
        <v>['application', 'apan', 'difficult', 'really', 'msuk', 'pdhl', 'udh', 'beb or', 'tpi', 'msuk', 'jga', 'mending', ' Unistal ']</v>
      </c>
      <c r="D1785" s="3">
        <v>1.0</v>
      </c>
    </row>
    <row r="1786" ht="15.75" customHeight="1">
      <c r="A1786" s="1">
        <v>1872.0</v>
      </c>
      <c r="B1786" s="3" t="s">
        <v>1751</v>
      </c>
      <c r="C1786" s="3" t="str">
        <f>IFERROR(__xludf.DUMMYFUNCTION("GOOGLETRANSLATE(B1786,""id"",""en"")"),"['friend', 'Group', 'Telkomsel', 'update', 'opened', 'application', 'stupid', ""]")</f>
        <v>['friend', 'Group', 'Telkomsel', 'update', 'opened', 'application', 'stupid', "]</v>
      </c>
      <c r="D1786" s="3">
        <v>1.0</v>
      </c>
    </row>
    <row r="1787" ht="15.75" customHeight="1">
      <c r="A1787" s="1">
        <v>1873.0</v>
      </c>
      <c r="B1787" s="3" t="s">
        <v>1752</v>
      </c>
      <c r="C1787" s="3" t="str">
        <f>IFERROR(__xludf.DUMMYFUNCTION("GOOGLETRANSLATE(B1787,""id"",""en"")"),"['menu', 'difficult', 'access', 'slow', 'really', 'update', ""]")</f>
        <v>['menu', 'difficult', 'access', 'slow', 'really', 'update', "]</v>
      </c>
      <c r="D1787" s="3">
        <v>1.0</v>
      </c>
    </row>
    <row r="1788" ht="15.75" customHeight="1">
      <c r="A1788" s="1">
        <v>1874.0</v>
      </c>
      <c r="B1788" s="3" t="s">
        <v>1753</v>
      </c>
      <c r="C1788" s="3" t="str">
        <f>IFERROR(__xludf.DUMMYFUNCTION("GOOGLETRANSLATE(B1788,""id"",""en"")"),"['update', 'worsens', 'quality', 'rear', '']")</f>
        <v>['update', 'worsens', 'quality', 'rear', '']</v>
      </c>
      <c r="D1788" s="3">
        <v>2.0</v>
      </c>
    </row>
    <row r="1789" ht="15.75" customHeight="1">
      <c r="A1789" s="1">
        <v>1875.0</v>
      </c>
      <c r="B1789" s="3" t="s">
        <v>1754</v>
      </c>
      <c r="C1789" s="3" t="str">
        <f>IFERROR(__xludf.DUMMYFUNCTION("GOOGLETRANSLATE(B1789,""id"",""en"")"),"['Heaven', 'updated', 'Login', 'APK', 'GUAAA', '']")</f>
        <v>['Heaven', 'updated', 'Login', 'APK', 'GUAAA', '']</v>
      </c>
      <c r="D1789" s="3">
        <v>1.0</v>
      </c>
    </row>
    <row r="1790" ht="15.75" customHeight="1">
      <c r="A1790" s="1">
        <v>1876.0</v>
      </c>
      <c r="B1790" s="3" t="s">
        <v>1755</v>
      </c>
      <c r="C1790" s="3" t="str">
        <f>IFERROR(__xludf.DUMMYFUNCTION("GOOGLETRANSLATE(B1790,""id"",""en"")"),"['star']")</f>
        <v>['star']</v>
      </c>
      <c r="D1790" s="3">
        <v>3.0</v>
      </c>
    </row>
    <row r="1791" ht="15.75" customHeight="1">
      <c r="A1791" s="1">
        <v>1877.0</v>
      </c>
      <c r="B1791" s="3" t="s">
        <v>1756</v>
      </c>
      <c r="C1791" s="3" t="str">
        <f>IFERROR(__xludf.DUMMYFUNCTION("GOOGLETRANSLATE(B1791,""id"",""en"")"),"['', 'upgrade', 'poor', 'gabisa', 'entry']")</f>
        <v>['', 'upgrade', 'poor', 'gabisa', 'entry']</v>
      </c>
      <c r="D1791" s="3">
        <v>1.0</v>
      </c>
    </row>
    <row r="1792" ht="15.75" customHeight="1">
      <c r="A1792" s="1">
        <v>1878.0</v>
      </c>
      <c r="B1792" s="3" t="s">
        <v>1757</v>
      </c>
      <c r="C1792" s="3" t="str">
        <f>IFERROR(__xludf.DUMMYFUNCTION("GOOGLETRANSLATE(B1792,""id"",""en"")"),"['Severe', 'Indihome', 'GMNA', 'Login', 'Downgrad', 'Deliberate', 'Urest', 'Ajh', 'Gini', 'Indihome']")</f>
        <v>['Severe', 'Indihome', 'GMNA', 'Login', 'Downgrad', 'Deliberate', 'Urest', 'Ajh', 'Gini', 'Indihome']</v>
      </c>
      <c r="D1792" s="3">
        <v>1.0</v>
      </c>
    </row>
    <row r="1793" ht="15.75" customHeight="1">
      <c r="A1793" s="1">
        <v>1879.0</v>
      </c>
      <c r="B1793" s="3" t="s">
        <v>1758</v>
      </c>
      <c r="C1793" s="3" t="str">
        <f>IFERROR(__xludf.DUMMYFUNCTION("GOOGLETRANSLATE(B1793,""id"",""en"")"),"['Blm', 'Perfect', 'The application', 'Mending', 'Update', 'Ribet', 'skrg']")</f>
        <v>['Blm', 'Perfect', 'The application', 'Mending', 'Update', 'Ribet', 'skrg']</v>
      </c>
      <c r="D1793" s="3">
        <v>1.0</v>
      </c>
    </row>
    <row r="1794" ht="15.75" customHeight="1">
      <c r="A1794" s="1">
        <v>1881.0</v>
      </c>
      <c r="B1794" s="3" t="s">
        <v>1759</v>
      </c>
      <c r="C1794" s="3" t="str">
        <f>IFERROR(__xludf.DUMMYFUNCTION("GOOGLETRANSLATE(B1794,""id"",""en"")"),"['response', 'complaint', 'fast']")</f>
        <v>['response', 'complaint', 'fast']</v>
      </c>
      <c r="D1794" s="3">
        <v>5.0</v>
      </c>
    </row>
    <row r="1795" ht="15.75" customHeight="1">
      <c r="A1795" s="1">
        <v>1882.0</v>
      </c>
      <c r="B1795" s="3" t="s">
        <v>1760</v>
      </c>
      <c r="C1795" s="3" t="str">
        <f>IFERROR(__xludf.DUMMYFUNCTION("GOOGLETRANSLATE(B1795,""id"",""en"")"),"['Payment', 'Payment', 'Constrained', 'Application', 'Login', 'Severe', 'Very', 'Ayooo', 'Stop', 'Subscribe', 'Indihome']")</f>
        <v>['Payment', 'Payment', 'Constrained', 'Application', 'Login', 'Severe', 'Very', 'Ayooo', 'Stop', 'Subscribe', 'Indihome']</v>
      </c>
      <c r="D1795" s="3">
        <v>1.0</v>
      </c>
    </row>
    <row r="1796" ht="15.75" customHeight="1">
      <c r="A1796" s="1">
        <v>1883.0</v>
      </c>
      <c r="B1796" s="3" t="s">
        <v>39</v>
      </c>
      <c r="C1796" s="3" t="str">
        <f>IFERROR(__xludf.DUMMYFUNCTION("GOOGLETRANSLATE(B1796,""id"",""en"")"),"['Application', 'slow']")</f>
        <v>['Application', 'slow']</v>
      </c>
      <c r="D1796" s="3">
        <v>1.0</v>
      </c>
    </row>
    <row r="1797" ht="15.75" customHeight="1">
      <c r="A1797" s="1">
        <v>1884.0</v>
      </c>
      <c r="B1797" s="3" t="s">
        <v>1761</v>
      </c>
      <c r="C1797" s="3" t="str">
        <f>IFERROR(__xludf.DUMMYFUNCTION("GOOGLETRANSLATE(B1797,""id"",""en"")"),"['application', 'gabisa', 'accessed', 'account', 'pdhl', 'see', 'status', 'bill', 'pay', 'mbanking', 'tokped', 'gabisa']")</f>
        <v>['application', 'gabisa', 'accessed', 'account', 'pdhl', 'see', 'status', 'bill', 'pay', 'mbanking', 'tokped', 'gabisa']</v>
      </c>
      <c r="D1797" s="3">
        <v>1.0</v>
      </c>
    </row>
    <row r="1798" ht="15.75" customHeight="1">
      <c r="A1798" s="1">
        <v>1885.0</v>
      </c>
      <c r="B1798" s="3" t="s">
        <v>1762</v>
      </c>
      <c r="C1798" s="3" t="str">
        <f>IFERROR(__xludf.DUMMYFUNCTION("GOOGLETRANSLATE(B1798,""id"",""en"")"),"['Very', 'gift', 'promo', 'crowded', 'point']")</f>
        <v>['Very', 'gift', 'promo', 'crowded', 'point']</v>
      </c>
      <c r="D1798" s="3">
        <v>5.0</v>
      </c>
    </row>
    <row r="1799" ht="15.75" customHeight="1">
      <c r="A1799" s="1">
        <v>1886.0</v>
      </c>
      <c r="B1799" s="3" t="s">
        <v>1763</v>
      </c>
      <c r="C1799" s="3" t="str">
        <f>IFERROR(__xludf.DUMMYFUNCTION("GOOGLETRANSLATE(B1799,""id"",""en"")"),"['Indihome', 'Kayak', 'Maintenance', 'Quality', 'Network', 'Internet', 'Satisfying', 'Please', 'Corrected', 'Bener', 'Him']")</f>
        <v>['Indihome', 'Kayak', 'Maintenance', 'Quality', 'Network', 'Internet', 'Satisfying', 'Please', 'Corrected', 'Bener', 'Him']</v>
      </c>
      <c r="D1799" s="3">
        <v>5.0</v>
      </c>
    </row>
    <row r="1800" ht="15.75" customHeight="1">
      <c r="A1800" s="1">
        <v>1887.0</v>
      </c>
      <c r="B1800" s="3" t="s">
        <v>1764</v>
      </c>
      <c r="C1800" s="3" t="str">
        <f>IFERROR(__xludf.DUMMYFUNCTION("GOOGLETRANSLATE(B1800,""id"",""en"")"),"['Display', 'easy', 'understood', 'update', 'latest', 'enhanced', 'in the future', 'easy', 'update', 'newest', 'emang', 'slow', ' Stage ',' improvement ',' service ',' in the future ']")</f>
        <v>['Display', 'easy', 'understood', 'update', 'latest', 'enhanced', 'in the future', 'easy', 'update', 'newest', 'emang', 'slow', ' Stage ',' improvement ',' service ',' in the future ']</v>
      </c>
      <c r="D1800" s="3">
        <v>5.0</v>
      </c>
    </row>
    <row r="1801" ht="15.75" customHeight="1">
      <c r="A1801" s="1">
        <v>1888.0</v>
      </c>
      <c r="B1801" s="3" t="s">
        <v>1765</v>
      </c>
      <c r="C1801" s="3" t="str">
        <f>IFERROR(__xludf.DUMMYFUNCTION("GOOGLETRANSLATE(B1801,""id"",""en"")"),"['update', 'ugly', 'beforex', 'see', 'indihome', 'sya', 'already', 'paid out', 'belom', 'tagihux', 'TPI', 'confusing', ' Miss', 'complicated', 'Hadeh', 'number', 'Bill', 'mustx', 'already', 'registered', 'check', 'Where', '']")</f>
        <v>['update', 'ugly', 'beforex', 'see', 'indihome', 'sya', 'already', 'paid out', 'belom', 'tagihux', 'TPI', 'confusing', ' Miss', 'complicated', 'Hadeh', 'number', 'Bill', 'mustx', 'already', 'registered', 'check', 'Where', '']</v>
      </c>
      <c r="D1801" s="3">
        <v>1.0</v>
      </c>
    </row>
    <row r="1802" ht="15.75" customHeight="1">
      <c r="A1802" s="1">
        <v>1889.0</v>
      </c>
      <c r="B1802" s="3" t="s">
        <v>1766</v>
      </c>
      <c r="C1802" s="3" t="str">
        <f>IFERROR(__xludf.DUMMYFUNCTION("GOOGLETRANSLATE(B1802,""id"",""en"")"),"['Vangke', 'Login', 'Network', 'Good', 'Muter', 'Kayak', 'Gasing']")</f>
        <v>['Vangke', 'Login', 'Network', 'Good', 'Muter', 'Kayak', 'Gasing']</v>
      </c>
      <c r="D1802" s="3">
        <v>1.0</v>
      </c>
    </row>
    <row r="1803" ht="15.75" customHeight="1">
      <c r="A1803" s="1">
        <v>1890.0</v>
      </c>
      <c r="B1803" s="3" t="s">
        <v>1767</v>
      </c>
      <c r="C1803" s="3" t="str">
        <f>IFERROR(__xludf.DUMMYFUNCTION("GOOGLETRANSLATE(B1803,""id"",""en"")"),"['update', 'application', 'newest', 'ugly', 'loading', 'displays', 'menu', 'application', '']")</f>
        <v>['update', 'application', 'newest', 'ugly', 'loading', 'displays', 'menu', 'application', '']</v>
      </c>
      <c r="D1803" s="3">
        <v>1.0</v>
      </c>
    </row>
    <row r="1804" ht="15.75" customHeight="1">
      <c r="A1804" s="1">
        <v>1891.0</v>
      </c>
      <c r="B1804" s="3" t="s">
        <v>1623</v>
      </c>
      <c r="C1804" s="3" t="str">
        <f>IFERROR(__xludf.DUMMYFUNCTION("GOOGLETRANSLATE(B1804,""id"",""en"")"),"['difficult', 'login']")</f>
        <v>['difficult', 'login']</v>
      </c>
      <c r="D1804" s="3">
        <v>1.0</v>
      </c>
    </row>
    <row r="1805" ht="15.75" customHeight="1">
      <c r="A1805" s="1">
        <v>1892.0</v>
      </c>
      <c r="B1805" s="3" t="s">
        <v>1768</v>
      </c>
      <c r="C1805" s="3" t="str">
        <f>IFERROR(__xludf.DUMMYFUNCTION("GOOGLETRANSLATE(B1805,""id"",""en"")"),"['Updated', 'Lemoooth', 'Application', 'Good', 'Version']")</f>
        <v>['Updated', 'Lemoooth', 'Application', 'Good', 'Version']</v>
      </c>
      <c r="D1805" s="3">
        <v>1.0</v>
      </c>
    </row>
    <row r="1806" ht="15.75" customHeight="1">
      <c r="A1806" s="1">
        <v>1893.0</v>
      </c>
      <c r="B1806" s="3" t="s">
        <v>1769</v>
      </c>
      <c r="C1806" s="3" t="str">
        <f>IFERROR(__xludf.DUMMYFUNCTION("GOOGLETRANSLATE(B1806,""id"",""en"")"),"['chaotic', 'the application', 'slow']")</f>
        <v>['chaotic', 'the application', 'slow']</v>
      </c>
      <c r="D1806" s="3">
        <v>1.0</v>
      </c>
    </row>
    <row r="1807" ht="15.75" customHeight="1">
      <c r="A1807" s="1">
        <v>1894.0</v>
      </c>
      <c r="B1807" s="3" t="s">
        <v>1770</v>
      </c>
      <c r="C1807" s="3" t="str">
        <f>IFERROR(__xludf.DUMMYFUNCTION("GOOGLETRANSLATE(B1807,""id"",""en"")"),"['like', 'really', 'see', 'features', 'features', 'application']")</f>
        <v>['like', 'really', 'see', 'features', 'features', 'application']</v>
      </c>
      <c r="D1807" s="3">
        <v>5.0</v>
      </c>
    </row>
    <row r="1808" ht="15.75" customHeight="1">
      <c r="A1808" s="1">
        <v>1895.0</v>
      </c>
      <c r="B1808" s="3" t="s">
        <v>1771</v>
      </c>
      <c r="C1808" s="3" t="str">
        <f>IFERROR(__xludf.DUMMYFUNCTION("GOOGLETRANSLATE(B1808,""id"",""en"")"),"['Application', 'turn', 'Maw', 'Pay', 'said', 'disorder', 'mass',' turn ',' late ',' paid ',' was wasolated ',' fine ',' BUMN ',' ber ',' morals', 'severe', 'run out', ""]")</f>
        <v>['Application', 'turn', 'Maw', 'Pay', 'said', 'disorder', 'mass',' turn ',' late ',' paid ',' was wasolated ',' fine ',' BUMN ',' ber ',' morals', 'severe', 'run out', "]</v>
      </c>
      <c r="D1808" s="3">
        <v>1.0</v>
      </c>
    </row>
    <row r="1809" ht="15.75" customHeight="1">
      <c r="A1809" s="1">
        <v>1896.0</v>
      </c>
      <c r="B1809" s="3" t="s">
        <v>1772</v>
      </c>
      <c r="C1809" s="3" t="str">
        <f>IFERROR(__xludf.DUMMYFUNCTION("GOOGLETRANSLATE(B1809,""id"",""en"")"),"['account', 'logout', 'pass', 'login', 'difficult', 'pay', 'bill', 'update', 'app', 'good', 'ugly', 'wonder']")</f>
        <v>['account', 'logout', 'pass', 'login', 'difficult', 'pay', 'bill', 'update', 'app', 'good', 'ugly', 'wonder']</v>
      </c>
      <c r="D1809" s="3">
        <v>1.0</v>
      </c>
    </row>
    <row r="1810" ht="15.75" customHeight="1">
      <c r="A1810" s="1">
        <v>1897.0</v>
      </c>
      <c r="B1810" s="3" t="s">
        <v>1773</v>
      </c>
      <c r="C1810" s="3" t="str">
        <f>IFERROR(__xludf.DUMMYFUNCTION("GOOGLETRANSLATE(B1810,""id"",""en"")"),"['ugly', 'slow']")</f>
        <v>['ugly', 'slow']</v>
      </c>
      <c r="D1810" s="3">
        <v>1.0</v>
      </c>
    </row>
    <row r="1811" ht="15.75" customHeight="1">
      <c r="A1811" s="1">
        <v>1898.0</v>
      </c>
      <c r="B1811" s="3" t="s">
        <v>1774</v>
      </c>
      <c r="C1811" s="3" t="str">
        <f>IFERROR(__xludf.DUMMYFUNCTION("GOOGLETRANSLATE(B1811,""id"",""en"")"),"['Loading', 'Application', 'Lemott', 'Dilapidated', 'Server', 'Pay', 'TGL', 'Maintenance', 'Huftt']")</f>
        <v>['Loading', 'Application', 'Lemott', 'Dilapidated', 'Server', 'Pay', 'TGL', 'Maintenance', 'Huftt']</v>
      </c>
      <c r="D1811" s="3">
        <v>1.0</v>
      </c>
    </row>
    <row r="1812" ht="15.75" customHeight="1">
      <c r="A1812" s="1">
        <v>1899.0</v>
      </c>
      <c r="B1812" s="3" t="s">
        <v>1775</v>
      </c>
      <c r="C1812" s="3" t="str">
        <f>IFERROR(__xludf.DUMMYFUNCTION("GOOGLETRANSLATE(B1812,""id"",""en"")"),"['wahhh', 'happy', 'wear', 'application', 'easy', 'user', '']")</f>
        <v>['wahhh', 'happy', 'wear', 'application', 'easy', 'user', '']</v>
      </c>
      <c r="D1812" s="3">
        <v>5.0</v>
      </c>
    </row>
    <row r="1813" ht="15.75" customHeight="1">
      <c r="A1813" s="1">
        <v>1900.0</v>
      </c>
      <c r="B1813" s="3" t="s">
        <v>1776</v>
      </c>
      <c r="C1813" s="3" t="str">
        <f>IFERROR(__xludf.DUMMYFUNCTION("GOOGLETRANSLATE(B1813,""id"",""en"")"),"['Thankful', 'really', 'Indihome', 'Application', 'Thank you', 'Indihome']")</f>
        <v>['Thankful', 'really', 'Indihome', 'Application', 'Thank you', 'Indihome']</v>
      </c>
      <c r="D1813" s="3">
        <v>5.0</v>
      </c>
    </row>
    <row r="1814" ht="15.75" customHeight="1">
      <c r="A1814" s="1">
        <v>1901.0</v>
      </c>
      <c r="B1814" s="3" t="s">
        <v>1777</v>
      </c>
      <c r="C1814" s="3" t="str">
        <f>IFERROR(__xludf.DUMMYFUNCTION("GOOGLETRANSLATE(B1814,""id"",""en"")"),"['Ribet', 'APK']")</f>
        <v>['Ribet', 'APK']</v>
      </c>
      <c r="D1814" s="3">
        <v>1.0</v>
      </c>
    </row>
    <row r="1815" ht="15.75" customHeight="1">
      <c r="A1815" s="1">
        <v>1902.0</v>
      </c>
      <c r="B1815" s="3" t="s">
        <v>1778</v>
      </c>
      <c r="C1815" s="3" t="str">
        <f>IFERROR(__xludf.DUMMYFUNCTION("GOOGLETRANSLATE(B1815,""id"",""en"")"),"['Pay', 'WiFi', 'Indomaret', 'Alfamart', 'Reasons',' Network ',' Damaged ',' Cook ',' Pay ',' Network ',' Damaged ',' Please ',' Repaired ']")</f>
        <v>['Pay', 'WiFi', 'Indomaret', 'Alfamart', 'Reasons',' Network ',' Damaged ',' Cook ',' Pay ',' Network ',' Damaged ',' Please ',' Repaired ']</v>
      </c>
      <c r="D1815" s="3">
        <v>1.0</v>
      </c>
    </row>
    <row r="1816" ht="15.75" customHeight="1">
      <c r="A1816" s="1">
        <v>1903.0</v>
      </c>
      <c r="B1816" s="3" t="s">
        <v>1779</v>
      </c>
      <c r="C1816" s="3" t="str">
        <f>IFERROR(__xludf.DUMMYFUNCTION("GOOGLETRANSLATE(B1816,""id"",""en"")"),"['how', 'update', 'TPI', 'slow', 'checked', 'bill', 'slow', 'really', 'then', 'enter', 'login', 'number', ' Gabisa ',' Kata ',' pke ',' number ',' active ',' number ',' active ',' list ',' check ',' bill ',' luamaa ',' bagan ',' application ' , 'Updated',"&amp;" '']")</f>
        <v>['how', 'update', 'TPI', 'slow', 'checked', 'bill', 'slow', 'really', 'then', 'enter', 'login', 'number', ' Gabisa ',' Kata ',' pke ',' number ',' active ',' number ',' active ',' list ',' check ',' bill ',' luamaa ',' bagan ',' application ' , 'Updated', '']</v>
      </c>
      <c r="D1816" s="3">
        <v>1.0</v>
      </c>
    </row>
    <row r="1817" ht="15.75" customHeight="1">
      <c r="A1817" s="1">
        <v>1904.0</v>
      </c>
      <c r="B1817" s="3" t="s">
        <v>1780</v>
      </c>
      <c r="C1817" s="3" t="str">
        <f>IFERROR(__xludf.DUMMYFUNCTION("GOOGLETRANSLATE(B1817,""id"",""en"")"),"['Yesterday', 'Machine', 'Program', 'Promo', 'Take', 'Tetep', 'told', 'Pay', 'Please', 'Professionality', 'repaired', ""]")</f>
        <v>['Yesterday', 'Machine', 'Program', 'Promo', 'Take', 'Tetep', 'told', 'Pay', 'Please', 'Professionality', 'repaired', "]</v>
      </c>
      <c r="D1817" s="3">
        <v>1.0</v>
      </c>
    </row>
    <row r="1818" ht="15.75" customHeight="1">
      <c r="A1818" s="1">
        <v>1905.0</v>
      </c>
      <c r="B1818" s="3" t="s">
        <v>1781</v>
      </c>
      <c r="C1818" s="3" t="str">
        <f>IFERROR(__xludf.DUMMYFUNCTION("GOOGLETRANSLATE(B1818,""id"",""en"")"),"['Application', 'slow', 'really', 'open', 'it's good', 'version', 'Lawas', '']")</f>
        <v>['Application', 'slow', 'really', 'open', 'it's good', 'version', 'Lawas', '']</v>
      </c>
      <c r="D1818" s="3">
        <v>3.0</v>
      </c>
    </row>
    <row r="1819" ht="15.75" customHeight="1">
      <c r="A1819" s="1">
        <v>1906.0</v>
      </c>
      <c r="B1819" s="3" t="s">
        <v>1782</v>
      </c>
      <c r="C1819" s="3" t="str">
        <f>IFERROR(__xludf.DUMMYFUNCTION("GOOGLETRANSLATE(B1819,""id"",""en"")"),"['Hopefully', 'Indihome', 'advanced', 'Success']")</f>
        <v>['Hopefully', 'Indihome', 'advanced', 'Success']</v>
      </c>
      <c r="D1819" s="3">
        <v>5.0</v>
      </c>
    </row>
    <row r="1820" ht="15.75" customHeight="1">
      <c r="A1820" s="1">
        <v>1907.0</v>
      </c>
      <c r="B1820" s="3" t="s">
        <v>1783</v>
      </c>
      <c r="C1820" s="3" t="str">
        <f>IFERROR(__xludf.DUMMYFUNCTION("GOOGLETRANSLATE(B1820,""id"",""en"")"),"['Check', 'user', 'giman']")</f>
        <v>['Check', 'user', 'giman']</v>
      </c>
      <c r="D1820" s="3">
        <v>3.0</v>
      </c>
    </row>
    <row r="1821" ht="15.75" customHeight="1">
      <c r="A1821" s="1">
        <v>1908.0</v>
      </c>
      <c r="B1821" s="3" t="s">
        <v>1784</v>
      </c>
      <c r="C1821" s="3" t="str">
        <f>IFERROR(__xludf.DUMMYFUNCTION("GOOGLETRANSLATE(B1821,""id"",""en"")"),"['Abis', 'update', 'login', 'already', 'right', 'account', 'number', 'call', 'right', 'tetep', 'login']")</f>
        <v>['Abis', 'update', 'login', 'already', 'right', 'account', 'number', 'call', 'right', 'tetep', 'login']</v>
      </c>
      <c r="D1821" s="3">
        <v>1.0</v>
      </c>
    </row>
    <row r="1822" ht="15.75" customHeight="1">
      <c r="A1822" s="1">
        <v>1909.0</v>
      </c>
      <c r="B1822" s="3" t="s">
        <v>1785</v>
      </c>
      <c r="C1822" s="3" t="str">
        <f>IFERROR(__xludf.DUMMYFUNCTION("GOOGLETRANSLATE(B1822,""id"",""en"")"),"['update', 'the latest', 'slow', 'login', 'hard', 'forgiveness', 'application', 'indihome', '']")</f>
        <v>['update', 'the latest', 'slow', 'login', 'hard', 'forgiveness', 'application', 'indihome', '']</v>
      </c>
      <c r="D1822" s="3">
        <v>1.0</v>
      </c>
    </row>
    <row r="1823" ht="15.75" customHeight="1">
      <c r="A1823" s="1">
        <v>1910.0</v>
      </c>
      <c r="B1823" s="3" t="s">
        <v>1786</v>
      </c>
      <c r="C1823" s="3" t="str">
        <f>IFERROR(__xludf.DUMMYFUNCTION("GOOGLETRANSLATE(B1823,""id"",""en"")"),"['Mission', 'Indihome', 'Solution', 'Indihome', 'Pay', 'Monthly', 'Number', 'Fear', 'date', 'connection', 'turned off', 'get', ' Fines', 'solution', '']")</f>
        <v>['Mission', 'Indihome', 'Solution', 'Indihome', 'Pay', 'Monthly', 'Number', 'Fear', 'date', 'connection', 'turned off', 'get', ' Fines', 'solution', '']</v>
      </c>
      <c r="D1823" s="3">
        <v>2.0</v>
      </c>
    </row>
    <row r="1824" ht="15.75" customHeight="1">
      <c r="A1824" s="1">
        <v>1911.0</v>
      </c>
      <c r="B1824" s="3" t="s">
        <v>1787</v>
      </c>
      <c r="C1824" s="3" t="str">
        <f>IFERROR(__xludf.DUMMYFUNCTION("GOOGLETRANSLATE(B1824,""id"",""en"")"),"['Cool', 'Bange', 'APK', 'Indihom', 'SKR', 'balance', 'features', 'complete', 'terbimah', 'love', 'indihom']")</f>
        <v>['Cool', 'Bange', 'APK', 'Indihom', 'SKR', 'balance', 'features', 'complete', 'terbimah', 'love', 'indihom']</v>
      </c>
      <c r="D1824" s="3">
        <v>5.0</v>
      </c>
    </row>
    <row r="1825" ht="15.75" customHeight="1">
      <c r="A1825" s="1">
        <v>1913.0</v>
      </c>
      <c r="B1825" s="3" t="s">
        <v>1788</v>
      </c>
      <c r="C1825" s="3" t="str">
        <f>IFERROR(__xludf.DUMMYFUNCTION("GOOGLETRANSLATE(B1825,""id"",""en"")"),"['run', 'smooth', 'security', 'his account', 'good', 'verification', 'choose', 'pakek', 'sms', ""]")</f>
        <v>['run', 'smooth', 'security', 'his account', 'good', 'verification', 'choose', 'pakek', 'sms', "]</v>
      </c>
      <c r="D1825" s="3">
        <v>5.0</v>
      </c>
    </row>
    <row r="1826" ht="15.75" customHeight="1">
      <c r="A1826" s="1">
        <v>1914.0</v>
      </c>
      <c r="B1826" s="3" t="s">
        <v>1789</v>
      </c>
      <c r="C1826" s="3" t="str">
        <f>IFERROR(__xludf.DUMMYFUNCTION("GOOGLETRANSLATE(B1826,""id"",""en"")"),"['Update', 'Difficult', 'Login', 'Severe', 'Ajah']")</f>
        <v>['Update', 'Difficult', 'Login', 'Severe', 'Ajah']</v>
      </c>
      <c r="D1826" s="3">
        <v>1.0</v>
      </c>
    </row>
    <row r="1827" ht="15.75" customHeight="1">
      <c r="A1827" s="1">
        <v>1915.0</v>
      </c>
      <c r="B1827" s="3" t="s">
        <v>1790</v>
      </c>
      <c r="C1827" s="3" t="str">
        <f>IFERROR(__xludf.DUMMYFUNCTION("GOOGLETRANSLATE(B1827,""id"",""en"")"),"['Good', 'Display', 'Vitur', 'Live', 'Complete', 'Information', 'Customer', 'Smakin', 'Satisfied', 'TRS', 'Imprecial', 'Bug', ' Heavy ',' application ',' ']")</f>
        <v>['Good', 'Display', 'Vitur', 'Live', 'Complete', 'Information', 'Customer', 'Smakin', 'Satisfied', 'TRS', 'Imprecial', 'Bug', ' Heavy ',' application ',' ']</v>
      </c>
      <c r="D1827" s="3">
        <v>5.0</v>
      </c>
    </row>
    <row r="1828" ht="15.75" customHeight="1">
      <c r="A1828" s="1">
        <v>1916.0</v>
      </c>
      <c r="B1828" s="3" t="s">
        <v>1791</v>
      </c>
      <c r="C1828" s="3" t="str">
        <f>IFERROR(__xludf.DUMMYFUNCTION("GOOGLETRANSLATE(B1828,""id"",""en"")"),"['Cukkkk', 'intention', 'masang', 'already', 'installed', 'wifi', '']")</f>
        <v>['Cukkkk', 'intention', 'masang', 'already', 'installed', 'wifi', '']</v>
      </c>
      <c r="D1828" s="3">
        <v>1.0</v>
      </c>
    </row>
    <row r="1829" ht="15.75" customHeight="1">
      <c r="A1829" s="1">
        <v>1917.0</v>
      </c>
      <c r="B1829" s="3" t="s">
        <v>1792</v>
      </c>
      <c r="C1829" s="3" t="str">
        <f>IFERROR(__xludf.DUMMYFUNCTION("GOOGLETRANSLATE(B1829,""id"",""en"")"),"['Display', 'lbh', 'cool', 'smg', 'service', 'indihome', 'smooth', 'trs', 'lbh', 'lgi', 'in the future', '']")</f>
        <v>['Display', 'lbh', 'cool', 'smg', 'service', 'indihome', 'smooth', 'trs', 'lbh', 'lgi', 'in the future', '']</v>
      </c>
      <c r="D1829" s="3">
        <v>5.0</v>
      </c>
    </row>
    <row r="1830" ht="15.75" customHeight="1">
      <c r="A1830" s="1">
        <v>1918.0</v>
      </c>
      <c r="B1830" s="3" t="s">
        <v>1793</v>
      </c>
      <c r="C1830" s="3" t="str">
        <f>IFERROR(__xludf.DUMMYFUNCTION("GOOGLETRANSLATE(B1830,""id"",""en"")"),"['Good', 'Helpful', 'Help']")</f>
        <v>['Good', 'Helpful', 'Help']</v>
      </c>
      <c r="D1830" s="3">
        <v>5.0</v>
      </c>
    </row>
    <row r="1831" ht="15.75" customHeight="1">
      <c r="A1831" s="1">
        <v>1919.0</v>
      </c>
      <c r="B1831" s="3" t="s">
        <v>1794</v>
      </c>
      <c r="C1831" s="3" t="str">
        <f>IFERROR(__xludf.DUMMYFUNCTION("GOOGLETRANSLATE(B1831,""id"",""en"")"),"['Lemot', 'App']")</f>
        <v>['Lemot', 'App']</v>
      </c>
      <c r="D1831" s="3">
        <v>2.0</v>
      </c>
    </row>
    <row r="1832" ht="15.75" customHeight="1">
      <c r="A1832" s="1">
        <v>1920.0</v>
      </c>
      <c r="B1832" s="3" t="s">
        <v>1795</v>
      </c>
      <c r="C1832" s="3" t="str">
        <f>IFERROR(__xludf.DUMMYFUNCTION("GOOGLETRANSLATE(B1832,""id"",""en"")"),"['Severe', 'mess',' already ',' bagkkrut ',' kah ',' rich ',' Garuda ',' love ',' private ',' try ',' all-round ',' Yahud ',' ']")</f>
        <v>['Severe', 'mess',' already ',' bagkkrut ',' kah ',' rich ',' Garuda ',' love ',' private ',' try ',' all-round ',' Yahud ',' ']</v>
      </c>
      <c r="D1832" s="3">
        <v>1.0</v>
      </c>
    </row>
    <row r="1833" ht="15.75" customHeight="1">
      <c r="A1833" s="1">
        <v>1921.0</v>
      </c>
      <c r="B1833" s="3" t="s">
        <v>1796</v>
      </c>
      <c r="C1833" s="3" t="str">
        <f>IFERROR(__xludf.DUMMYFUNCTION("GOOGLETRANSLATE(B1833,""id"",""en"")"),"['Alhamdulillah', '']")</f>
        <v>['Alhamdulillah', '']</v>
      </c>
      <c r="D1833" s="3">
        <v>5.0</v>
      </c>
    </row>
    <row r="1834" ht="15.75" customHeight="1">
      <c r="A1834" s="1">
        <v>1922.0</v>
      </c>
      <c r="B1834" s="3" t="s">
        <v>1797</v>
      </c>
      <c r="C1834" s="3" t="str">
        <f>IFERROR(__xludf.DUMMYFUNCTION("GOOGLETRANSLATE(B1834,""id"",""en"")"),"['Log', 'out', 'heavy', 'loading', 'bug', 'stamil', 'bnyak', 'drawback', 'app', 'sdah', 'simple', 'height', ' Skrang ',' difficult ',' bnyak ',' ad ',' promo ',' hnya ',' compensation ',' app ',' simple ',' like ',' return ',' app ',' dlu ' , '']")</f>
        <v>['Log', 'out', 'heavy', 'loading', 'bug', 'stamil', 'bnyak', 'drawback', 'app', 'sdah', 'simple', 'height', ' Skrang ',' difficult ',' bnyak ',' ad ',' promo ',' hnya ',' compensation ',' app ',' simple ',' like ',' return ',' app ',' dlu ' , '']</v>
      </c>
      <c r="D1834" s="3">
        <v>1.0</v>
      </c>
    </row>
    <row r="1835" ht="15.75" customHeight="1">
      <c r="A1835" s="1">
        <v>1923.0</v>
      </c>
      <c r="B1835" s="3" t="s">
        <v>1798</v>
      </c>
      <c r="C1835" s="3" t="str">
        <f>IFERROR(__xludf.DUMMYFUNCTION("GOOGLETRANSLATE(B1835,""id"",""en"")"),"['The network', 'stable', 'really', 'smooth', 'school', 'online']")</f>
        <v>['The network', 'stable', 'really', 'smooth', 'school', 'online']</v>
      </c>
      <c r="D1835" s="3">
        <v>5.0</v>
      </c>
    </row>
    <row r="1836" ht="15.75" customHeight="1">
      <c r="A1836" s="1">
        <v>1924.0</v>
      </c>
      <c r="B1836" s="3" t="s">
        <v>1799</v>
      </c>
      <c r="C1836" s="3" t="str">
        <f>IFERROR(__xludf.DUMMYFUNCTION("GOOGLETRANSLATE(B1836,""id"",""en"")"),"['application', 'slow', 'quality', 'updated', 'tmbah', 'severe', 'slow', 'pay', 'etc.', 'application', 'garbage']")</f>
        <v>['application', 'slow', 'quality', 'updated', 'tmbah', 'severe', 'slow', 'pay', 'etc.', 'application', 'garbage']</v>
      </c>
      <c r="D1836" s="3">
        <v>1.0</v>
      </c>
    </row>
    <row r="1837" ht="15.75" customHeight="1">
      <c r="A1837" s="1">
        <v>1925.0</v>
      </c>
      <c r="B1837" s="3" t="s">
        <v>1800</v>
      </c>
      <c r="C1837" s="3" t="str">
        <f>IFERROR(__xludf.DUMMYFUNCTION("GOOGLETRANSLATE(B1837,""id"",""en"")"),"['Application', 'Problem']")</f>
        <v>['Application', 'Problem']</v>
      </c>
      <c r="D1837" s="3">
        <v>1.0</v>
      </c>
    </row>
    <row r="1838" ht="15.75" customHeight="1">
      <c r="A1838" s="1">
        <v>1926.0</v>
      </c>
      <c r="B1838" s="3" t="s">
        <v>1801</v>
      </c>
      <c r="C1838" s="3" t="str">
        <f>IFERROR(__xludf.DUMMYFUNCTION("GOOGLETRANSLATE(B1838,""id"",""en"")"),"['Indihome', 'mantaaaaap', 'try']")</f>
        <v>['Indihome', 'mantaaaaap', 'try']</v>
      </c>
      <c r="D1838" s="3">
        <v>5.0</v>
      </c>
    </row>
    <row r="1839" ht="15.75" customHeight="1">
      <c r="A1839" s="1">
        <v>1927.0</v>
      </c>
      <c r="B1839" s="3" t="s">
        <v>1802</v>
      </c>
      <c r="C1839" s="3" t="str">
        <f>IFERROR(__xludf.DUMMYFUNCTION("GOOGLETRANSLATE(B1839,""id"",""en"")"),"['APK', 'Myindihome', 'Check', 'Bill', 'JML', 'Bill', 'Paid', 'Update', 'Latest', 'APK', 'Heavy', 'Slow', ' yaa ',' menu ',' jml ',' bill ',' opened ',' think ',' omitted ',' hope ',' repair ',' open ',' apk ',' update ',' newest ' , 'Login', 'Fortunately"&amp;"', 'write', 'password', 'closet', 'clothes', 'hope', 'repair']")</f>
        <v>['APK', 'Myindihome', 'Check', 'Bill', 'JML', 'Bill', 'Paid', 'Update', 'Latest', 'APK', 'Heavy', 'Slow', ' yaa ',' menu ',' jml ',' bill ',' opened ',' think ',' omitted ',' hope ',' repair ',' open ',' apk ',' update ',' newest ' , 'Login', 'Fortunately', 'write', 'password', 'closet', 'clothes', 'hope', 'repair']</v>
      </c>
      <c r="D1839" s="3">
        <v>4.0</v>
      </c>
    </row>
    <row r="1840" ht="15.75" customHeight="1">
      <c r="A1840" s="1">
        <v>1928.0</v>
      </c>
      <c r="B1840" s="3" t="s">
        <v>1803</v>
      </c>
      <c r="C1840" s="3" t="str">
        <f>IFERROR(__xludf.DUMMYFUNCTION("GOOGLETRANSLATE(B1840,""id"",""en"")"),"['Jooss']")</f>
        <v>['Jooss']</v>
      </c>
      <c r="D1840" s="3">
        <v>5.0</v>
      </c>
    </row>
    <row r="1841" ht="15.75" customHeight="1">
      <c r="A1841" s="1">
        <v>1929.0</v>
      </c>
      <c r="B1841" s="3" t="s">
        <v>1804</v>
      </c>
      <c r="C1841" s="3" t="str">
        <f>IFERROR(__xludf.DUMMYFUNCTION("GOOGLETRANSLATE(B1841,""id"",""en"")"),"['report', 'Direct', 'responded', '']")</f>
        <v>['report', 'Direct', 'responded', '']</v>
      </c>
      <c r="D1841" s="3">
        <v>5.0</v>
      </c>
    </row>
    <row r="1842" ht="15.75" customHeight="1">
      <c r="A1842" s="1">
        <v>1930.0</v>
      </c>
      <c r="B1842" s="3" t="s">
        <v>1805</v>
      </c>
      <c r="C1842" s="3" t="str">
        <f>IFERROR(__xludf.DUMMYFUNCTION("GOOGLETRANSLATE(B1842,""id"",""en"")"),"['Error', 'intention', 'Disband']")</f>
        <v>['Error', 'intention', 'Disband']</v>
      </c>
      <c r="D1842" s="3">
        <v>1.0</v>
      </c>
    </row>
    <row r="1843" ht="15.75" customHeight="1">
      <c r="A1843" s="1">
        <v>1931.0</v>
      </c>
      <c r="B1843" s="3" t="s">
        <v>1806</v>
      </c>
      <c r="C1843" s="3" t="str">
        <f>IFERROR(__xludf.DUMMYFUNCTION("GOOGLETRANSLATE(B1843,""id"",""en"")"),"['application', 'slow', 'complete', 'features', 'payment', 'number', 'number', 'pay', 'number']")</f>
        <v>['application', 'slow', 'complete', 'features', 'payment', 'number', 'number', 'pay', 'number']</v>
      </c>
      <c r="D1843" s="3">
        <v>4.0</v>
      </c>
    </row>
    <row r="1844" ht="15.75" customHeight="1">
      <c r="A1844" s="1">
        <v>1932.0</v>
      </c>
      <c r="B1844" s="3" t="s">
        <v>1807</v>
      </c>
      <c r="C1844" s="3" t="str">
        <f>IFERROR(__xludf.DUMMYFUNCTION("GOOGLETRANSLATE(B1844,""id"",""en"")"),"['Cool', 'anti', 'slow', 'network', 'stable', 'loss', 'use', 'indihome']")</f>
        <v>['Cool', 'anti', 'slow', 'network', 'stable', 'loss', 'use', 'indihome']</v>
      </c>
      <c r="D1844" s="3">
        <v>5.0</v>
      </c>
    </row>
    <row r="1845" ht="15.75" customHeight="1">
      <c r="A1845" s="1">
        <v>1933.0</v>
      </c>
      <c r="B1845" s="3" t="s">
        <v>1808</v>
      </c>
      <c r="C1845" s="3" t="str">
        <f>IFERROR(__xludf.DUMMYFUNCTION("GOOGLETRANSLATE(B1845,""id"",""en"")"),"['Application', 'Lamban', 'Loading', 'Error', 'Information', 'Basic', 'Needed', 'Customer', 'Indihome', 'Serving', 'Complaints',' Consumer ',' Good ',' application ',' ']")</f>
        <v>['Application', 'Lamban', 'Loading', 'Error', 'Information', 'Basic', 'Needed', 'Customer', 'Indihome', 'Serving', 'Complaints',' Consumer ',' Good ',' application ',' ']</v>
      </c>
      <c r="D1845" s="3">
        <v>1.0</v>
      </c>
    </row>
    <row r="1846" ht="15.75" customHeight="1">
      <c r="A1846" s="1">
        <v>1934.0</v>
      </c>
      <c r="B1846" s="3" t="s">
        <v>1809</v>
      </c>
      <c r="C1846" s="3" t="str">
        <f>IFERROR(__xludf.DUMMYFUNCTION("GOOGLETRANSLATE(B1846,""id"",""en"")"),"['Lose', 'Bewan', 'Ilham']")</f>
        <v>['Lose', 'Bewan', 'Ilham']</v>
      </c>
      <c r="D1846" s="3">
        <v>1.0</v>
      </c>
    </row>
    <row r="1847" ht="15.75" customHeight="1">
      <c r="A1847" s="1">
        <v>1935.0</v>
      </c>
      <c r="B1847" s="3" t="s">
        <v>1810</v>
      </c>
      <c r="C1847" s="3" t="str">
        <f>IFERROR(__xludf.DUMMYFUNCTION("GOOGLETRANSLATE(B1847,""id"",""en"")"),"['It's easy', 'really', 'installation', 'wifinya', 'cool', 'deh']")</f>
        <v>['It's easy', 'really', 'installation', 'wifinya', 'cool', 'deh']</v>
      </c>
      <c r="D1847" s="3">
        <v>5.0</v>
      </c>
    </row>
    <row r="1848" ht="15.75" customHeight="1">
      <c r="A1848" s="1">
        <v>1936.0</v>
      </c>
      <c r="B1848" s="3" t="s">
        <v>1811</v>
      </c>
      <c r="C1848" s="3" t="str">
        <f>IFERROR(__xludf.DUMMYFUNCTION("GOOGLETRANSLATE(B1848,""id"",""en"")"),"['Thank God', 'Thanks', 'Easy', 'Calling', 'Technician']")</f>
        <v>['Thank God', 'Thanks', 'Easy', 'Calling', 'Technician']</v>
      </c>
      <c r="D1848" s="3">
        <v>5.0</v>
      </c>
    </row>
    <row r="1849" ht="15.75" customHeight="1">
      <c r="A1849" s="1">
        <v>1937.0</v>
      </c>
      <c r="B1849" s="3" t="s">
        <v>1812</v>
      </c>
      <c r="C1849" s="3" t="str">
        <f>IFERROR(__xludf.DUMMYFUNCTION("GOOGLETRANSLATE(B1849,""id"",""en"")"),"['Thank you', 'Indihome', 'Network', 'wifi', 'issue', 'money', 'sosmed', 'apk', 'indihome', 'satisfied', 'because' easily ',' Method ',' payment ']")</f>
        <v>['Thank you', 'Indihome', 'Network', 'wifi', 'issue', 'money', 'sosmed', 'apk', 'indihome', 'satisfied', 'because' easily ',' Method ',' payment ']</v>
      </c>
      <c r="D1849" s="3">
        <v>5.0</v>
      </c>
    </row>
    <row r="1850" ht="15.75" customHeight="1">
      <c r="A1850" s="1">
        <v>1938.0</v>
      </c>
      <c r="B1850" s="3" t="s">
        <v>1813</v>
      </c>
      <c r="C1850" s="3" t="str">
        <f>IFERROR(__xludf.DUMMYFUNCTION("GOOGLETRANSLATE(B1850,""id"",""en"")"),"['Salah', 'Select', 'Use', 'Indihome', 'Reliable', 'Streming', 'Current', 'Use', 'Indihome']")</f>
        <v>['Salah', 'Select', 'Use', 'Indihome', 'Reliable', 'Streming', 'Current', 'Use', 'Indihome']</v>
      </c>
      <c r="D1850" s="3">
        <v>5.0</v>
      </c>
    </row>
    <row r="1851" ht="15.75" customHeight="1">
      <c r="A1851" s="1">
        <v>1939.0</v>
      </c>
      <c r="B1851" s="3" t="s">
        <v>1814</v>
      </c>
      <c r="C1851" s="3" t="str">
        <f>IFERROR(__xludf.DUMMYFUNCTION("GOOGLETRANSLATE(B1851,""id"",""en"")"),"['update', 'msh', 'ajaaa', 'udh', 'update', 'slow', 'login', 'reset', 'tough', 'forgiveness',' account ',' get ',' isolir ',' Gara ',' late ',' a day ',' dibyr ',' msh ',' blm ',' opened ',' isoir ',' pdhl ',' late ',' paid ',' gabisa ' , 'subscribe', 'di"&amp;"vidio', 'difficult', 'activated', 'package', 'premium', 'please', 'fix', 'open', 'account', 'wasoiled']")</f>
        <v>['update', 'msh', 'ajaaa', 'udh', 'update', 'slow', 'login', 'reset', 'tough', 'forgiveness',' account ',' get ',' isolir ',' Gara ',' late ',' a day ',' dibyr ',' msh ',' blm ',' opened ',' isoir ',' pdhl ',' late ',' paid ',' gabisa ' , 'subscribe', 'dividio', 'difficult', 'activated', 'package', 'premium', 'please', 'fix', 'open', 'account', 'wasoiled']</v>
      </c>
      <c r="D1851" s="3">
        <v>4.0</v>
      </c>
    </row>
    <row r="1852" ht="15.75" customHeight="1">
      <c r="A1852" s="1">
        <v>1940.0</v>
      </c>
      <c r="B1852" s="3" t="s">
        <v>1815</v>
      </c>
      <c r="C1852" s="3" t="str">
        <f>IFERROR(__xludf.DUMMYFUNCTION("GOOGLETRANSLATE(B1852,""id"",""en"")"),"['Indihome', 'Pay', 'date', 'Must', 'Disorders', 'Pay', 'haduhhhhh', 'Wes', 'signal', 'mbuletttt']")</f>
        <v>['Indihome', 'Pay', 'date', 'Must', 'Disorders', 'Pay', 'haduhhhhh', 'Wes', 'signal', 'mbuletttt']</v>
      </c>
      <c r="D1852" s="3">
        <v>1.0</v>
      </c>
    </row>
    <row r="1853" ht="15.75" customHeight="1">
      <c r="A1853" s="1">
        <v>1941.0</v>
      </c>
      <c r="B1853" s="3" t="s">
        <v>1816</v>
      </c>
      <c r="C1853" s="3" t="str">
        <f>IFERROR(__xludf.DUMMYFUNCTION("GOOGLETRANSLATE(B1853,""id"",""en"")"),"['Good', 'help', ""]")</f>
        <v>['Good', 'help', "]</v>
      </c>
      <c r="D1853" s="3">
        <v>5.0</v>
      </c>
    </row>
    <row r="1854" ht="15.75" customHeight="1">
      <c r="A1854" s="1">
        <v>1942.0</v>
      </c>
      <c r="B1854" s="3" t="s">
        <v>1817</v>
      </c>
      <c r="C1854" s="3" t="str">
        <f>IFERROR(__xludf.DUMMYFUNCTION("GOOGLETRANSLATE(B1854,""id"",""en"")"),"['Display', 'device', 'connected']")</f>
        <v>['Display', 'device', 'connected']</v>
      </c>
      <c r="D1854" s="3">
        <v>1.0</v>
      </c>
    </row>
    <row r="1855" ht="15.75" customHeight="1">
      <c r="A1855" s="1">
        <v>1943.0</v>
      </c>
      <c r="B1855" s="3" t="s">
        <v>1818</v>
      </c>
      <c r="C1855" s="3" t="str">
        <f>IFERROR(__xludf.DUMMYFUNCTION("GOOGLETRANSLATE(B1855,""id"",""en"")"),"['Easy', 'practical', 'service', 'friendly', 'congratulation', 'indihome', 'hope', 'advanced', 'fore']")</f>
        <v>['Easy', 'practical', 'service', 'friendly', 'congratulation', 'indihome', 'hope', 'advanced', 'fore']</v>
      </c>
      <c r="D1855" s="3">
        <v>5.0</v>
      </c>
    </row>
    <row r="1856" ht="15.75" customHeight="1">
      <c r="A1856" s="1">
        <v>1944.0</v>
      </c>
      <c r="B1856" s="3" t="s">
        <v>1819</v>
      </c>
      <c r="C1856" s="3" t="str">
        <f>IFERROR(__xludf.DUMMYFUNCTION("GOOGLETRANSLATE(B1856,""id"",""en"")"),"['Then', 'Loding', 'Uninstall', 'Aza', '']")</f>
        <v>['Then', 'Loding', 'Uninstall', 'Aza', '']</v>
      </c>
      <c r="D1856" s="3">
        <v>2.0</v>
      </c>
    </row>
    <row r="1857" ht="15.75" customHeight="1">
      <c r="A1857" s="1">
        <v>1945.0</v>
      </c>
      <c r="B1857" s="3" t="s">
        <v>1820</v>
      </c>
      <c r="C1857" s="3" t="str">
        <f>IFERROR(__xludf.DUMMYFUNCTION("GOOGLETRANSLATE(B1857,""id"",""en"")"),"['bug', 'application', 'access',' account ',' difficult ',' payment ',' via ',' link ',' failed ',' please ',' fix ',' dear ',' Customers', 'nntibada', 'blur', '']")</f>
        <v>['bug', 'application', 'access',' account ',' difficult ',' payment ',' via ',' link ',' failed ',' please ',' fix ',' dear ',' Customers', 'nntibada', 'blur', '']</v>
      </c>
      <c r="D1857" s="3">
        <v>3.0</v>
      </c>
    </row>
    <row r="1858" ht="15.75" customHeight="1">
      <c r="A1858" s="1">
        <v>1946.0</v>
      </c>
      <c r="B1858" s="3" t="s">
        <v>1821</v>
      </c>
      <c r="C1858" s="3" t="str">
        <f>IFERROR(__xludf.DUMMYFUNCTION("GOOGLETRANSLATE(B1858,""id"",""en"")"),"['Application', 'WiFi', 'Lemot']")</f>
        <v>['Application', 'WiFi', 'Lemot']</v>
      </c>
      <c r="D1858" s="3">
        <v>2.0</v>
      </c>
    </row>
    <row r="1859" ht="15.75" customHeight="1">
      <c r="A1859" s="1">
        <v>1947.0</v>
      </c>
      <c r="B1859" s="3" t="s">
        <v>1822</v>
      </c>
      <c r="C1859" s="3" t="str">
        <f>IFERROR(__xludf.DUMMYFUNCTION("GOOGLETRANSLATE(B1859,""id"",""en"")"),"['wadduh', 'Juragannn', 'upgrade', 'slow', 'demanding', 'propsionalism', 'boss', '']")</f>
        <v>['wadduh', 'Juragannn', 'upgrade', 'slow', 'demanding', 'propsionalism', 'boss', '']</v>
      </c>
      <c r="D1859" s="3">
        <v>3.0</v>
      </c>
    </row>
    <row r="1860" ht="15.75" customHeight="1">
      <c r="A1860" s="1">
        <v>1948.0</v>
      </c>
      <c r="B1860" s="3" t="s">
        <v>1823</v>
      </c>
      <c r="C1860" s="3" t="str">
        <f>IFERROR(__xludf.DUMMYFUNCTION("GOOGLETRANSLATE(B1860,""id"",""en"")"),"['exciting', 'really', 'points', 'Nambah', 'promo']")</f>
        <v>['exciting', 'really', 'points', 'Nambah', 'promo']</v>
      </c>
      <c r="D1860" s="3">
        <v>5.0</v>
      </c>
    </row>
    <row r="1861" ht="15.75" customHeight="1">
      <c r="A1861" s="1">
        <v>1949.0</v>
      </c>
      <c r="B1861" s="3" t="s">
        <v>1824</v>
      </c>
      <c r="C1861" s="3" t="str">
        <f>IFERROR(__xludf.DUMMYFUNCTION("GOOGLETRANSLATE(B1861,""id"",""en"")"),"['Recommend', 'really', 'use', 'application', 'Mudab', 'payment']")</f>
        <v>['Recommend', 'really', 'use', 'application', 'Mudab', 'payment']</v>
      </c>
      <c r="D1861" s="3">
        <v>5.0</v>
      </c>
    </row>
    <row r="1862" ht="15.75" customHeight="1">
      <c r="A1862" s="1">
        <v>1950.0</v>
      </c>
      <c r="B1862" s="3" t="s">
        <v>1825</v>
      </c>
      <c r="C1862" s="3" t="str">
        <f>IFERROR(__xludf.DUMMYFUNCTION("GOOGLETRANSLATE(B1862,""id"",""en"")"),"['It's easy', '']")</f>
        <v>['It's easy', '']</v>
      </c>
      <c r="D1862" s="3">
        <v>5.0</v>
      </c>
    </row>
    <row r="1863" ht="15.75" customHeight="1">
      <c r="A1863" s="1">
        <v>1951.0</v>
      </c>
      <c r="B1863" s="3" t="s">
        <v>1826</v>
      </c>
      <c r="C1863" s="3" t="str">
        <f>IFERROR(__xludf.DUMMYFUNCTION("GOOGLETRANSLATE(B1863,""id"",""en"")"),"['chat', 'complaint', 'fast', 'response']")</f>
        <v>['chat', 'complaint', 'fast', 'response']</v>
      </c>
      <c r="D1863" s="3">
        <v>5.0</v>
      </c>
    </row>
    <row r="1864" ht="15.75" customHeight="1">
      <c r="A1864" s="1">
        <v>1952.0</v>
      </c>
      <c r="B1864" s="3" t="s">
        <v>1827</v>
      </c>
      <c r="C1864" s="3" t="str">
        <f>IFERROR(__xludf.DUMMYFUNCTION("GOOGLETRANSLATE(B1864,""id"",""en"")"),"['Use', 'Application', 'Easy', 'Liat', 'Bill']")</f>
        <v>['Use', 'Application', 'Easy', 'Liat', 'Bill']</v>
      </c>
      <c r="D1864" s="3">
        <v>5.0</v>
      </c>
    </row>
    <row r="1865" ht="15.75" customHeight="1">
      <c r="A1865" s="1">
        <v>1953.0</v>
      </c>
      <c r="B1865" s="3" t="s">
        <v>1828</v>
      </c>
      <c r="C1865" s="3" t="str">
        <f>IFERROR(__xludf.DUMMYFUNCTION("GOOGLETRANSLATE(B1865,""id"",""en"")"),"['Good', 'Cool', 'compared to', 'version', 'promo', 'program', 'newest', 'written', 'easy', 'understood']")</f>
        <v>['Good', 'Cool', 'compared to', 'version', 'promo', 'program', 'newest', 'written', 'easy', 'understood']</v>
      </c>
      <c r="D1865" s="3">
        <v>5.0</v>
      </c>
    </row>
    <row r="1866" ht="15.75" customHeight="1">
      <c r="A1866" s="1">
        <v>1954.0</v>
      </c>
      <c r="B1866" s="3" t="s">
        <v>1829</v>
      </c>
      <c r="C1866" s="3" t="str">
        <f>IFERROR(__xludf.DUMMYFUNCTION("GOOGLETRANSLATE(B1866,""id"",""en"")"),"['', 'Indihome', 'Help', 'Chanel', 'Indihome', 'Jaya']")</f>
        <v>['', 'Indihome', 'Help', 'Chanel', 'Indihome', 'Jaya']</v>
      </c>
      <c r="D1866" s="3">
        <v>5.0</v>
      </c>
    </row>
    <row r="1867" ht="15.75" customHeight="1">
      <c r="A1867" s="1">
        <v>1955.0</v>
      </c>
      <c r="B1867" s="3" t="s">
        <v>1830</v>
      </c>
      <c r="C1867" s="3" t="str">
        <f>IFERROR(__xludf.DUMMYFUNCTION("GOOGLETRANSLATE(B1867,""id"",""en"")"),"['Indihome', 'Wrong', 'Provider', 'Network', 'Internet', 'Largest', 'Indonesia', 'Reach', 'Land', 'Water', 'Sabang', 'Merauke', ' Indonesia ',' East ',' Papua ',' West ',' Helped ',' Network ',' Internet ',' Hopefully ',' In the future ',' Indihome ',' Ne"&amp;"twork ',' In the future ',' Thank you ' ]")</f>
        <v>['Indihome', 'Wrong', 'Provider', 'Network', 'Internet', 'Largest', 'Indonesia', 'Reach', 'Land', 'Water', 'Sabang', 'Merauke', ' Indonesia ',' East ',' Papua ',' West ',' Helped ',' Network ',' Internet ',' Hopefully ',' In the future ',' Indihome ',' Network ',' In the future ',' Thank you ' ]</v>
      </c>
      <c r="D1867" s="3">
        <v>5.0</v>
      </c>
    </row>
    <row r="1868" ht="15.75" customHeight="1">
      <c r="A1868" s="1">
        <v>1957.0</v>
      </c>
      <c r="B1868" s="3" t="s">
        <v>1831</v>
      </c>
      <c r="C1868" s="3" t="str">
        <f>IFERROR(__xludf.DUMMYFUNCTION("GOOGLETRANSLATE(B1868,""id"",""en"")"),"['Okk']")</f>
        <v>['Okk']</v>
      </c>
      <c r="D1868" s="3">
        <v>5.0</v>
      </c>
    </row>
    <row r="1869" ht="15.75" customHeight="1">
      <c r="A1869" s="1">
        <v>1958.0</v>
      </c>
      <c r="B1869" s="3" t="s">
        <v>1832</v>
      </c>
      <c r="C1869" s="3" t="str">
        <f>IFERROR(__xludf.DUMMYFUNCTION("GOOGLETRANSLATE(B1869,""id"",""en"")"),"['Good', 'update', 'kerenn']")</f>
        <v>['Good', 'update', 'kerenn']</v>
      </c>
      <c r="D1869" s="3">
        <v>5.0</v>
      </c>
    </row>
    <row r="1870" ht="15.75" customHeight="1">
      <c r="A1870" s="1">
        <v>1959.0</v>
      </c>
      <c r="B1870" s="3" t="s">
        <v>1833</v>
      </c>
      <c r="C1870" s="3" t="str">
        <f>IFERROR(__xludf.DUMMYFUNCTION("GOOGLETRANSLATE(B1870,""id"",""en"")"),"['Looks', 'Good', 'Cool', 'Features', 'Latest', 'Hopefully', 'In the future', 'Lebjh', 'Login']")</f>
        <v>['Looks', 'Good', 'Cool', 'Features', 'Latest', 'Hopefully', 'In the future', 'Lebjh', 'Login']</v>
      </c>
      <c r="D1870" s="3">
        <v>5.0</v>
      </c>
    </row>
    <row r="1871" ht="15.75" customHeight="1">
      <c r="A1871" s="1">
        <v>1961.0</v>
      </c>
      <c r="B1871" s="3" t="s">
        <v>1834</v>
      </c>
      <c r="C1871" s="3" t="str">
        <f>IFERROR(__xludf.DUMMYFUNCTION("GOOGLETRANSLATE(B1871,""id"",""en"")"),"['Help', 'Customer', 'Setia', 'Indihome']")</f>
        <v>['Help', 'Customer', 'Setia', 'Indihome']</v>
      </c>
      <c r="D1871" s="3">
        <v>5.0</v>
      </c>
    </row>
    <row r="1872" ht="15.75" customHeight="1">
      <c r="A1872" s="1">
        <v>1962.0</v>
      </c>
      <c r="B1872" s="3" t="s">
        <v>1835</v>
      </c>
      <c r="C1872" s="3" t="str">
        <f>IFERROR(__xludf.DUMMYFUNCTION("GOOGLETRANSLATE(B1872,""id"",""en"")"),"['Indihome', 'Far', 'delicious', 'the application', 'tasty', 'used', 'usage', 'easy', '']")</f>
        <v>['Indihome', 'Far', 'delicious', 'the application', 'tasty', 'used', 'usage', 'easy', '']</v>
      </c>
      <c r="D1872" s="3">
        <v>5.0</v>
      </c>
    </row>
    <row r="1873" ht="15.75" customHeight="1">
      <c r="A1873" s="1">
        <v>1963.0</v>
      </c>
      <c r="B1873" s="3" t="s">
        <v>1836</v>
      </c>
      <c r="C1873" s="3" t="str">
        <f>IFERROR(__xludf.DUMMYFUNCTION("GOOGLETRANSLATE(B1873,""id"",""en"")"),"['version', 'newest', 'displays', 'usage', 'approaching', 'FUP', '']")</f>
        <v>['version', 'newest', 'displays', 'usage', 'approaching', 'FUP', '']</v>
      </c>
      <c r="D1873" s="3">
        <v>2.0</v>
      </c>
    </row>
    <row r="1874" ht="15.75" customHeight="1">
      <c r="A1874" s="1">
        <v>1964.0</v>
      </c>
      <c r="B1874" s="3" t="s">
        <v>1837</v>
      </c>
      <c r="C1874" s="3" t="str">
        <f>IFERROR(__xludf.DUMMYFUNCTION("GOOGLETRANSLATE(B1874,""id"",""en"")"),"['Internet', 'smooth', 'watch', 'inflix', 'free', 'kereeennnn']")</f>
        <v>['Internet', 'smooth', 'watch', 'inflix', 'free', 'kereeennnn']</v>
      </c>
      <c r="D1874" s="3">
        <v>5.0</v>
      </c>
    </row>
    <row r="1875" ht="15.75" customHeight="1">
      <c r="A1875" s="1">
        <v>1965.0</v>
      </c>
      <c r="B1875" s="3" t="s">
        <v>1838</v>
      </c>
      <c r="C1875" s="3" t="str">
        <f>IFERROR(__xludf.DUMMYFUNCTION("GOOGLETRANSLATE(B1875,""id"",""en"")"),"['application', 'Indihome', 'makes it easier', 'payment', 'see', 'usage', 'usage', 'easy', '']")</f>
        <v>['application', 'Indihome', 'makes it easier', 'payment', 'see', 'usage', 'usage', 'easy', '']</v>
      </c>
      <c r="D1875" s="3">
        <v>5.0</v>
      </c>
    </row>
    <row r="1876" ht="15.75" customHeight="1">
      <c r="A1876" s="1">
        <v>1966.0</v>
      </c>
      <c r="B1876" s="3" t="s">
        <v>1839</v>
      </c>
      <c r="C1876" s="3" t="str">
        <f>IFERROR(__xludf.DUMMYFUNCTION("GOOGLETRANSLATE(B1876,""id"",""en"")"),"['update', 'look', 'freshhhhhh', 'steady', 'uhuy', 'staple', 'dear', 'slow', 'hold', 'increase', 'smpe', 'customer', ' comfort with you']")</f>
        <v>['update', 'look', 'freshhhhhh', 'steady', 'uhuy', 'staple', 'dear', 'slow', 'hold', 'increase', 'smpe', 'customer', ' comfort with you']</v>
      </c>
      <c r="D1876" s="3">
        <v>5.0</v>
      </c>
    </row>
    <row r="1877" ht="15.75" customHeight="1">
      <c r="A1877" s="1">
        <v>1967.0</v>
      </c>
      <c r="B1877" s="3" t="s">
        <v>1840</v>
      </c>
      <c r="C1877" s="3" t="str">
        <f>IFERROR(__xludf.DUMMYFUNCTION("GOOGLETRANSLATE(B1877,""id"",""en"")"),"['application', 'easy', 'payment', 'informative']")</f>
        <v>['application', 'easy', 'payment', 'informative']</v>
      </c>
      <c r="D1877" s="3">
        <v>5.0</v>
      </c>
    </row>
    <row r="1878" ht="15.75" customHeight="1">
      <c r="A1878" s="1">
        <v>1968.0</v>
      </c>
      <c r="B1878" s="3" t="s">
        <v>1841</v>
      </c>
      <c r="C1878" s="3" t="str">
        <f>IFERROR(__xludf.DUMMYFUNCTION("GOOGLETRANSLATE(B1878,""id"",""en"")"),"['Fast', 'response', 'disorder', 'indihomen']")</f>
        <v>['Fast', 'response', 'disorder', 'indihomen']</v>
      </c>
      <c r="D1878" s="3">
        <v>5.0</v>
      </c>
    </row>
    <row r="1879" ht="15.75" customHeight="1">
      <c r="A1879" s="1">
        <v>1970.0</v>
      </c>
      <c r="B1879" s="3" t="s">
        <v>1842</v>
      </c>
      <c r="C1879" s="3" t="str">
        <f>IFERROR(__xludf.DUMMYFUNCTION("GOOGLETRANSLATE(B1879,""id"",""en"")"),"['Ngga', 'Login']")</f>
        <v>['Ngga', 'Login']</v>
      </c>
      <c r="D1879" s="3">
        <v>1.0</v>
      </c>
    </row>
    <row r="1880" ht="15.75" customHeight="1">
      <c r="A1880" s="1">
        <v>1972.0</v>
      </c>
      <c r="B1880" s="3" t="s">
        <v>1843</v>
      </c>
      <c r="C1880" s="3" t="str">
        <f>IFERROR(__xludf.DUMMYFUNCTION("GOOGLETRANSLATE(B1880,""id"",""en"")"),"['update', 'version', 'bad', 'log', 'difficult', 'really']")</f>
        <v>['update', 'version', 'bad', 'log', 'difficult', 'really']</v>
      </c>
      <c r="D1880" s="3">
        <v>2.0</v>
      </c>
    </row>
    <row r="1881" ht="15.75" customHeight="1">
      <c r="A1881" s="1">
        <v>1973.0</v>
      </c>
      <c r="B1881" s="3" t="s">
        <v>1844</v>
      </c>
      <c r="C1881" s="3" t="str">
        <f>IFERROR(__xludf.DUMMYFUNCTION("GOOGLETRANSLATE(B1881,""id"",""en"")"),"['apk', 'rich', 'shopee', 'use', 'anything', 'tetep', 'slow']")</f>
        <v>['apk', 'rich', 'shopee', 'use', 'anything', 'tetep', 'slow']</v>
      </c>
      <c r="D1881" s="3">
        <v>1.0</v>
      </c>
    </row>
    <row r="1882" ht="15.75" customHeight="1">
      <c r="A1882" s="1">
        <v>1974.0</v>
      </c>
      <c r="B1882" s="3" t="s">
        <v>1845</v>
      </c>
      <c r="C1882" s="3" t="str">
        <f>IFERROR(__xludf.DUMMYFUNCTION("GOOGLETRANSLATE(B1882,""id"",""en"")"),"['Constraints', 'network', 'easy', 'resolved', 'complaint']")</f>
        <v>['Constraints', 'network', 'easy', 'resolved', 'complaint']</v>
      </c>
      <c r="D1882" s="3">
        <v>5.0</v>
      </c>
    </row>
    <row r="1883" ht="15.75" customHeight="1">
      <c r="A1883" s="1">
        <v>1975.0</v>
      </c>
      <c r="B1883" s="3" t="s">
        <v>1846</v>
      </c>
      <c r="C1883" s="3" t="str">
        <f>IFERROR(__xludf.DUMMYFUNCTION("GOOGLETRANSLATE(B1883,""id"",""en"")"),"['Good', 'really', 'pairs', 'wifi', 'just', 'contact', 'chat', 'the application']")</f>
        <v>['Good', 'really', 'pairs', 'wifi', 'just', 'contact', 'chat', 'the application']</v>
      </c>
      <c r="D1883" s="3">
        <v>5.0</v>
      </c>
    </row>
    <row r="1884" ht="15.75" customHeight="1">
      <c r="A1884" s="1">
        <v>1976.0</v>
      </c>
      <c r="B1884" s="3" t="s">
        <v>1847</v>
      </c>
      <c r="C1884" s="3" t="str">
        <f>IFERROR(__xludf.DUMMYFUNCTION("GOOGLETRANSLATE(B1884,""id"",""en"")"),"['Basic', 'Best', 'mah']")</f>
        <v>['Basic', 'Best', 'mah']</v>
      </c>
      <c r="D1884" s="3">
        <v>5.0</v>
      </c>
    </row>
    <row r="1885" ht="15.75" customHeight="1">
      <c r="A1885" s="1">
        <v>1977.0</v>
      </c>
      <c r="B1885" s="3" t="s">
        <v>272</v>
      </c>
      <c r="C1885" s="3" t="str">
        <f>IFERROR(__xludf.DUMMYFUNCTION("GOOGLETRANSLATE(B1885,""id"",""en"")"),"['user', 'Friendly']")</f>
        <v>['user', 'Friendly']</v>
      </c>
      <c r="D1885" s="3">
        <v>5.0</v>
      </c>
    </row>
    <row r="1886" ht="15.75" customHeight="1">
      <c r="A1886" s="1">
        <v>1978.0</v>
      </c>
      <c r="B1886" s="3" t="s">
        <v>1848</v>
      </c>
      <c r="C1886" s="3" t="str">
        <f>IFERROR(__xludf.DUMMYFUNCTION("GOOGLETRANSLATE(B1886,""id"",""en"")"),"['Display', 'Kece', 'Please', 'Increase', 'Load', 'yaa']")</f>
        <v>['Display', 'Kece', 'Please', 'Increase', 'Load', 'yaa']</v>
      </c>
      <c r="D1886" s="3">
        <v>5.0</v>
      </c>
    </row>
    <row r="1887" ht="15.75" customHeight="1">
      <c r="A1887" s="1">
        <v>1979.0</v>
      </c>
      <c r="B1887" s="3" t="s">
        <v>1849</v>
      </c>
      <c r="C1887" s="3" t="str">
        <f>IFERROR(__xludf.DUMMYFUNCTION("GOOGLETRANSLATE(B1887,""id"",""en"")"),"['Good', 'help', 'thx', 'indihome']")</f>
        <v>['Good', 'help', 'thx', 'indihome']</v>
      </c>
      <c r="D1887" s="3">
        <v>5.0</v>
      </c>
    </row>
    <row r="1888" ht="15.75" customHeight="1">
      <c r="A1888" s="1">
        <v>1980.0</v>
      </c>
      <c r="B1888" s="3" t="s">
        <v>1850</v>
      </c>
      <c r="C1888" s="3" t="str">
        <f>IFERROR(__xludf.DUMMYFUNCTION("GOOGLETRANSLATE(B1888,""id"",""en"")"),"['Good', 'update']")</f>
        <v>['Good', 'update']</v>
      </c>
      <c r="D1888" s="3">
        <v>5.0</v>
      </c>
    </row>
    <row r="1889" ht="15.75" customHeight="1">
      <c r="A1889" s="1">
        <v>1981.0</v>
      </c>
      <c r="B1889" s="3" t="s">
        <v>1851</v>
      </c>
      <c r="C1889" s="3" t="str">
        <f>IFERROR(__xludf.DUMMYFUNCTION("GOOGLETRANSLATE(B1889,""id"",""en"")"),"['access']")</f>
        <v>['access']</v>
      </c>
      <c r="D1889" s="3">
        <v>3.0</v>
      </c>
    </row>
    <row r="1890" ht="15.75" customHeight="1">
      <c r="A1890" s="1">
        <v>1982.0</v>
      </c>
      <c r="B1890" s="3" t="s">
        <v>1852</v>
      </c>
      <c r="C1890" s="3" t="str">
        <f>IFERROR(__xludf.DUMMYFUNCTION("GOOGLETRANSLATE(B1890,""id"",""en"")"),"['exciting', 'Bangat', 'use', 'Indihome', 'The network', 'easy']")</f>
        <v>['exciting', 'Bangat', 'use', 'Indihome', 'The network', 'easy']</v>
      </c>
      <c r="D1890" s="3">
        <v>5.0</v>
      </c>
    </row>
    <row r="1891" ht="15.75" customHeight="1">
      <c r="A1891" s="1">
        <v>1983.0</v>
      </c>
      <c r="B1891" s="3" t="s">
        <v>1853</v>
      </c>
      <c r="C1891" s="3" t="str">
        <f>IFERROR(__xludf.DUMMYFUNCTION("GOOGLETRANSLATE(B1891,""id"",""en"")"),"['response', 'slow', 'handling', 'slow', 'good', 'threat', 'quality', 'service']")</f>
        <v>['response', 'slow', 'handling', 'slow', 'good', 'threat', 'quality', 'service']</v>
      </c>
      <c r="D1891" s="3">
        <v>1.0</v>
      </c>
    </row>
    <row r="1892" ht="15.75" customHeight="1">
      <c r="A1892" s="1">
        <v>1984.0</v>
      </c>
      <c r="B1892" s="3" t="s">
        <v>1854</v>
      </c>
      <c r="C1892" s="3" t="str">
        <f>IFERROR(__xludf.DUMMYFUNCTION("GOOGLETRANSLATE(B1892,""id"",""en"")"),"['throw', 'renewal', 'the application', 'stupidhhhh', 'really', 'simple', 'simple', 'access',' fast ',' a year ',' prize ',' God ',' the limit ',' patience ',' finished ',' thank ',' love ',' Lord ',' hold ',' patient ',' stopppp ',' subscribe ',' custome"&amp;"r ',' fooled ',' stupid ' , 'products',' local ',' expensive ',' satisfied ',' kagak ',' admin ',' call ',' annoying ',' offer ',' promo ',' nda ',' late ',' Pay ',' My name ',' Good ',' ']")</f>
        <v>['throw', 'renewal', 'the application', 'stupidhhhh', 'really', 'simple', 'simple', 'access',' fast ',' a year ',' prize ',' God ',' the limit ',' patience ',' finished ',' thank ',' love ',' Lord ',' hold ',' patient ',' stopppp ',' subscribe ',' customer ',' fooled ',' stupid ' , 'products',' local ',' expensive ',' satisfied ',' kagak ',' admin ',' call ',' annoying ',' offer ',' promo ',' nda ',' late ',' Pay ',' My name ',' Good ',' ']</v>
      </c>
      <c r="D1892" s="3">
        <v>1.0</v>
      </c>
    </row>
    <row r="1893" ht="15.75" customHeight="1">
      <c r="A1893" s="1">
        <v>1985.0</v>
      </c>
      <c r="B1893" s="3" t="s">
        <v>1855</v>
      </c>
      <c r="C1893" s="3" t="str">
        <f>IFERROR(__xludf.DUMMYFUNCTION("GOOGLETRANSLATE(B1893,""id"",""en"")"),"['', 'enter', 'fun', '']")</f>
        <v>['', 'enter', 'fun', '']</v>
      </c>
      <c r="D1893" s="3">
        <v>1.0</v>
      </c>
    </row>
    <row r="1894" ht="15.75" customHeight="1">
      <c r="A1894" s="1">
        <v>1986.0</v>
      </c>
      <c r="B1894" s="3" t="s">
        <v>1856</v>
      </c>
      <c r="C1894" s="3" t="str">
        <f>IFERROR(__xludf.DUMMYFUNCTION("GOOGLETRANSLATE(B1894,""id"",""en"")"),"['Sorry', 'star', 'take', 'application', 'skrg', 'byk', 'obstacle', 'renew', 'difficult']")</f>
        <v>['Sorry', 'star', 'take', 'application', 'skrg', 'byk', 'obstacle', 'renew', 'difficult']</v>
      </c>
      <c r="D1894" s="3">
        <v>2.0</v>
      </c>
    </row>
    <row r="1895" ht="15.75" customHeight="1">
      <c r="A1895" s="1">
        <v>1987.0</v>
      </c>
      <c r="B1895" s="3" t="s">
        <v>1857</v>
      </c>
      <c r="C1895" s="3" t="str">
        <f>IFERROR(__xludf.DUMMYFUNCTION("GOOGLETRANSLATE(B1895,""id"",""en"")"),"['Abis', 'update', 'enter', 'application', '']")</f>
        <v>['Abis', 'update', 'enter', 'application', '']</v>
      </c>
      <c r="D1895" s="3">
        <v>1.0</v>
      </c>
    </row>
    <row r="1896" ht="15.75" customHeight="1">
      <c r="A1896" s="1">
        <v>1988.0</v>
      </c>
      <c r="B1896" s="3" t="s">
        <v>1858</v>
      </c>
      <c r="C1896" s="3" t="str">
        <f>IFERROR(__xludf.DUMMYFUNCTION("GOOGLETRANSLATE(B1896,""id"",""en"")"),"['Open', 'menu', 'loading']")</f>
        <v>['Open', 'menu', 'loading']</v>
      </c>
      <c r="D1896" s="3">
        <v>2.0</v>
      </c>
    </row>
    <row r="1897" ht="15.75" customHeight="1">
      <c r="A1897" s="1">
        <v>1989.0</v>
      </c>
      <c r="B1897" s="3" t="s">
        <v>1859</v>
      </c>
      <c r="C1897" s="3" t="str">
        <f>IFERROR(__xludf.DUMMYFUNCTION("GOOGLETRANSLATE(B1897,""id"",""en"")"),"['Telkomsel', 'Tempikkk', 'Bill', 'TB', 'Nawarin', 'Promo', 'Free', 'Magaka', 'Ujung', 'Bill', 'Tempiikkk', 'Looked', ' HARD ',' ACCESS ',' Application ',' Tempikk ',' Tempikk ',' Lookup ',' Dajjal ']")</f>
        <v>['Telkomsel', 'Tempikkk', 'Bill', 'TB', 'Nawarin', 'Promo', 'Free', 'Magaka', 'Ujung', 'Bill', 'Tempiikkk', 'Looked', ' HARD ',' ACCESS ',' Application ',' Tempikk ',' Tempikk ',' Lookup ',' Dajjal ']</v>
      </c>
      <c r="D1897" s="3">
        <v>1.0</v>
      </c>
    </row>
    <row r="1898" ht="15.75" customHeight="1">
      <c r="A1898" s="1">
        <v>1990.0</v>
      </c>
      <c r="B1898" s="3" t="s">
        <v>1860</v>
      </c>
      <c r="C1898" s="3" t="str">
        <f>IFERROR(__xludf.DUMMYFUNCTION("GOOGLETRANSLATE(B1898,""id"",""en"")"),"['Network', 'Indihome', 'oath', 'Java', '']")</f>
        <v>['Network', 'Indihome', 'oath', 'Java', '']</v>
      </c>
      <c r="D1898" s="3">
        <v>1.0</v>
      </c>
    </row>
    <row r="1899" ht="15.75" customHeight="1">
      <c r="A1899" s="1">
        <v>1991.0</v>
      </c>
      <c r="B1899" s="3" t="s">
        <v>1861</v>
      </c>
      <c r="C1899" s="3" t="str">
        <f>IFERROR(__xludf.DUMMYFUNCTION("GOOGLETRANSLATE(B1899,""id"",""en"")"),"['update', 'version', 'the latest', 'heavy', 'display', 'information', 'loading', 'speed', 'internet', 'already', 'maximum']")</f>
        <v>['update', 'version', 'the latest', 'heavy', 'display', 'information', 'loading', 'speed', 'internet', 'already', 'maximum']</v>
      </c>
      <c r="D1899" s="3">
        <v>2.0</v>
      </c>
    </row>
    <row r="1900" ht="15.75" customHeight="1">
      <c r="A1900" s="1">
        <v>1992.0</v>
      </c>
      <c r="B1900" s="3" t="s">
        <v>1862</v>
      </c>
      <c r="C1900" s="3" t="str">
        <f>IFERROR(__xludf.DUMMYFUNCTION("GOOGLETRANSLATE(B1900,""id"",""en"")"),"['Server', 'Play', 'Store', 'Kluwer', 'Kluwer', 'Fixed', 'People', 'Pinter']")</f>
        <v>['Server', 'Play', 'Store', 'Kluwer', 'Kluwer', 'Fixed', 'People', 'Pinter']</v>
      </c>
      <c r="D1900" s="3">
        <v>2.0</v>
      </c>
    </row>
    <row r="1901" ht="15.75" customHeight="1">
      <c r="A1901" s="1">
        <v>1993.0</v>
      </c>
      <c r="B1901" s="3" t="s">
        <v>1863</v>
      </c>
      <c r="C1901" s="3" t="str">
        <f>IFERROR(__xludf.DUMMYFUNCTION("GOOGLETRANSLATE(B1901,""id"",""en"")"),"['Login', 'Yesterday']")</f>
        <v>['Login', 'Yesterday']</v>
      </c>
      <c r="D1901" s="3">
        <v>1.0</v>
      </c>
    </row>
    <row r="1902" ht="15.75" customHeight="1">
      <c r="A1902" s="1">
        <v>1994.0</v>
      </c>
      <c r="B1902" s="3" t="s">
        <v>1864</v>
      </c>
      <c r="C1902" s="3" t="str">
        <f>IFERROR(__xludf.DUMMYFUNCTION("GOOGLETRANSLATE(B1902,""id"",""en"")"),"['Use', 'Myindihome', 'Pandemic', 'Meet', 'People', 'Help', 'Prevent', 'Distribution', 'Covid', ""]")</f>
        <v>['Use', 'Myindihome', 'Pandemic', 'Meet', 'People', 'Help', 'Prevent', 'Distribution', 'Covid', "]</v>
      </c>
      <c r="D1902" s="3">
        <v>5.0</v>
      </c>
    </row>
    <row r="1903" ht="15.75" customHeight="1">
      <c r="A1903" s="1">
        <v>1995.0</v>
      </c>
      <c r="B1903" s="3" t="s">
        <v>1865</v>
      </c>
      <c r="C1903" s="3" t="str">
        <f>IFERROR(__xludf.DUMMYFUNCTION("GOOGLETRANSLATE(B1903,""id"",""en"")"),"['chaotic', 'application', 'bus', 'updated', 'gbener', 'login', 'hard', 'forgiveness']")</f>
        <v>['chaotic', 'application', 'bus', 'updated', 'gbener', 'login', 'hard', 'forgiveness']</v>
      </c>
      <c r="D1903" s="3">
        <v>2.0</v>
      </c>
    </row>
    <row r="1904" ht="15.75" customHeight="1">
      <c r="A1904" s="1">
        <v>1996.0</v>
      </c>
      <c r="B1904" s="3" t="s">
        <v>1866</v>
      </c>
      <c r="C1904" s="3" t="str">
        <f>IFERROR(__xludf.DUMMYFUNCTION("GOOGLETRANSLATE(B1904,""id"",""en"")"),"['use', 'application', 'pandemic', 'emang', '']")</f>
        <v>['use', 'application', 'pandemic', 'emang', '']</v>
      </c>
      <c r="D1904" s="3">
        <v>5.0</v>
      </c>
    </row>
    <row r="1905" ht="15.75" customHeight="1">
      <c r="A1905" s="1">
        <v>1997.0</v>
      </c>
      <c r="B1905" s="3" t="s">
        <v>1867</v>
      </c>
      <c r="C1905" s="3" t="str">
        <f>IFERROR(__xludf.DUMMYFUNCTION("GOOGLETRANSLATE(B1905,""id"",""en"")"),"['payment', 'easy', 'use', '']")</f>
        <v>['payment', 'easy', 'use', '']</v>
      </c>
      <c r="D1905" s="3">
        <v>5.0</v>
      </c>
    </row>
    <row r="1906" ht="15.75" customHeight="1">
      <c r="A1906" s="1">
        <v>1998.0</v>
      </c>
      <c r="B1906" s="3" t="s">
        <v>1868</v>
      </c>
      <c r="C1906" s="3" t="str">
        <f>IFERROR(__xludf.DUMMYFUNCTION("GOOGLETRANSLATE(B1906,""id"",""en"")"),"['Application', 'It's easy', 'service', 'Indihome']")</f>
        <v>['Application', 'It's easy', 'service', 'Indihome']</v>
      </c>
      <c r="D1906" s="3">
        <v>5.0</v>
      </c>
    </row>
    <row r="1907" ht="15.75" customHeight="1">
      <c r="A1907" s="1">
        <v>1999.0</v>
      </c>
      <c r="B1907" s="3" t="s">
        <v>1869</v>
      </c>
      <c r="C1907" s="3" t="str">
        <f>IFERROR(__xludf.DUMMYFUNCTION("GOOGLETRANSLATE(B1907,""id"",""en"")"),"['Display', 'handling', 'Lamban', 'fast']")</f>
        <v>['Display', 'handling', 'Lamban', 'fast']</v>
      </c>
      <c r="D1907" s="3">
        <v>5.0</v>
      </c>
    </row>
    <row r="1908" ht="15.75" customHeight="1">
      <c r="A1908" s="1">
        <v>2000.0</v>
      </c>
      <c r="B1908" s="3" t="s">
        <v>1870</v>
      </c>
      <c r="C1908" s="3" t="str">
        <f>IFERROR(__xludf.DUMMYFUNCTION("GOOGLETRANSLATE(B1908,""id"",""en"")"),"['application', 'makes it easy', 'learn', 'online', 'network', 'strong', 'really', ""]")</f>
        <v>['application', 'makes it easy', 'learn', 'online', 'network', 'strong', 'really', "]</v>
      </c>
      <c r="D1908" s="3">
        <v>5.0</v>
      </c>
    </row>
    <row r="1909" ht="15.75" customHeight="1">
      <c r="A1909" s="1">
        <v>2001.0</v>
      </c>
      <c r="B1909" s="3" t="s">
        <v>1871</v>
      </c>
      <c r="C1909" s="3" t="str">
        <f>IFERROR(__xludf.DUMMYFUNCTION("GOOGLETRANSLATE(B1909,""id"",""en"")"),"['Update', 'Login', 'Ribet', 'Sampe', 'Enter', 'Try', 'Try', 'Love', 'Code', 'Verification', 'Enter', 'Already', ' time ',' severe ']")</f>
        <v>['Update', 'Login', 'Ribet', 'Sampe', 'Enter', 'Try', 'Try', 'Love', 'Code', 'Verification', 'Enter', 'Already', ' time ',' severe ']</v>
      </c>
      <c r="D1909" s="3">
        <v>1.0</v>
      </c>
    </row>
    <row r="1910" ht="15.75" customHeight="1">
      <c r="A1910" s="1">
        <v>2003.0</v>
      </c>
      <c r="B1910" s="3" t="s">
        <v>1872</v>
      </c>
      <c r="C1910" s="3" t="str">
        <f>IFERROR(__xludf.DUMMYFUNCTION("GOOGLETRANSLATE(B1910,""id"",""en"")"),"['application', 'good', 'help', 'thank you']")</f>
        <v>['application', 'good', 'help', 'thank you']</v>
      </c>
      <c r="D1910" s="3">
        <v>5.0</v>
      </c>
    </row>
    <row r="1911" ht="15.75" customHeight="1">
      <c r="A1911" s="1">
        <v>2004.0</v>
      </c>
      <c r="B1911" s="3" t="s">
        <v>1873</v>
      </c>
      <c r="C1911" s="3" t="str">
        <f>IFERROR(__xludf.DUMMYFUNCTION("GOOGLETRANSLATE(B1911,""id"",""en"")"),"['Update', 'Application', 'Muter', 'Mulu', '']")</f>
        <v>['Update', 'Application', 'Muter', 'Mulu', '']</v>
      </c>
      <c r="D1911" s="3">
        <v>1.0</v>
      </c>
    </row>
    <row r="1912" ht="15.75" customHeight="1">
      <c r="A1912" s="1">
        <v>2005.0</v>
      </c>
      <c r="B1912" s="3" t="s">
        <v>1874</v>
      </c>
      <c r="C1912" s="3" t="str">
        <f>IFERROR(__xludf.DUMMYFUNCTION("GOOGLETRANSLATE(B1912,""id"",""en"")"),"['Out', 'renewal', 'entry', 'email', 'phone', 'entered', 'severe', 'severe']")</f>
        <v>['Out', 'renewal', 'entry', 'email', 'phone', 'entered', 'severe', 'severe']</v>
      </c>
      <c r="D1912" s="3">
        <v>1.0</v>
      </c>
    </row>
    <row r="1913" ht="15.75" customHeight="1">
      <c r="A1913" s="1">
        <v>2006.0</v>
      </c>
      <c r="B1913" s="3" t="s">
        <v>1875</v>
      </c>
      <c r="C1913" s="3" t="str">
        <f>IFERROR(__xludf.DUMMYFUNCTION("GOOGLETRANSLATE(B1913,""id"",""en"")"),"['duh', 'update', 'slow', 'chat', 'indita', 'next door', 'feature']")</f>
        <v>['duh', 'update', 'slow', 'chat', 'indita', 'next door', 'feature']</v>
      </c>
      <c r="D1913" s="3">
        <v>3.0</v>
      </c>
    </row>
    <row r="1914" ht="15.75" customHeight="1">
      <c r="A1914" s="1">
        <v>2007.0</v>
      </c>
      <c r="B1914" s="3" t="s">
        <v>1876</v>
      </c>
      <c r="C1914" s="3" t="str">
        <f>IFERROR(__xludf.DUMMYFUNCTION("GOOGLETRANSLATE(B1914,""id"",""en"")"),"['Application', 'sad', 'repeated', 'send', 'report', 'results', 'satisfying', 'provider', 'select']")</f>
        <v>['Application', 'sad', 'repeated', 'send', 'report', 'results', 'satisfying', 'provider', 'select']</v>
      </c>
      <c r="D1914" s="3">
        <v>1.0</v>
      </c>
    </row>
    <row r="1915" ht="15.75" customHeight="1">
      <c r="A1915" s="1">
        <v>2009.0</v>
      </c>
      <c r="B1915" s="3" t="s">
        <v>1877</v>
      </c>
      <c r="C1915" s="3" t="str">
        <f>IFERROR(__xludf.DUMMYFUNCTION("GOOGLETRANSLATE(B1915,""id"",""en"")"),"['chaotic', 'application', 'slow', 'opened', 'report', 'disorder', 'appears',' notification ',' beg ',' sorry ',' improvement ',' service ',' Application ',' report ',' disorder ',' please ',' fixed ',' ']")</f>
        <v>['chaotic', 'application', 'slow', 'opened', 'report', 'disorder', 'appears',' notification ',' beg ',' sorry ',' improvement ',' service ',' Application ',' report ',' disorder ',' please ',' fixed ',' ']</v>
      </c>
      <c r="D1915" s="3">
        <v>1.0</v>
      </c>
    </row>
    <row r="1916" ht="15.75" customHeight="1">
      <c r="A1916" s="1">
        <v>2010.0</v>
      </c>
      <c r="B1916" s="3" t="s">
        <v>1878</v>
      </c>
      <c r="C1916" s="3" t="str">
        <f>IFERROR(__xludf.DUMMYFUNCTION("GOOGLETRANSLATE(B1916,""id"",""en"")"),"['Indihome', 'defective']")</f>
        <v>['Indihome', 'defective']</v>
      </c>
      <c r="D1916" s="3">
        <v>1.0</v>
      </c>
    </row>
    <row r="1917" ht="15.75" customHeight="1">
      <c r="A1917" s="1">
        <v>2011.0</v>
      </c>
      <c r="B1917" s="3" t="s">
        <v>1879</v>
      </c>
      <c r="C1917" s="3" t="str">
        <f>IFERROR(__xludf.DUMMYFUNCTION("GOOGLETRANSLATE(B1917,""id"",""en"")"),"['Parahhhh', 'App', 'Need', 'computer', 'ber', 'processor', 'quantum', 'smooth', 'said', 'yng', 'pay', 'chase', ' Satan ',' credit ']")</f>
        <v>['Parahhhh', 'App', 'Need', 'computer', 'ber', 'processor', 'quantum', 'smooth', 'said', 'yng', 'pay', 'chase', ' Satan ',' credit ']</v>
      </c>
      <c r="D1917" s="3">
        <v>1.0</v>
      </c>
    </row>
    <row r="1918" ht="15.75" customHeight="1">
      <c r="A1918" s="1">
        <v>2012.0</v>
      </c>
      <c r="B1918" s="3" t="s">
        <v>1880</v>
      </c>
      <c r="C1918" s="3" t="str">
        <f>IFERROR(__xludf.DUMMYFUNCTION("GOOGLETRANSLATE(B1918,""id"",""en"")"),"['lag', 'severe']")</f>
        <v>['lag', 'severe']</v>
      </c>
      <c r="D1918" s="3">
        <v>1.0</v>
      </c>
    </row>
    <row r="1919" ht="15.75" customHeight="1">
      <c r="A1919" s="1">
        <v>2013.0</v>
      </c>
      <c r="B1919" s="3" t="s">
        <v>1881</v>
      </c>
      <c r="C1919" s="3" t="str">
        <f>IFERROR(__xludf.DUMMYFUNCTION("GOOGLETRANSLATE(B1919,""id"",""en"")"),"['Display', 'fresh', 'good', 'eyes', 'indihome', 'here', 'serious', 'work', 'app', 'miss', 'old']")</f>
        <v>['Display', 'fresh', 'good', 'eyes', 'indihome', 'here', 'serious', 'work', 'app', 'miss', 'old']</v>
      </c>
      <c r="D1919" s="3">
        <v>5.0</v>
      </c>
    </row>
    <row r="1920" ht="15.75" customHeight="1">
      <c r="A1920" s="1">
        <v>2014.0</v>
      </c>
      <c r="B1920" s="3" t="s">
        <v>1882</v>
      </c>
      <c r="C1920" s="3" t="str">
        <f>IFERROR(__xludf.DUMMYFUNCTION("GOOGLETRANSLATE(B1920,""id"",""en"")"),"['version', 'newest', 'display', 'menu', 'complete', 'version', 'before', 'login', 'access',' menu ',' loading ',' Please ',' Repaired ']")</f>
        <v>['version', 'newest', 'display', 'menu', 'complete', 'version', 'before', 'login', 'access',' menu ',' loading ',' Please ',' Repaired ']</v>
      </c>
      <c r="D1920" s="3">
        <v>3.0</v>
      </c>
    </row>
    <row r="1921" ht="15.75" customHeight="1">
      <c r="A1921" s="1">
        <v>2015.0</v>
      </c>
      <c r="B1921" s="3" t="s">
        <v>1883</v>
      </c>
      <c r="C1921" s="3" t="str">
        <f>IFERROR(__xludf.DUMMYFUNCTION("GOOGLETRANSLATE(B1921,""id"",""en"")"),"['run out', 'pay', 'trobel', 'use', 'please', 'love', 'choice', 'star', 'application', 'nggk', 'handy']")</f>
        <v>['run out', 'pay', 'trobel', 'use', 'please', 'love', 'choice', 'star', 'application', 'nggk', 'handy']</v>
      </c>
      <c r="D1921" s="3">
        <v>1.0</v>
      </c>
    </row>
    <row r="1922" ht="15.75" customHeight="1">
      <c r="A1922" s="1">
        <v>2016.0</v>
      </c>
      <c r="B1922" s="3" t="s">
        <v>1884</v>
      </c>
      <c r="C1922" s="3" t="str">
        <f>IFERROR(__xludf.DUMMYFUNCTION("GOOGLETRANSLATE(B1922,""id"",""en"")"),"['Mantapn', 'practical']")</f>
        <v>['Mantapn', 'practical']</v>
      </c>
      <c r="D1922" s="3">
        <v>5.0</v>
      </c>
    </row>
    <row r="1923" ht="15.75" customHeight="1">
      <c r="A1923" s="1">
        <v>2018.0</v>
      </c>
      <c r="B1923" s="3" t="s">
        <v>1885</v>
      </c>
      <c r="C1923" s="3" t="str">
        <f>IFERROR(__xludf.DUMMYFUNCTION("GOOGLETRANSLATE(B1923,""id"",""en"")"),"['Good', 'service']")</f>
        <v>['Good', 'service']</v>
      </c>
      <c r="D1923" s="3">
        <v>5.0</v>
      </c>
    </row>
    <row r="1924" ht="15.75" customHeight="1">
      <c r="A1924" s="1">
        <v>2019.0</v>
      </c>
      <c r="B1924" s="3" t="s">
        <v>1886</v>
      </c>
      <c r="C1924" s="3" t="str">
        <f>IFERROR(__xludf.DUMMYFUNCTION("GOOGLETRANSLATE(B1924,""id"",""en"")"),"['Trima', 'love', 'convenience', 'application', 'Myindihome', 'application', 'Mbps',' month ',' usage ',' family ',' add to ',' insight ',' network ',' internet ',' Telkom ',' satisfied ',' use ',' indihome ',' mantapp ']")</f>
        <v>['Trima', 'love', 'convenience', 'application', 'Myindihome', 'application', 'Mbps',' month ',' usage ',' family ',' add to ',' insight ',' network ',' internet ',' Telkom ',' satisfied ',' use ',' indihome ',' mantapp ']</v>
      </c>
      <c r="D1924" s="3">
        <v>5.0</v>
      </c>
    </row>
    <row r="1925" ht="15.75" customHeight="1">
      <c r="A1925" s="1">
        <v>2020.0</v>
      </c>
      <c r="B1925" s="3" t="s">
        <v>1887</v>
      </c>
      <c r="C1925" s="3" t="str">
        <f>IFERROR(__xludf.DUMMYFUNCTION("GOOGLETRANSLATE(B1925,""id"",""en"")"),"['Severe', 'Version', 'Slow', 'Application', 'Benahin', 'Min', 'Customer', 'Love', 'Rating', 'Bad', 'BUMN', 'Pulq', ' Shame ',' shame ',' ']")</f>
        <v>['Severe', 'Version', 'Slow', 'Application', 'Benahin', 'Min', 'Customer', 'Love', 'Rating', 'Bad', 'BUMN', 'Pulq', ' Shame ',' shame ',' ']</v>
      </c>
      <c r="D1925" s="3">
        <v>1.0</v>
      </c>
    </row>
    <row r="1926" ht="15.75" customHeight="1">
      <c r="A1926" s="1">
        <v>2021.0</v>
      </c>
      <c r="B1926" s="3" t="s">
        <v>1888</v>
      </c>
      <c r="C1926" s="3" t="str">
        <f>IFERROR(__xludf.DUMMYFUNCTION("GOOGLETRANSLATE(B1926,""id"",""en"")"),"['steady', 'skrg', 'applily', 'stable', 'menu', 'complete', 'sekrg', 'steady', 'indihome']")</f>
        <v>['steady', 'skrg', 'applily', 'stable', 'menu', 'complete', 'sekrg', 'steady', 'indihome']</v>
      </c>
      <c r="D1926" s="3">
        <v>5.0</v>
      </c>
    </row>
    <row r="1927" ht="15.75" customHeight="1">
      <c r="A1927" s="1">
        <v>2022.0</v>
      </c>
      <c r="B1927" s="3" t="s">
        <v>1889</v>
      </c>
      <c r="C1927" s="3" t="str">
        <f>IFERROR(__xludf.DUMMYFUNCTION("GOOGLETRANSLATE(B1927,""id"",""en"")"),"['Subscribe', 'Indihome', 'Wrong', 'Service', 'Satisfying', 'Certain', 'Price', 'Offered', 'Flat', 'Update', 'Application', 'Latest' Indihome ',' practical ',' interactive ',' difficult ',' understood ',' complaint ',' service ',' check ',' bills', 'etc.'"&amp;", 'easy', 'Thanks',' indihome ' ]")</f>
        <v>['Subscribe', 'Indihome', 'Wrong', 'Service', 'Satisfying', 'Certain', 'Price', 'Offered', 'Flat', 'Update', 'Application', 'Latest' Indihome ',' practical ',' interactive ',' difficult ',' understood ',' complaint ',' service ',' check ',' bills', 'etc.', 'easy', 'Thanks',' indihome ' ]</v>
      </c>
      <c r="D1927" s="3">
        <v>5.0</v>
      </c>
    </row>
    <row r="1928" ht="15.75" customHeight="1">
      <c r="A1928" s="1">
        <v>2023.0</v>
      </c>
      <c r="B1928" s="3" t="s">
        <v>1890</v>
      </c>
      <c r="C1928" s="3" t="str">
        <f>IFERROR(__xludf.DUMMYFUNCTION("GOOGLETRANSLATE(B1928,""id"",""en"")"),"['Application', 'Indihome', 'Help', 'Features',' In ',' Help ',' Information ',' Promo ',' Product ',' Indihome ',' Application ',' Indihome ',' Help ',' wifi ',' experience ',' disruption ',' call ',' center ',' help ',' stay ',' open ',' menu ',' disord"&amp;"er ',' report ',' disorder ' , 'wifi', 'at home', 'need', 'operator', 'direct', 'contact', 'send', 'technician', 'indihome', 'home', 'handle it']")</f>
        <v>['Application', 'Indihome', 'Help', 'Features',' In ',' Help ',' Information ',' Promo ',' Product ',' Indihome ',' Application ',' Indihome ',' Help ',' wifi ',' experience ',' disruption ',' call ',' center ',' help ',' stay ',' open ',' menu ',' disorder ',' report ',' disorder ' , 'wifi', 'at home', 'need', 'operator', 'direct', 'contact', 'send', 'technician', 'indihome', 'home', 'handle it']</v>
      </c>
      <c r="D1928" s="3">
        <v>5.0</v>
      </c>
    </row>
    <row r="1929" ht="15.75" customHeight="1">
      <c r="A1929" s="1">
        <v>2024.0</v>
      </c>
      <c r="B1929" s="3" t="s">
        <v>1891</v>
      </c>
      <c r="C1929" s="3" t="str">
        <f>IFERROR(__xludf.DUMMYFUNCTION("GOOGLETRANSLATE(B1929,""id"",""en"")"),"['Useful', 'Request', 'Invailing', 'Internet', 'Complaints',' Check ',' Use ',' Payment ',' Application ',' Enhanced ',' Speed ​​',' Access', ' application ',' features', 'features',' THX ']")</f>
        <v>['Useful', 'Request', 'Invailing', 'Internet', 'Complaints',' Check ',' Use ',' Payment ',' Application ',' Enhanced ',' Speed ​​',' Access', ' application ',' features', 'features',' THX ']</v>
      </c>
      <c r="D1929" s="3">
        <v>5.0</v>
      </c>
    </row>
    <row r="1930" ht="15.75" customHeight="1">
      <c r="A1930" s="1">
        <v>2027.0</v>
      </c>
      <c r="B1930" s="3" t="s">
        <v>1892</v>
      </c>
      <c r="C1930" s="3" t="str">
        <f>IFERROR(__xludf.DUMMYFUNCTION("GOOGLETRANSLATE(B1930,""id"",""en"")"),"['Starting', 'Customer', 'Indihome', 'Alhamdulillah', 'Internet', 'Safe', 'Thank', 'Love', ""]")</f>
        <v>['Starting', 'Customer', 'Indihome', 'Alhamdulillah', 'Internet', 'Safe', 'Thank', 'Love', "]</v>
      </c>
      <c r="D1930" s="3">
        <v>5.0</v>
      </c>
    </row>
    <row r="1931" ht="15.75" customHeight="1">
      <c r="A1931" s="1">
        <v>2028.0</v>
      </c>
      <c r="B1931" s="3" t="s">
        <v>1893</v>
      </c>
      <c r="C1931" s="3" t="str">
        <f>IFERROR(__xludf.DUMMYFUNCTION("GOOGLETRANSLATE(B1931,""id"",""en"")"),"['Application', 'lemOOOOOOH', 'Difficult', 'Enter']")</f>
        <v>['Application', 'lemOOOOOOH', 'Difficult', 'Enter']</v>
      </c>
      <c r="D1931" s="3">
        <v>1.0</v>
      </c>
    </row>
    <row r="1932" ht="15.75" customHeight="1">
      <c r="A1932" s="1">
        <v>2030.0</v>
      </c>
      <c r="B1932" s="3" t="s">
        <v>1894</v>
      </c>
      <c r="C1932" s="3" t="str">
        <f>IFERROR(__xludf.DUMMYFUNCTION("GOOGLETRANSLATE(B1932,""id"",""en"")"),"['It's easy', 'user', 'Indihome']")</f>
        <v>['It's easy', 'user', 'Indihome']</v>
      </c>
      <c r="D1932" s="3">
        <v>5.0</v>
      </c>
    </row>
    <row r="1933" ht="15.75" customHeight="1">
      <c r="A1933" s="1">
        <v>2031.0</v>
      </c>
      <c r="B1933" s="3" t="s">
        <v>1895</v>
      </c>
      <c r="C1933" s="3" t="str">
        <f>IFERROR(__xludf.DUMMYFUNCTION("GOOGLETRANSLATE(B1933,""id"",""en"")"),"['APK', 'Good']")</f>
        <v>['APK', 'Good']</v>
      </c>
      <c r="D1933" s="3">
        <v>5.0</v>
      </c>
    </row>
    <row r="1934" ht="15.75" customHeight="1">
      <c r="A1934" s="1">
        <v>2032.0</v>
      </c>
      <c r="B1934" s="3" t="s">
        <v>1896</v>
      </c>
      <c r="C1934" s="3" t="str">
        <f>IFERROR(__xludf.DUMMYFUNCTION("GOOGLETRANSLATE(B1934,""id"",""en"")"),"['exciting', 'Application', 'Myindihome', 'Because "",' Connect ',' Customer ',' Description ',' Registered ',' Tel ',' Call ',' Center ',' Useful ',' deh ',' the application ',' ']")</f>
        <v>['exciting', 'Application', 'Myindihome', 'Because ",' Connect ',' Customer ',' Description ',' Registered ',' Tel ',' Call ',' Center ',' Useful ',' deh ',' the application ',' ']</v>
      </c>
      <c r="D1934" s="3">
        <v>1.0</v>
      </c>
    </row>
    <row r="1935" ht="15.75" customHeight="1">
      <c r="A1935" s="1">
        <v>2033.0</v>
      </c>
      <c r="B1935" s="3" t="s">
        <v>1897</v>
      </c>
      <c r="C1935" s="3" t="str">
        <f>IFERROR(__xludf.DUMMYFUNCTION("GOOGLETRANSLATE(B1935,""id"",""en"")"),"['Application', 'Help', 'KOMPOTION', 'Direct', 'Benerin']")</f>
        <v>['Application', 'Help', 'KOMPOTION', 'Direct', 'Benerin']</v>
      </c>
      <c r="D1935" s="3">
        <v>5.0</v>
      </c>
    </row>
    <row r="1936" ht="15.75" customHeight="1">
      <c r="A1936" s="1">
        <v>2034.0</v>
      </c>
      <c r="B1936" s="3" t="s">
        <v>1898</v>
      </c>
      <c r="C1936" s="3" t="str">
        <f>IFERROR(__xludf.DUMMYFUNCTION("GOOGLETRANSLATE(B1936,""id"",""en"")"),"['application', 'new', 'steady', 'service', 'available', 'disorder', '']")</f>
        <v>['application', 'new', 'steady', 'service', 'available', 'disorder', '']</v>
      </c>
      <c r="D1936" s="3">
        <v>5.0</v>
      </c>
    </row>
    <row r="1937" ht="15.75" customHeight="1">
      <c r="A1937" s="1">
        <v>2035.0</v>
      </c>
      <c r="B1937" s="3" t="s">
        <v>1899</v>
      </c>
      <c r="C1937" s="3" t="str">
        <f>IFERROR(__xludf.DUMMYFUNCTION("GOOGLETRANSLATE(B1937,""id"",""en"")"),"['Lemot', 'application', '']")</f>
        <v>['Lemot', 'application', '']</v>
      </c>
      <c r="D1937" s="3">
        <v>2.0</v>
      </c>
    </row>
    <row r="1938" ht="15.75" customHeight="1">
      <c r="A1938" s="1">
        <v>2036.0</v>
      </c>
      <c r="B1938" s="3" t="s">
        <v>1900</v>
      </c>
      <c r="C1938" s="3" t="str">
        <f>IFERROR(__xludf.DUMMYFUNCTION("GOOGLETRANSLATE(B1938,""id"",""en"")"),"['Help', 'steady']")</f>
        <v>['Help', 'steady']</v>
      </c>
      <c r="D1938" s="3">
        <v>5.0</v>
      </c>
    </row>
    <row r="1939" ht="15.75" customHeight="1">
      <c r="A1939" s="1">
        <v>2037.0</v>
      </c>
      <c r="B1939" s="3" t="s">
        <v>1901</v>
      </c>
      <c r="C1939" s="3" t="str">
        <f>IFERROR(__xludf.DUMMYFUNCTION("GOOGLETRANSLATE(B1939,""id"",""en"")"),"['Experience', 'Open', 'Application', 'Indihome', 'Version', 'Latest', 'Lemot']")</f>
        <v>['Experience', 'Open', 'Application', 'Indihome', 'Version', 'Latest', 'Lemot']</v>
      </c>
      <c r="D1939" s="3">
        <v>5.0</v>
      </c>
    </row>
    <row r="1940" ht="15.75" customHeight="1">
      <c r="A1940" s="1">
        <v>2038.0</v>
      </c>
      <c r="B1940" s="3" t="s">
        <v>1902</v>
      </c>
      <c r="C1940" s="3" t="str">
        <f>IFERROR(__xludf.DUMMYFUNCTION("GOOGLETRANSLATE(B1940,""id"",""en"")"),"['Help', 'use', 'application']")</f>
        <v>['Help', 'use', 'application']</v>
      </c>
      <c r="D1940" s="3">
        <v>5.0</v>
      </c>
    </row>
    <row r="1941" ht="15.75" customHeight="1">
      <c r="A1941" s="1">
        <v>2040.0</v>
      </c>
      <c r="B1941" s="3" t="s">
        <v>1903</v>
      </c>
      <c r="C1941" s="3" t="str">
        <f>IFERROR(__xludf.DUMMYFUNCTION("GOOGLETRANSLATE(B1941,""id"",""en"")"),"['Comfortable', 'light', 'slow', 'open', 'application', 'compared to', 'version']")</f>
        <v>['Comfortable', 'light', 'slow', 'open', 'application', 'compared to', 'version']</v>
      </c>
      <c r="D1941" s="3">
        <v>5.0</v>
      </c>
    </row>
    <row r="1942" ht="15.75" customHeight="1">
      <c r="A1942" s="1">
        <v>2041.0</v>
      </c>
      <c r="B1942" s="3" t="s">
        <v>1904</v>
      </c>
      <c r="C1942" s="3" t="str">
        <f>IFERROR(__xludf.DUMMYFUNCTION("GOOGLETRANSLATE(B1942,""id"",""en"")"),"['Thank God', 'subscription', 'Indohome', 'disappointing', 'complaints', 'respond', 'fast', 'Thank you', 'Indihome', '']")</f>
        <v>['Thank God', 'subscription', 'Indohome', 'disappointing', 'complaints', 'respond', 'fast', 'Thank you', 'Indihome', '']</v>
      </c>
      <c r="D1942" s="3">
        <v>5.0</v>
      </c>
    </row>
    <row r="1943" ht="15.75" customHeight="1">
      <c r="A1943" s="1">
        <v>2042.0</v>
      </c>
      <c r="B1943" s="3" t="s">
        <v>1905</v>
      </c>
      <c r="C1943" s="3" t="str">
        <f>IFERROR(__xludf.DUMMYFUNCTION("GOOGLETRANSLATE(B1943,""id"",""en"")"),"['', 'cellphone', 'force', 'Close', 'then', 'access',' menu ',' registration ',' menu ',' click ',' registration ',' hmmm ',' please ',' Update ',' repairs', '']")</f>
        <v>['', 'cellphone', 'force', 'Close', 'then', 'access',' menu ',' registration ',' menu ',' click ',' registration ',' hmmm ',' please ',' Update ',' repairs', '']</v>
      </c>
      <c r="D1943" s="3">
        <v>4.0</v>
      </c>
    </row>
    <row r="1944" ht="15.75" customHeight="1">
      <c r="A1944" s="1">
        <v>2043.0</v>
      </c>
      <c r="B1944" s="3" t="s">
        <v>1906</v>
      </c>
      <c r="C1944" s="3" t="str">
        <f>IFERROR(__xludf.DUMMYFUNCTION("GOOGLETRANSLATE(B1944,""id"",""en"")"),"['Display', 'interesting', 'user', 'friendly', '']")</f>
        <v>['Display', 'interesting', 'user', 'friendly', '']</v>
      </c>
      <c r="D1944" s="3">
        <v>5.0</v>
      </c>
    </row>
    <row r="1945" ht="15.75" customHeight="1">
      <c r="A1945" s="1">
        <v>2044.0</v>
      </c>
      <c r="B1945" s="3" t="s">
        <v>1907</v>
      </c>
      <c r="C1945" s="3" t="str">
        <f>IFERROR(__xludf.DUMMYFUNCTION("GOOGLETRANSLATE(B1945,""id"",""en"")"),"['The application', 'steady', 'really', 'check', 'status', 'package', 'purchase', 'add', 'minipack', 'channel', 'application', '']")</f>
        <v>['The application', 'steady', 'really', 'check', 'status', 'package', 'purchase', 'add', 'minipack', 'channel', 'application', '']</v>
      </c>
      <c r="D1945" s="3">
        <v>5.0</v>
      </c>
    </row>
    <row r="1946" ht="15.75" customHeight="1">
      <c r="A1946" s="1">
        <v>2045.0</v>
      </c>
      <c r="B1946" s="3" t="s">
        <v>1908</v>
      </c>
      <c r="C1946" s="3" t="str">
        <f>IFERROR(__xludf.DUMMYFUNCTION("GOOGLETRANSLATE(B1946,""id"",""en"")"),"['Help', 'The application', 'bill', 'already', 'Pay', 'Belom', 'check', 'point', 'then', 'obstacle', 'chat', ' Easy ',' deh ']")</f>
        <v>['Help', 'The application', 'bill', 'already', 'Pay', 'Belom', 'check', 'point', 'then', 'obstacle', 'chat', ' Easy ',' deh ']</v>
      </c>
      <c r="D1946" s="3">
        <v>5.0</v>
      </c>
    </row>
    <row r="1947" ht="15.75" customHeight="1">
      <c r="A1947" s="1">
        <v>2046.0</v>
      </c>
      <c r="B1947" s="3" t="s">
        <v>1909</v>
      </c>
      <c r="C1947" s="3" t="str">
        <f>IFERROR(__xludf.DUMMYFUNCTION("GOOGLETRANSLATE(B1947,""id"",""en"")"),"['Increase', ""]")</f>
        <v>['Increase', "]</v>
      </c>
      <c r="D1947" s="3">
        <v>5.0</v>
      </c>
    </row>
    <row r="1948" ht="15.75" customHeight="1">
      <c r="A1948" s="1">
        <v>2050.0</v>
      </c>
      <c r="B1948" s="3" t="s">
        <v>1910</v>
      </c>
      <c r="C1948" s="3" t="str">
        <f>IFERROR(__xludf.DUMMYFUNCTION("GOOGLETRANSLATE(B1948,""id"",""en"")"),"['update', 'tetep', 'open', 'application', 'slow', 'forgiveness', 'please', 'fix']")</f>
        <v>['update', 'tetep', 'open', 'application', 'slow', 'forgiveness', 'please', 'fix']</v>
      </c>
      <c r="D1948" s="3">
        <v>2.0</v>
      </c>
    </row>
    <row r="1949" ht="15.75" customHeight="1">
      <c r="A1949" s="1">
        <v>2051.0</v>
      </c>
      <c r="B1949" s="3" t="s">
        <v>1911</v>
      </c>
      <c r="C1949" s="3" t="str">
        <f>IFERROR(__xludf.DUMMYFUNCTION("GOOGLETRANSLATE(B1949,""id"",""en"")"),"['Leet']")</f>
        <v>['Leet']</v>
      </c>
      <c r="D1949" s="3">
        <v>2.0</v>
      </c>
    </row>
    <row r="1950" ht="15.75" customHeight="1">
      <c r="A1950" s="1">
        <v>2052.0</v>
      </c>
      <c r="B1950" s="3" t="s">
        <v>1912</v>
      </c>
      <c r="C1950" s="3" t="str">
        <f>IFERROR(__xludf.DUMMYFUNCTION("GOOGLETRANSLATE(B1950,""id"",""en"")"),"['', 'Update', 'enter', 'GMANA']")</f>
        <v>['', 'Update', 'enter', 'GMANA']</v>
      </c>
      <c r="D1950" s="3">
        <v>1.0</v>
      </c>
    </row>
    <row r="1951" ht="15.75" customHeight="1">
      <c r="A1951" s="1">
        <v>2053.0</v>
      </c>
      <c r="B1951" s="3" t="s">
        <v>1913</v>
      </c>
      <c r="C1951" s="3" t="str">
        <f>IFERROR(__xludf.DUMMYFUNCTION("GOOGLETRANSLATE(B1951,""id"",""en"")"),"['Severe', 'slow', 'please', 'repaired', 'slow', 'rich', 'gini']")</f>
        <v>['Severe', 'slow', 'please', 'repaired', 'slow', 'rich', 'gini']</v>
      </c>
      <c r="D1951" s="3">
        <v>1.0</v>
      </c>
    </row>
    <row r="1952" ht="15.75" customHeight="1">
      <c r="A1952" s="1">
        <v>2054.0</v>
      </c>
      <c r="B1952" s="3" t="s">
        <v>1914</v>
      </c>
      <c r="C1952" s="3" t="str">
        <f>IFERROR(__xludf.DUMMYFUNCTION("GOOGLETRANSLATE(B1952,""id"",""en"")"),"['Mantapp']")</f>
        <v>['Mantapp']</v>
      </c>
      <c r="D1952" s="3">
        <v>5.0</v>
      </c>
    </row>
    <row r="1953" ht="15.75" customHeight="1">
      <c r="A1953" s="1">
        <v>2055.0</v>
      </c>
      <c r="B1953" s="3" t="s">
        <v>1915</v>
      </c>
      <c r="C1953" s="3" t="str">
        <f>IFERROR(__xludf.DUMMYFUNCTION("GOOGLETRANSLATE(B1953,""id"",""en"")"),"['Upgrade', 'application', 'bug', 'slow', 'feature', 'run']]")</f>
        <v>['Upgrade', 'application', 'bug', 'slow', 'feature', 'run']]</v>
      </c>
      <c r="D1953" s="3">
        <v>1.0</v>
      </c>
    </row>
    <row r="1954" ht="15.75" customHeight="1">
      <c r="A1954" s="1">
        <v>2056.0</v>
      </c>
      <c r="B1954" s="3" t="s">
        <v>1916</v>
      </c>
      <c r="C1954" s="3" t="str">
        <f>IFERROR(__xludf.DUMMYFUNCTION("GOOGLETRANSLATE(B1954,""id"",""en"")"),"['submit', 'complaint']")</f>
        <v>['submit', 'complaint']</v>
      </c>
      <c r="D1954" s="3">
        <v>1.0</v>
      </c>
    </row>
    <row r="1955" ht="15.75" customHeight="1">
      <c r="A1955" s="1">
        <v>2057.0</v>
      </c>
      <c r="B1955" s="3" t="s">
        <v>1917</v>
      </c>
      <c r="C1955" s="3" t="str">
        <f>IFERROR(__xludf.DUMMYFUNCTION("GOOGLETRANSLATE(B1955,""id"",""en"")"),"['Login', 'Gabisa', 'Indihome', 'EMG', 'Different']")</f>
        <v>['Login', 'Gabisa', 'Indihome', 'EMG', 'Different']</v>
      </c>
      <c r="D1955" s="3">
        <v>1.0</v>
      </c>
    </row>
    <row r="1956" ht="15.75" customHeight="1">
      <c r="A1956" s="1">
        <v>2058.0</v>
      </c>
      <c r="B1956" s="3" t="s">
        <v>1918</v>
      </c>
      <c r="C1956" s="3" t="str">
        <f>IFERROR(__xludf.DUMMYFUNCTION("GOOGLETRANSLATE(B1956,""id"",""en"")"),"['', 'update', 'slow', 'really']")</f>
        <v>['', 'update', 'slow', 'really']</v>
      </c>
      <c r="D1956" s="3">
        <v>1.0</v>
      </c>
    </row>
    <row r="1957" ht="15.75" customHeight="1">
      <c r="A1957" s="1">
        <v>2059.0</v>
      </c>
      <c r="B1957" s="3" t="s">
        <v>1919</v>
      </c>
      <c r="C1957" s="3" t="str">
        <f>IFERROR(__xludf.DUMMYFUNCTION("GOOGLETRANSLATE(B1957,""id"",""en"")"),"['application', 'bad', 'sting', 'slow', 'pay', 'bill', 'November', 'application', 'method', 'pay', 'link', 'payment', ' Success', 'bills',' November ',' appears', 'bad', 'slow', 'ugly', '']")</f>
        <v>['application', 'bad', 'sting', 'slow', 'pay', 'bill', 'November', 'application', 'method', 'pay', 'link', 'payment', ' Success', 'bills',' November ',' appears', 'bad', 'slow', 'ugly', '']</v>
      </c>
      <c r="D1957" s="3">
        <v>1.0</v>
      </c>
    </row>
    <row r="1958" ht="15.75" customHeight="1">
      <c r="A1958" s="1">
        <v>2060.0</v>
      </c>
      <c r="B1958" s="3" t="s">
        <v>1920</v>
      </c>
      <c r="C1958" s="3" t="str">
        <f>IFERROR(__xludf.DUMMYFUNCTION("GOOGLETRANSLATE(B1958,""id"",""en"")"),"['Disruption', 'Canal']")</f>
        <v>['Disruption', 'Canal']</v>
      </c>
      <c r="D1958" s="3">
        <v>1.0</v>
      </c>
    </row>
    <row r="1959" ht="15.75" customHeight="1">
      <c r="A1959" s="1">
        <v>2061.0</v>
      </c>
      <c r="B1959" s="3" t="s">
        <v>1921</v>
      </c>
      <c r="C1959" s="3" t="str">
        <f>IFERROR(__xludf.DUMMYFUNCTION("GOOGLETRANSLATE(B1959,""id"",""en"")"),"['application', 'useful', 'check', 'payment', 'monthly', 'usage', 'data', 'complete', 'hope', 'advanced', 'developing', 'the application', ' ']")</f>
        <v>['application', 'useful', 'check', 'payment', 'monthly', 'usage', 'data', 'complete', 'hope', 'advanced', 'developing', 'the application', ' ']</v>
      </c>
      <c r="D1959" s="3">
        <v>5.0</v>
      </c>
    </row>
    <row r="1960" ht="15.75" customHeight="1">
      <c r="A1960" s="1">
        <v>2062.0</v>
      </c>
      <c r="B1960" s="3" t="s">
        <v>1922</v>
      </c>
      <c r="C1960" s="3" t="str">
        <f>IFERROR(__xludf.DUMMYFUNCTION("GOOGLETRANSLATE(B1960,""id"",""en"")"),"['Update', 'Lemott', 'Parawhhhh']")</f>
        <v>['Update', 'Lemott', 'Parawhhhh']</v>
      </c>
      <c r="D1960" s="3">
        <v>1.0</v>
      </c>
    </row>
    <row r="1961" ht="15.75" customHeight="1">
      <c r="A1961" s="1">
        <v>2063.0</v>
      </c>
      <c r="B1961" s="3" t="s">
        <v>1923</v>
      </c>
      <c r="C1961" s="3" t="str">
        <f>IFERROR(__xludf.DUMMYFUNCTION("GOOGLETRANSLATE(B1961,""id"",""en"")"),"['service', 'fast', 'internet', 'mantab', 'take', 'Mbps',' promo ',' list ',' online ',' tomorrow ',' tide ',' top ',' Anyway ',' Indihome ', ""]")</f>
        <v>['service', 'fast', 'internet', 'mantab', 'take', 'Mbps',' promo ',' list ',' online ',' tomorrow ',' tide ',' top ',' Anyway ',' Indihome ', "]</v>
      </c>
      <c r="D1961" s="3">
        <v>5.0</v>
      </c>
    </row>
    <row r="1962" ht="15.75" customHeight="1">
      <c r="A1962" s="1">
        <v>2065.0</v>
      </c>
      <c r="B1962" s="3" t="s">
        <v>1924</v>
      </c>
      <c r="C1962" s="3" t="str">
        <f>IFERROR(__xludf.DUMMYFUNCTION("GOOGLETRANSLATE(B1962,""id"",""en"")"),"['update', 'login', 'Stuck', 'enter', 'email', 'account', 'locked', 'login', 'bar', 'wifi', 'indihome', 'full', ' Update ',' ugly ',' really ',' star ',' ']")</f>
        <v>['update', 'login', 'Stuck', 'enter', 'email', 'account', 'locked', 'login', 'bar', 'wifi', 'indihome', 'full', ' Update ',' ugly ',' really ',' star ',' ']</v>
      </c>
      <c r="D1962" s="3">
        <v>1.0</v>
      </c>
    </row>
    <row r="1963" ht="15.75" customHeight="1">
      <c r="A1963" s="1">
        <v>2066.0</v>
      </c>
      <c r="B1963" s="3" t="s">
        <v>1925</v>
      </c>
      <c r="C1963" s="3" t="str">
        <f>IFERROR(__xludf.DUMMYFUNCTION("GOOGLETRANSLATE(B1963,""id"",""en"")"),"['slow', 'bngt', 'pdhl', 'make', 'boarding', '']")</f>
        <v>['slow', 'bngt', 'pdhl', 'make', 'boarding', '']</v>
      </c>
      <c r="D1963" s="3">
        <v>1.0</v>
      </c>
    </row>
    <row r="1964" ht="15.75" customHeight="1">
      <c r="A1964" s="1">
        <v>2067.0</v>
      </c>
      <c r="B1964" s="3" t="s">
        <v>1926</v>
      </c>
      <c r="C1964" s="3" t="str">
        <f>IFERROR(__xludf.DUMMYFUNCTION("GOOGLETRANSLATE(B1964,""id"",""en"")"),"['update', 'difficult', 'enter', 'please', 'repair']")</f>
        <v>['update', 'difficult', 'enter', 'please', 'repair']</v>
      </c>
      <c r="D1964" s="3">
        <v>2.0</v>
      </c>
    </row>
    <row r="1965" ht="15.75" customHeight="1">
      <c r="A1965" s="1">
        <v>2068.0</v>
      </c>
      <c r="B1965" s="3" t="s">
        <v>1927</v>
      </c>
      <c r="C1965" s="3" t="str">
        <f>IFERROR(__xludf.DUMMYFUNCTION("GOOGLETRANSLATE(B1965,""id"",""en"")"),"['Application', 'help', ""]")</f>
        <v>['Application', 'help', "]</v>
      </c>
      <c r="D1965" s="3">
        <v>5.0</v>
      </c>
    </row>
    <row r="1966" ht="15.75" customHeight="1">
      <c r="A1966" s="1">
        <v>2069.0</v>
      </c>
      <c r="B1966" s="3" t="s">
        <v>1928</v>
      </c>
      <c r="C1966" s="3" t="str">
        <f>IFERROR(__xludf.DUMMYFUNCTION("GOOGLETRANSLATE(B1966,""id"",""en"")"),"['application', 'Myindihome', 'petrified', 'have', 'promo', 'promo', 'interesting']")</f>
        <v>['application', 'Myindihome', 'petrified', 'have', 'promo', 'promo', 'interesting']</v>
      </c>
      <c r="D1966" s="3">
        <v>5.0</v>
      </c>
    </row>
    <row r="1967" ht="15.75" customHeight="1">
      <c r="A1967" s="1">
        <v>2070.0</v>
      </c>
      <c r="B1967" s="3" t="s">
        <v>1929</v>
      </c>
      <c r="C1967" s="3" t="str">
        <f>IFERROR(__xludf.DUMMYFUNCTION("GOOGLETRANSLATE(B1967,""id"",""en"")"),"['Mantab', 'easy', 'reporting', 'disorder', 'handling', 'fast']")</f>
        <v>['Mantab', 'easy', 'reporting', 'disorder', 'handling', 'fast']</v>
      </c>
      <c r="D1967" s="3">
        <v>5.0</v>
      </c>
    </row>
    <row r="1968" ht="15.75" customHeight="1">
      <c r="A1968" s="1">
        <v>2071.0</v>
      </c>
      <c r="B1968" s="3" t="s">
        <v>1930</v>
      </c>
      <c r="C1968" s="3" t="str">
        <f>IFERROR(__xludf.DUMMYFUNCTION("GOOGLETRANSLATE(B1968,""id"",""en"")"),"['Hallo', 'Indihome', 'customers',' loyal ',' thank ',' love ',' friend ',' best ',' class', 'from my' ']")</f>
        <v>['Hallo', 'Indihome', 'customers',' loyal ',' thank ',' love ',' friend ',' best ',' class', 'from my' ']</v>
      </c>
      <c r="D1968" s="3">
        <v>5.0</v>
      </c>
    </row>
    <row r="1969" ht="15.75" customHeight="1">
      <c r="A1969" s="1">
        <v>2072.0</v>
      </c>
      <c r="B1969" s="3" t="s">
        <v>1931</v>
      </c>
      <c r="C1969" s="3" t="str">
        <f>IFERROR(__xludf.DUMMYFUNCTION("GOOGLETRANSLATE(B1969,""id"",""en"")"),"['looks', 'fresh', 'yaa', 'application', 'updated', '']")</f>
        <v>['looks', 'fresh', 'yaa', 'application', 'updated', '']</v>
      </c>
      <c r="D1969" s="3">
        <v>5.0</v>
      </c>
    </row>
    <row r="1970" ht="15.75" customHeight="1">
      <c r="A1970" s="1">
        <v>2073.0</v>
      </c>
      <c r="B1970" s="3" t="s">
        <v>1932</v>
      </c>
      <c r="C1970" s="3" t="str">
        <f>IFERROR(__xludf.DUMMYFUNCTION("GOOGLETRANSLATE(B1970,""id"",""en"")"),"['fun', 'myindihome', 'display', 'soothing', 'eyes', 'features', 'newest', 'fan', 'developing', 'indihome', ""]")</f>
        <v>['fun', 'myindihome', 'display', 'soothing', 'eyes', 'features', 'newest', 'fan', 'developing', 'indihome', "]</v>
      </c>
      <c r="D1970" s="3">
        <v>5.0</v>
      </c>
    </row>
    <row r="1971" ht="15.75" customHeight="1">
      <c r="A1971" s="1">
        <v>2074.0</v>
      </c>
      <c r="B1971" s="3" t="s">
        <v>1933</v>
      </c>
      <c r="C1971" s="3" t="str">
        <f>IFERROR(__xludf.DUMMYFUNCTION("GOOGLETRANSLATE(B1971,""id"",""en"")"),"['Service', 'Indihome', 'disappointing', 'Need', 'night', 'technician']")</f>
        <v>['Service', 'Indihome', 'disappointing', 'Need', 'night', 'technician']</v>
      </c>
      <c r="D1971" s="3">
        <v>1.0</v>
      </c>
    </row>
    <row r="1972" ht="15.75" customHeight="1">
      <c r="A1972" s="1">
        <v>2075.0</v>
      </c>
      <c r="B1972" s="3" t="s">
        <v>1934</v>
      </c>
      <c r="C1972" s="3" t="str">
        <f>IFERROR(__xludf.DUMMYFUNCTION("GOOGLETRANSLATE(B1972,""id"",""en"")"),"['Bagussss']")</f>
        <v>['Bagussss']</v>
      </c>
      <c r="D1972" s="3">
        <v>4.0</v>
      </c>
    </row>
    <row r="1973" ht="15.75" customHeight="1">
      <c r="A1973" s="1">
        <v>2076.0</v>
      </c>
      <c r="B1973" s="3" t="s">
        <v>1935</v>
      </c>
      <c r="C1973" s="3" t="str">
        <f>IFERROR(__xludf.DUMMYFUNCTION("GOOGLETRANSLATE(B1973,""id"",""en"")"),"['update', 'the latest', 'slow', 'update', 'function', 'hope', 'innovate', 'developing', '']")</f>
        <v>['update', 'the latest', 'slow', 'update', 'function', 'hope', 'innovate', 'developing', '']</v>
      </c>
      <c r="D1973" s="3">
        <v>5.0</v>
      </c>
    </row>
    <row r="1974" ht="15.75" customHeight="1">
      <c r="A1974" s="1">
        <v>2077.0</v>
      </c>
      <c r="B1974" s="3" t="s">
        <v>1936</v>
      </c>
      <c r="C1974" s="3" t="str">
        <f>IFERROR(__xludf.DUMMYFUNCTION("GOOGLETRANSLATE(B1974,""id"",""en"")"),"['Cool', 'updte', 'looks',' kece ',' offer ',' offer ',' latest ',' menu ',' payment ',' printed ',' nominal ',' mudha ',' Use ',' Internet ',' displayed ',' Use ',' Thank you ',' Indihome ',' Service ',' Best ', ""]")</f>
        <v>['Cool', 'updte', 'looks',' kece ',' offer ',' offer ',' latest ',' menu ',' payment ',' printed ',' nominal ',' mudha ',' Use ',' Internet ',' displayed ',' Use ',' Thank you ',' Indihome ',' Service ',' Best ', "]</v>
      </c>
      <c r="D1974" s="3">
        <v>5.0</v>
      </c>
    </row>
    <row r="1975" ht="15.75" customHeight="1">
      <c r="A1975" s="1">
        <v>2078.0</v>
      </c>
      <c r="B1975" s="3" t="s">
        <v>1937</v>
      </c>
      <c r="C1975" s="3" t="str">
        <f>IFERROR(__xludf.DUMMYFUNCTION("GOOGLETRANSLATE(B1975,""id"",""en"")"),"['heavy', 'slow', 'the application', 'wait', 'update', 'apply', 'the fastest', '']")</f>
        <v>['heavy', 'slow', 'the application', 'wait', 'update', 'apply', 'the fastest', '']</v>
      </c>
      <c r="D1975" s="3">
        <v>5.0</v>
      </c>
    </row>
    <row r="1976" ht="15.75" customHeight="1">
      <c r="A1976" s="1">
        <v>2079.0</v>
      </c>
      <c r="B1976" s="3" t="s">
        <v>1938</v>
      </c>
      <c r="C1976" s="3" t="str">
        <f>IFERROR(__xludf.DUMMYFUNCTION("GOOGLETRANSLATE(B1976,""id"",""en"")"),"['Satisfied', 'Use', 'Indihome', 'Application', 'Display', 'Interesting', '']")</f>
        <v>['Satisfied', 'Use', 'Indihome', 'Application', 'Display', 'Interesting', '']</v>
      </c>
      <c r="D1976" s="3">
        <v>5.0</v>
      </c>
    </row>
    <row r="1977" ht="15.75" customHeight="1">
      <c r="A1977" s="1">
        <v>2080.0</v>
      </c>
      <c r="B1977" s="3" t="s">
        <v>1939</v>
      </c>
      <c r="C1977" s="3" t="str">
        <f>IFERROR(__xludf.DUMMYFUNCTION("GOOGLETRANSLATE(B1977,""id"",""en"")"),"['The application', 'the latest', 'best', 'makes it easy', 'pay', 'bill', 'easy', 'hope', 'future', 'network', 'level', 'ngg', ' Danganganguang ',' ']")</f>
        <v>['The application', 'the latest', 'best', 'makes it easy', 'pay', 'bill', 'easy', 'hope', 'future', 'network', 'level', 'ngg', ' Danganganguang ',' ']</v>
      </c>
      <c r="D1977" s="3">
        <v>5.0</v>
      </c>
    </row>
    <row r="1978" ht="15.75" customHeight="1">
      <c r="A1978" s="1">
        <v>2081.0</v>
      </c>
      <c r="B1978" s="3" t="s">
        <v>1940</v>
      </c>
      <c r="C1978" s="3" t="str">
        <f>IFERROR(__xludf.DUMMYFUNCTION("GOOGLETRANSLATE(B1978,""id"",""en"")"),"['thank', 'love', 'indihome', 'application', 'myindihome', 'it's easy', 'help', 'report', 'problem', 'hopefully', 'smooth', 'success',' Indihome ',' ']")</f>
        <v>['thank', 'love', 'indihome', 'application', 'myindihome', 'it's easy', 'help', 'report', 'problem', 'hopefully', 'smooth', 'success',' Indihome ',' ']</v>
      </c>
      <c r="D1978" s="3">
        <v>5.0</v>
      </c>
    </row>
    <row r="1979" ht="15.75" customHeight="1">
      <c r="A1979" s="1">
        <v>2082.0</v>
      </c>
      <c r="B1979" s="3" t="s">
        <v>1941</v>
      </c>
      <c r="C1979" s="3" t="str">
        <f>IFERROR(__xludf.DUMMYFUNCTION("GOOGLETRANSLATE(B1979,""id"",""en"")"),"['Update']")</f>
        <v>['Update']</v>
      </c>
      <c r="D1979" s="3">
        <v>5.0</v>
      </c>
    </row>
    <row r="1980" ht="15.75" customHeight="1">
      <c r="A1980" s="1">
        <v>2083.0</v>
      </c>
      <c r="B1980" s="3" t="s">
        <v>460</v>
      </c>
      <c r="C1980" s="3" t="str">
        <f>IFERROR(__xludf.DUMMYFUNCTION("GOOGLETRANSLATE(B1980,""id"",""en"")"),"['steady', '']")</f>
        <v>['steady', '']</v>
      </c>
      <c r="D1980" s="3">
        <v>5.0</v>
      </c>
    </row>
    <row r="1981" ht="15.75" customHeight="1">
      <c r="A1981" s="1">
        <v>2084.0</v>
      </c>
      <c r="B1981" s="3" t="s">
        <v>1942</v>
      </c>
      <c r="C1981" s="3" t="str">
        <f>IFERROR(__xludf.DUMMYFUNCTION("GOOGLETRANSLATE(B1981,""id"",""en"")"),"['The application', 'slow', 'difficult', '']")</f>
        <v>['The application', 'slow', 'difficult', '']</v>
      </c>
      <c r="D1981" s="3">
        <v>2.0</v>
      </c>
    </row>
    <row r="1982" ht="15.75" customHeight="1">
      <c r="A1982" s="1">
        <v>2085.0</v>
      </c>
      <c r="B1982" s="3" t="s">
        <v>1943</v>
      </c>
      <c r="C1982" s="3" t="str">
        <f>IFERROR(__xludf.DUMMYFUNCTION("GOOGLETRANSLATE(B1982,""id"",""en"")"),"['Application', 'update', 'menu', 'additional', 'make it easy', 'customer', 'transact', 'feature', 'indihome', '']")</f>
        <v>['Application', 'update', 'menu', 'additional', 'make it easy', 'customer', 'transact', 'feature', 'indihome', '']</v>
      </c>
      <c r="D1982" s="3">
        <v>5.0</v>
      </c>
    </row>
    <row r="1983" ht="15.75" customHeight="1">
      <c r="A1983" s="1">
        <v>2086.0</v>
      </c>
      <c r="B1983" s="3" t="s">
        <v>1944</v>
      </c>
      <c r="C1983" s="3" t="str">
        <f>IFERROR(__xludf.DUMMYFUNCTION("GOOGLETRANSLATE(B1983,""id"",""en"")"),"['customer', 'loyal', 'Indihome', 'shocked', 'officer', 'house', 'fix', 'path', 'optics',' indihome ',' no ',' believe ',' asked ',' name ',' letter ',' task ',' indihome ',' center ',' right ',' officer ',' indihome ',' line ',' optical ',' indihome ',' "&amp;"home ' , 'Decrease', 'thinking', 'Net', 'Office', 'Indihome', 'Sampek', 'Sedetile', 'thinking', 'Costumer', 'Satisfied', 'Anyway', ""]")</f>
        <v>['customer', 'loyal', 'Indihome', 'shocked', 'officer', 'house', 'fix', 'path', 'optics',' indihome ',' no ',' believe ',' asked ',' name ',' letter ',' task ',' indihome ',' center ',' right ',' officer ',' indihome ',' line ',' optical ',' indihome ',' home ' , 'Decrease', 'thinking', 'Net', 'Office', 'Indihome', 'Sampek', 'Sedetile', 'thinking', 'Costumer', 'Satisfied', 'Anyway', "]</v>
      </c>
      <c r="D1983" s="3">
        <v>5.0</v>
      </c>
    </row>
    <row r="1984" ht="15.75" customHeight="1">
      <c r="A1984" s="1">
        <v>2087.0</v>
      </c>
      <c r="B1984" s="3" t="s">
        <v>1945</v>
      </c>
      <c r="C1984" s="3" t="str">
        <f>IFERROR(__xludf.DUMMYFUNCTION("GOOGLETRANSLATE(B1984,""id"",""en"")"),"['Indihome', 'Dihati', ""]")</f>
        <v>['Indihome', 'Dihati', "]</v>
      </c>
      <c r="D1984" s="3">
        <v>5.0</v>
      </c>
    </row>
    <row r="1985" ht="15.75" customHeight="1">
      <c r="A1985" s="1">
        <v>2088.0</v>
      </c>
      <c r="B1985" s="3" t="s">
        <v>1946</v>
      </c>
      <c r="C1985" s="3" t="str">
        <f>IFERROR(__xludf.DUMMYFUNCTION("GOOGLETRANSLATE(B1985,""id"",""en"")"),"['The application', 'slow', 'really', 'LOLA', 'LODING', 'POINT', 'number', 'main', 'number', 'companion', 'exchange', 'Point', ' nice', '']")</f>
        <v>['The application', 'slow', 'really', 'LOLA', 'LODING', 'POINT', 'number', 'main', 'number', 'companion', 'exchange', 'Point', ' nice', '']</v>
      </c>
      <c r="D1985" s="3">
        <v>2.0</v>
      </c>
    </row>
    <row r="1986" ht="15.75" customHeight="1">
      <c r="A1986" s="1">
        <v>2089.0</v>
      </c>
      <c r="B1986" s="3" t="s">
        <v>1947</v>
      </c>
      <c r="C1986" s="3" t="str">
        <f>IFERROR(__xludf.DUMMYFUNCTION("GOOGLETRANSLATE(B1986,""id"",""en"")"),"['The application', 'help', 'steady', '']")</f>
        <v>['The application', 'help', 'steady', '']</v>
      </c>
      <c r="D1986" s="3">
        <v>5.0</v>
      </c>
    </row>
    <row r="1987" ht="15.75" customHeight="1">
      <c r="A1987" s="1">
        <v>2090.0</v>
      </c>
      <c r="B1987" s="3" t="s">
        <v>1948</v>
      </c>
      <c r="C1987" s="3" t="str">
        <f>IFERROR(__xludf.DUMMYFUNCTION("GOOGLETRANSLATE(B1987,""id"",""en"")"),"['hope', 'spacious', 'Jaya']")</f>
        <v>['hope', 'spacious', 'Jaya']</v>
      </c>
      <c r="D1987" s="3">
        <v>5.0</v>
      </c>
    </row>
    <row r="1988" ht="15.75" customHeight="1">
      <c r="A1988" s="1">
        <v>2091.0</v>
      </c>
      <c r="B1988" s="3" t="s">
        <v>1949</v>
      </c>
      <c r="C1988" s="3" t="str">
        <f>IFERROR(__xludf.DUMMYFUNCTION("GOOGLETRANSLATE(B1988,""id"",""en"")"),"['Thank you', 'service', 'in', 'complaint', 'fast', 'responded', '']")</f>
        <v>['Thank you', 'service', 'in', 'complaint', 'fast', 'responded', '']</v>
      </c>
      <c r="D1988" s="3">
        <v>5.0</v>
      </c>
    </row>
    <row r="1989" ht="15.75" customHeight="1">
      <c r="A1989" s="1">
        <v>2092.0</v>
      </c>
      <c r="B1989" s="3" t="s">
        <v>1950</v>
      </c>
      <c r="C1989" s="3" t="str">
        <f>IFERROR(__xludf.DUMMYFUNCTION("GOOGLETRANSLATE(B1989,""id"",""en"")"),"['INDIHOME', 'Helping', 'Lecture', 'Online', 'Useful', 'Bangettt', 'Hopefully', 'First', 'The Vendor', ""]")</f>
        <v>['INDIHOME', 'Helping', 'Lecture', 'Online', 'Useful', 'Bangettt', 'Hopefully', 'First', 'The Vendor', "]</v>
      </c>
      <c r="D1989" s="3">
        <v>5.0</v>
      </c>
    </row>
    <row r="1990" ht="15.75" customHeight="1">
      <c r="A1990" s="1">
        <v>2093.0</v>
      </c>
      <c r="B1990" s="3" t="s">
        <v>1951</v>
      </c>
      <c r="C1990" s="3" t="str">
        <f>IFERROR(__xludf.DUMMYFUNCTION("GOOGLETRANSLATE(B1990,""id"",""en"")"),"['Out', 'update', 'difficult', 'login', 'crash', 'plus', 'nge', 'hang']")</f>
        <v>['Out', 'update', 'difficult', 'login', 'crash', 'plus', 'nge', 'hang']</v>
      </c>
      <c r="D1990" s="3">
        <v>2.0</v>
      </c>
    </row>
    <row r="1991" ht="15.75" customHeight="1">
      <c r="A1991" s="1">
        <v>2094.0</v>
      </c>
      <c r="B1991" s="3" t="s">
        <v>1952</v>
      </c>
      <c r="C1991" s="3" t="str">
        <f>IFERROR(__xludf.DUMMYFUNCTION("GOOGLETRANSLATE(B1991,""id"",""en"")"),"['The application', 'Good', 'Helping', 'Customer', 'Application', 'Joss', ""]")</f>
        <v>['The application', 'Good', 'Helping', 'Customer', 'Application', 'Joss', "]</v>
      </c>
      <c r="D1991" s="3">
        <v>5.0</v>
      </c>
    </row>
    <row r="1992" ht="15.75" customHeight="1">
      <c r="A1992" s="1">
        <v>2095.0</v>
      </c>
      <c r="B1992" s="3" t="s">
        <v>1953</v>
      </c>
      <c r="C1992" s="3" t="str">
        <f>IFERROR(__xludf.DUMMYFUNCTION("GOOGLETRANSLATE(B1992,""id"",""en"")"),"['Application', 'Fast', 'Fast', 'Response', 'Inviting', 'Brother', 'Sister', 'Subscribe', 'Indihome', 'Download', 'Application', 'MyIndihome', ' Fluency ',' Merdeka ', ""]")</f>
        <v>['Application', 'Fast', 'Fast', 'Response', 'Inviting', 'Brother', 'Sister', 'Subscribe', 'Indihome', 'Download', 'Application', 'MyIndihome', ' Fluency ',' Merdeka ', "]</v>
      </c>
      <c r="D1992" s="3">
        <v>5.0</v>
      </c>
    </row>
    <row r="1993" ht="15.75" customHeight="1">
      <c r="A1993" s="1">
        <v>2096.0</v>
      </c>
      <c r="B1993" s="3" t="s">
        <v>1954</v>
      </c>
      <c r="C1993" s="3" t="str">
        <f>IFERROR(__xludf.DUMMYFUNCTION("GOOGLETRANSLATE(B1993,""id"",""en"")"),"['Application', 'Help', ""]")</f>
        <v>['Application', 'Help', "]</v>
      </c>
      <c r="D1993" s="3">
        <v>5.0</v>
      </c>
    </row>
    <row r="1994" ht="15.75" customHeight="1">
      <c r="A1994" s="1">
        <v>2097.0</v>
      </c>
      <c r="B1994" s="3" t="s">
        <v>1955</v>
      </c>
      <c r="C1994" s="3" t="str">
        <f>IFERROR(__xludf.DUMMYFUNCTION("GOOGLETRANSLATE(B1994,""id"",""en"")"),"['Good', 'network', 'okay', '']")</f>
        <v>['Good', 'network', 'okay', '']</v>
      </c>
      <c r="D1994" s="3">
        <v>5.0</v>
      </c>
    </row>
    <row r="1995" ht="15.75" customHeight="1">
      <c r="A1995" s="1">
        <v>2099.0</v>
      </c>
      <c r="B1995" s="3" t="s">
        <v>1956</v>
      </c>
      <c r="C1995" s="3" t="str">
        <f>IFERROR(__xludf.DUMMYFUNCTION("GOOGLETRANSLATE(B1995,""id"",""en"")"),"['Application', 'BUMN', 'Rich', 'Trash', 'Gini', ""]")</f>
        <v>['Application', 'BUMN', 'Rich', 'Trash', 'Gini', "]</v>
      </c>
      <c r="D1995" s="3">
        <v>1.0</v>
      </c>
    </row>
    <row r="1996" ht="15.75" customHeight="1">
      <c r="A1996" s="1">
        <v>2100.0</v>
      </c>
      <c r="B1996" s="3" t="s">
        <v>1957</v>
      </c>
      <c r="C1996" s="3" t="str">
        <f>IFERROR(__xludf.DUMMYFUNCTION("GOOGLETRANSLATE(B1996,""id"",""en"")"),"['open', 'application', 'error', 'trs', 'loading', 'trs', 'cape', 'deh']")</f>
        <v>['open', 'application', 'error', 'trs', 'loading', 'trs', 'cape', 'deh']</v>
      </c>
      <c r="D1996" s="3">
        <v>1.0</v>
      </c>
    </row>
    <row r="1997" ht="15.75" customHeight="1">
      <c r="A1997" s="1">
        <v>2101.0</v>
      </c>
      <c r="B1997" s="3" t="s">
        <v>1958</v>
      </c>
      <c r="C1997" s="3" t="str">
        <f>IFERROR(__xludf.DUMMYFUNCTION("GOOGLETRANSLATE(B1997,""id"",""en"")"),"['Please', 'Application', 'Repair', 'Useful', 'Seriously', 'Pay', 'Application', 'Improvement', 'then', 'Lemot', 'Pisan', 'Application', ' Really ',' GTU ']")</f>
        <v>['Please', 'Application', 'Repair', 'Useful', 'Seriously', 'Pay', 'Application', 'Improvement', 'then', 'Lemot', 'Pisan', 'Application', ' Really ',' GTU ']</v>
      </c>
      <c r="D1997" s="3">
        <v>1.0</v>
      </c>
    </row>
    <row r="1998" ht="15.75" customHeight="1">
      <c r="A1998" s="1">
        <v>2102.0</v>
      </c>
      <c r="B1998" s="3" t="s">
        <v>1959</v>
      </c>
      <c r="C1998" s="3" t="str">
        <f>IFERROR(__xludf.DUMMYFUNCTION("GOOGLETRANSLATE(B1998,""id"",""en"")"),"['account', 'Open', 'Application', 'GIMNA', 'BYR', 'KLU', 'Application', 'Open']")</f>
        <v>['account', 'Open', 'Application', 'GIMNA', 'BYR', 'KLU', 'Application', 'Open']</v>
      </c>
      <c r="D1998" s="3">
        <v>1.0</v>
      </c>
    </row>
    <row r="1999" ht="15.75" customHeight="1">
      <c r="A1999" s="1">
        <v>2103.0</v>
      </c>
      <c r="B1999" s="3" t="s">
        <v>1960</v>
      </c>
      <c r="C1999" s="3" t="str">
        <f>IFERROR(__xludf.DUMMYFUNCTION("GOOGLETRANSLATE(B1999,""id"",""en"")"),"['Pay', 'smooth', 'network', 'slow', 'disappointed', '']")</f>
        <v>['Pay', 'smooth', 'network', 'slow', 'disappointed', '']</v>
      </c>
      <c r="D1999" s="3">
        <v>1.0</v>
      </c>
    </row>
    <row r="2000" ht="15.75" customHeight="1">
      <c r="A2000" s="1">
        <v>2104.0</v>
      </c>
      <c r="B2000" s="3" t="s">
        <v>1961</v>
      </c>
      <c r="C2000" s="3" t="str">
        <f>IFERROR(__xludf.DUMMYFUNCTION("GOOGLETRANSLATE(B2000,""id"",""en"")"),"['Update', 'version', 'ugly']")</f>
        <v>['Update', 'version', 'ugly']</v>
      </c>
      <c r="D2000" s="3">
        <v>1.0</v>
      </c>
    </row>
    <row r="2001" ht="15.75" customHeight="1">
      <c r="A2001" s="1">
        <v>2105.0</v>
      </c>
      <c r="B2001" s="3" t="s">
        <v>1962</v>
      </c>
      <c r="C2001" s="3" t="str">
        <f>IFERROR(__xludf.DUMMYFUNCTION("GOOGLETRANSLATE(B2001,""id"",""en"")"),"['bad', 'failed', 'login', 'email', 'recovery', 'no', 'no', 'star', '']")</f>
        <v>['bad', 'failed', 'login', 'email', 'recovery', 'no', 'no', 'star', '']</v>
      </c>
      <c r="D2001" s="3">
        <v>1.0</v>
      </c>
    </row>
    <row r="2002" ht="15.75" customHeight="1">
      <c r="A2002" s="1">
        <v>2106.0</v>
      </c>
      <c r="B2002" s="3" t="s">
        <v>1963</v>
      </c>
      <c r="C2002" s="3" t="str">
        <f>IFERROR(__xludf.DUMMYFUNCTION("GOOGLETRANSLATE(B2002,""id"",""en"")"),"['updet', 'Person', 'the latest', 'ugly', 'Hadeuuuhhh', '']")</f>
        <v>['updet', 'Person', 'the latest', 'ugly', 'Hadeuuuhhh', '']</v>
      </c>
      <c r="D2002" s="3">
        <v>1.0</v>
      </c>
    </row>
    <row r="2003" ht="15.75" customHeight="1">
      <c r="A2003" s="1">
        <v>2107.0</v>
      </c>
      <c r="B2003" s="3" t="s">
        <v>1964</v>
      </c>
      <c r="C2003" s="3" t="str">
        <f>IFERROR(__xludf.DUMMYFUNCTION("GOOGLETRANSLATE(B2003,""id"",""en"")"),"['Open', 'application', 'INDIHOME', 'BSA', 'DCLIK', 'DISPBUDUARY', 'MITIUR']")</f>
        <v>['Open', 'application', 'INDIHOME', 'BSA', 'DCLIK', 'DISPBUDUARY', 'MITIUR']</v>
      </c>
      <c r="D2003" s="3">
        <v>3.0</v>
      </c>
    </row>
    <row r="2004" ht="15.75" customHeight="1">
      <c r="A2004" s="1">
        <v>2108.0</v>
      </c>
      <c r="B2004" s="3" t="s">
        <v>1965</v>
      </c>
      <c r="C2004" s="3" t="str">
        <f>IFERROR(__xludf.DUMMYFUNCTION("GOOGLETRANSLATE(B2004,""id"",""en"")"),"['User', 'many years', 'enter', 'Please', 'fix', 'pay', 'forget', 'number', 'wifi']")</f>
        <v>['User', 'many years', 'enter', 'Please', 'fix', 'pay', 'forget', 'number', 'wifi']</v>
      </c>
      <c r="D2004" s="3">
        <v>1.0</v>
      </c>
    </row>
    <row r="2005" ht="15.75" customHeight="1">
      <c r="A2005" s="1">
        <v>2109.0</v>
      </c>
      <c r="B2005" s="3" t="s">
        <v>1966</v>
      </c>
      <c r="C2005" s="3" t="str">
        <f>IFERROR(__xludf.DUMMYFUNCTION("GOOGLETRANSLATE(B2005,""id"",""en"")"),"['', 'Login', 'KNTL', 'Application', 'Country']")</f>
        <v>['', 'Login', 'KNTL', 'Application', 'Country']</v>
      </c>
      <c r="D2005" s="3">
        <v>1.0</v>
      </c>
    </row>
    <row r="2006" ht="15.75" customHeight="1">
      <c r="A2006" s="1">
        <v>2110.0</v>
      </c>
      <c r="B2006" s="3" t="s">
        <v>1967</v>
      </c>
      <c r="C2006" s="3" t="str">
        <f>IFERROR(__xludf.DUMMYFUNCTION("GOOGLETRANSLATE(B2006,""id"",""en"")"),"['', 'Update', 'Ribet', 'Min', 'Loading']")</f>
        <v>['', 'Update', 'Ribet', 'Min', 'Loading']</v>
      </c>
      <c r="D2006" s="3">
        <v>2.0</v>
      </c>
    </row>
    <row r="2007" ht="15.75" customHeight="1">
      <c r="A2007" s="1">
        <v>2111.0</v>
      </c>
      <c r="B2007" s="3" t="s">
        <v>1968</v>
      </c>
      <c r="C2007" s="3" t="str">
        <f>IFERROR(__xludf.DUMMYFUNCTION("GOOGLETRANSLATE(B2007,""id"",""en"")"),"['Please', 'Donk', 'See', 'Bill', 'Ask', 'password', 'just', 'version', ""]")</f>
        <v>['Please', 'Donk', 'See', 'Bill', 'Ask', 'password', 'just', 'version', "]</v>
      </c>
      <c r="D2007" s="3">
        <v>1.0</v>
      </c>
    </row>
    <row r="2008" ht="15.75" customHeight="1">
      <c r="A2008" s="1">
        <v>2112.0</v>
      </c>
      <c r="B2008" s="3" t="s">
        <v>1969</v>
      </c>
      <c r="C2008" s="3" t="str">
        <f>IFERROR(__xludf.DUMMYFUNCTION("GOOGLETRANSLATE(B2008,""id"",""en"")"),"['update', 'good', 'slow', 'enter', 'account', 'pdahal', 'enter', 'password', 'email', 'good', 'version', 'ribet', ' Please 'repair']")</f>
        <v>['update', 'good', 'slow', 'enter', 'account', 'pdahal', 'enter', 'password', 'email', 'good', 'version', 'ribet', ' Please 'repair']</v>
      </c>
      <c r="D2008" s="3">
        <v>2.0</v>
      </c>
    </row>
    <row r="2009" ht="15.75" customHeight="1">
      <c r="A2009" s="1">
        <v>2113.0</v>
      </c>
      <c r="B2009" s="3" t="s">
        <v>1970</v>
      </c>
      <c r="C2009" s="3" t="str">
        <f>IFERROR(__xludf.DUMMYFUNCTION("GOOGLETRANSLATE(B2009,""id"",""en"")"),"['slow', 'enter', 'application', 'taste', 'enter', 'heaven', ""]")</f>
        <v>['slow', 'enter', 'application', 'taste', 'enter', 'heaven', "]</v>
      </c>
      <c r="D2009" s="3">
        <v>1.0</v>
      </c>
    </row>
    <row r="2010" ht="15.75" customHeight="1">
      <c r="A2010" s="1">
        <v>2114.0</v>
      </c>
      <c r="B2010" s="3" t="s">
        <v>1971</v>
      </c>
      <c r="C2010" s="3" t="str">
        <f>IFERROR(__xludf.DUMMYFUNCTION("GOOGLETRANSLATE(B2010,""id"",""en"")"),"['Application', 'updated', 'login', 'bug', 'class', 'BUMN', 'APK', 'Playstore', 'Nge', 'bug']")</f>
        <v>['Application', 'updated', 'login', 'bug', 'class', 'BUMN', 'APK', 'Playstore', 'Nge', 'bug']</v>
      </c>
      <c r="D2010" s="3">
        <v>1.0</v>
      </c>
    </row>
    <row r="2011" ht="15.75" customHeight="1">
      <c r="A2011" s="1">
        <v>2115.0</v>
      </c>
      <c r="B2011" s="3" t="s">
        <v>1972</v>
      </c>
      <c r="C2011" s="3" t="str">
        <f>IFERROR(__xludf.DUMMYFUNCTION("GOOGLETRANSLATE(B2011,""id"",""en"")"),"['Buy', 'Package', 'Minipack', 'Indisport', 'Package', 'Available']")</f>
        <v>['Buy', 'Package', 'Minipack', 'Indisport', 'Package', 'Available']</v>
      </c>
      <c r="D2011" s="3">
        <v>3.0</v>
      </c>
    </row>
    <row r="2012" ht="15.75" customHeight="1">
      <c r="A2012" s="1">
        <v>2116.0</v>
      </c>
      <c r="B2012" s="3" t="s">
        <v>1973</v>
      </c>
      <c r="C2012" s="3" t="str">
        <f>IFERROR(__xludf.DUMMYFUNCTION("GOOGLETRANSLATE(B2012,""id"",""en"")"),"['use', 'Indihome', 'already', 'regret', 'Wait', 'Setaon', 'I closed', ""]")</f>
        <v>['use', 'Indihome', 'already', 'regret', 'Wait', 'Setaon', 'I closed', "]</v>
      </c>
      <c r="D2012" s="3">
        <v>1.0</v>
      </c>
    </row>
    <row r="2013" ht="15.75" customHeight="1">
      <c r="A2013" s="1">
        <v>2117.0</v>
      </c>
      <c r="B2013" s="3" t="s">
        <v>1974</v>
      </c>
      <c r="C2013" s="3" t="str">
        <f>IFERROR(__xludf.DUMMYFUNCTION("GOOGLETRANSLATE(B2013,""id"",""en"")"),"['number', 'application', 'replace', 'active', 'number', 'weird']")</f>
        <v>['number', 'application', 'replace', 'active', 'number', 'weird']</v>
      </c>
      <c r="D2013" s="3">
        <v>1.0</v>
      </c>
    </row>
    <row r="2014" ht="15.75" customHeight="1">
      <c r="A2014" s="1">
        <v>2118.0</v>
      </c>
      <c r="B2014" s="3" t="s">
        <v>1975</v>
      </c>
      <c r="C2014" s="3" t="str">
        <f>IFERROR(__xludf.DUMMYFUNCTION("GOOGLETRANSLATE(B2014,""id"",""en"")"),"['Severe', 'bug', 'motion', 'ngeescroll']")</f>
        <v>['Severe', 'bug', 'motion', 'ngeescroll']</v>
      </c>
      <c r="D2014" s="3">
        <v>1.0</v>
      </c>
    </row>
    <row r="2015" ht="15.75" customHeight="1">
      <c r="A2015" s="1">
        <v>2119.0</v>
      </c>
      <c r="B2015" s="3" t="s">
        <v>1976</v>
      </c>
      <c r="C2015" s="3" t="str">
        <f>IFERROR(__xludf.DUMMYFUNCTION("GOOGLETRANSLATE(B2015,""id"",""en"")"),"['Report', 'Disruption', 'Call', 'Hard', 'Connect', 'Turn', 'Connect', 'Machine', 'Diputer', 'Have', 'Restart', 'Modem', ' Until ',' Tip ',' told ',' Report ',' Application ',' Turn ',' Application ',' Update ',' Report ',' Application ',' Lemot ',' Progr"&amp;"ess', 'Disorders' , 'Drifting', 'Where', 'Moto', 'Doang', 'The', 'Best', 'Kasian', 'Disorders', 'already', 'for days', ""]")</f>
        <v>['Report', 'Disruption', 'Call', 'Hard', 'Connect', 'Turn', 'Connect', 'Machine', 'Diputer', 'Have', 'Restart', 'Modem', ' Until ',' Tip ',' told ',' Report ',' Application ',' Turn ',' Application ',' Update ',' Report ',' Application ',' Lemot ',' Progress', 'Disorders' , 'Drifting', 'Where', 'Moto', 'Doang', 'The', 'Best', 'Kasian', 'Disorders', 'already', 'for days', "]</v>
      </c>
      <c r="D2015" s="3">
        <v>1.0</v>
      </c>
    </row>
    <row r="2016" ht="15.75" customHeight="1">
      <c r="A2016" s="1">
        <v>2120.0</v>
      </c>
      <c r="B2016" s="3" t="s">
        <v>1977</v>
      </c>
      <c r="C2016" s="3" t="str">
        <f>IFERROR(__xludf.DUMMYFUNCTION("GOOGLETRANSLATE(B2016,""id"",""en"")"),"['application', 'version', 'slow', 'display', 'confusing', 'tdak', 'update', 'profile', 'see', 'details',' bill ',' mending ',' version']")</f>
        <v>['application', 'version', 'slow', 'display', 'confusing', 'tdak', 'update', 'profile', 'see', 'details',' bill ',' mending ',' version']</v>
      </c>
      <c r="D2016" s="3">
        <v>1.0</v>
      </c>
    </row>
    <row r="2017" ht="15.75" customHeight="1">
      <c r="A2017" s="1">
        <v>2121.0</v>
      </c>
      <c r="B2017" s="3" t="s">
        <v>1978</v>
      </c>
      <c r="C2017" s="3" t="str">
        <f>IFERROR(__xludf.DUMMYFUNCTION("GOOGLETRANSLATE(B2017,""id"",""en"")"),"['Lemot', 'puoll']")</f>
        <v>['Lemot', 'puoll']</v>
      </c>
      <c r="D2017" s="3">
        <v>1.0</v>
      </c>
    </row>
    <row r="2018" ht="15.75" customHeight="1">
      <c r="A2018" s="1">
        <v>2122.0</v>
      </c>
      <c r="B2018" s="3" t="s">
        <v>1979</v>
      </c>
      <c r="C2018" s="3" t="str">
        <f>IFERROR(__xludf.DUMMYFUNCTION("GOOGLETRANSLATE(B2018,""id"",""en"")"),"['wiki', '']")</f>
        <v>['wiki', '']</v>
      </c>
      <c r="D2018" s="3">
        <v>1.0</v>
      </c>
    </row>
    <row r="2019" ht="15.75" customHeight="1">
      <c r="A2019" s="1">
        <v>2123.0</v>
      </c>
      <c r="B2019" s="3" t="s">
        <v>1980</v>
      </c>
      <c r="C2019" s="3" t="str">
        <f>IFERROR(__xludf.DUMMYFUNCTION("GOOGLETRANSLATE(B2019,""id"",""en"")"),"['function', 'application', 'Feature', 'Feature', 'Function', 'Feature', 'Help', 'handled', 'check', 'ticket', 'complaint', ' Handled ',' ']")</f>
        <v>['function', 'application', 'Feature', 'Feature', 'Function', 'Feature', 'Help', 'handled', 'check', 'ticket', 'complaint', ' Handled ',' ']</v>
      </c>
      <c r="D2019" s="3">
        <v>1.0</v>
      </c>
    </row>
    <row r="2020" ht="15.75" customHeight="1">
      <c r="A2020" s="1">
        <v>2124.0</v>
      </c>
      <c r="B2020" s="3" t="s">
        <v>1981</v>
      </c>
      <c r="C2020" s="3" t="str">
        <f>IFERROR(__xludf.DUMMYFUNCTION("GOOGLETRANSLATE(B2020,""id"",""en"")"),"['Ngebug', 'slow', 'see', 'use', 'etc.']")</f>
        <v>['Ngebug', 'slow', 'see', 'use', 'etc.']</v>
      </c>
      <c r="D2020" s="3">
        <v>1.0</v>
      </c>
    </row>
    <row r="2021" ht="15.75" customHeight="1">
      <c r="A2021" s="1">
        <v>2125.0</v>
      </c>
      <c r="B2021" s="3" t="s">
        <v>1982</v>
      </c>
      <c r="C2021" s="3" t="str">
        <f>IFERROR(__xludf.DUMMYFUNCTION("GOOGLETRANSLATE(B2021,""id"",""en"")"),"['application', 'update', 'muter', 'slow', 'version', 'before', 'lbh', 'good', 'please', 'solution', ""]")</f>
        <v>['application', 'update', 'muter', 'slow', 'version', 'before', 'lbh', 'good', 'please', 'solution', "]</v>
      </c>
      <c r="D2021" s="3">
        <v>1.0</v>
      </c>
    </row>
    <row r="2022" ht="15.75" customHeight="1">
      <c r="A2022" s="1">
        <v>2126.0</v>
      </c>
      <c r="B2022" s="3" t="s">
        <v>1983</v>
      </c>
      <c r="C2022" s="3" t="str">
        <f>IFERROR(__xludf.DUMMYFUNCTION("GOOGLETRANSLATE(B2022,""id"",""en"")"),"['Sorry', 'Love', 'Bintang', 'Please', 'Increase']")</f>
        <v>['Sorry', 'Love', 'Bintang', 'Please', 'Increase']</v>
      </c>
      <c r="D2022" s="3">
        <v>1.0</v>
      </c>
    </row>
    <row r="2023" ht="15.75" customHeight="1">
      <c r="A2023" s="1">
        <v>2127.0</v>
      </c>
      <c r="B2023" s="3" t="s">
        <v>1984</v>
      </c>
      <c r="C2023" s="3" t="str">
        <f>IFERROR(__xludf.DUMMYFUNCTION("GOOGLETRANSLATE(B2023,""id"",""en"")"),"['application', 'garbage', 'report', 'disorder', 'original', 'garbage', 'application', 'pay', 'late']")</f>
        <v>['application', 'garbage', 'report', 'disorder', 'original', 'garbage', 'application', 'pay', 'late']</v>
      </c>
      <c r="D2023" s="3">
        <v>1.0</v>
      </c>
    </row>
    <row r="2024" ht="15.75" customHeight="1">
      <c r="A2024" s="1">
        <v>2128.0</v>
      </c>
      <c r="B2024" s="3" t="s">
        <v>1985</v>
      </c>
      <c r="C2024" s="3" t="str">
        <f>IFERROR(__xludf.DUMMYFUNCTION("GOOGLETRANSLATE(B2024,""id"",""en"")"),"['Since', 'Update', 'Display', 'App', 'Lemot', 'Very']")</f>
        <v>['Since', 'Update', 'Display', 'App', 'Lemot', 'Very']</v>
      </c>
      <c r="D2024" s="3">
        <v>4.0</v>
      </c>
    </row>
    <row r="2025" ht="15.75" customHeight="1">
      <c r="A2025" s="1">
        <v>2129.0</v>
      </c>
      <c r="B2025" s="3" t="s">
        <v>1986</v>
      </c>
      <c r="C2025" s="3" t="str">
        <f>IFERROR(__xludf.DUMMYFUNCTION("GOOGLETRANSLATE(B2025,""id"",""en"")"),"['What', 'the story', 'complain', 'application', 'KOQ', 'notification', 'Install', 'Indihome', 'complaint', 'About', 'Tel', 'Function', ' Complaints', 'via', 'Application', 'chaotic', 'Telkom', '']")</f>
        <v>['What', 'the story', 'complain', 'application', 'KOQ', 'notification', 'Install', 'Indihome', 'complaint', 'About', 'Tel', 'Function', ' Complaints', 'via', 'Application', 'chaotic', 'Telkom', '']</v>
      </c>
      <c r="D2025" s="3">
        <v>1.0</v>
      </c>
    </row>
    <row r="2026" ht="15.75" customHeight="1">
      <c r="A2026" s="1">
        <v>2130.0</v>
      </c>
      <c r="B2026" s="3" t="s">
        <v>1987</v>
      </c>
      <c r="C2026" s="3" t="str">
        <f>IFERROR(__xludf.DUMMYFUNCTION("GOOGLETRANSLATE(B2026,""id"",""en"")"),"['knpa', 'bri', 'league', 'watch', 'sngat', 'disappointed']")</f>
        <v>['knpa', 'bri', 'league', 'watch', 'sngat', 'disappointed']</v>
      </c>
      <c r="D2026" s="3">
        <v>5.0</v>
      </c>
    </row>
    <row r="2027" ht="15.75" customHeight="1">
      <c r="A2027" s="1">
        <v>2131.0</v>
      </c>
      <c r="B2027" s="3" t="s">
        <v>1988</v>
      </c>
      <c r="C2027" s="3" t="str">
        <f>IFERROR(__xludf.DUMMYFUNCTION("GOOGLETRANSLATE(B2027,""id"",""en"")"),"['Application', 'Service', 'Currrrrr', 'Ancurrrrr', 'Application', 'Modatrrrrr', '']")</f>
        <v>['Application', 'Service', 'Currrrrr', 'Ancurrrrr', 'Application', 'Modatrrrrr', '']</v>
      </c>
      <c r="D2027" s="3">
        <v>1.0</v>
      </c>
    </row>
    <row r="2028" ht="15.75" customHeight="1">
      <c r="A2028" s="1">
        <v>2132.0</v>
      </c>
      <c r="B2028" s="3" t="s">
        <v>1989</v>
      </c>
      <c r="C2028" s="3" t="str">
        <f>IFERROR(__xludf.DUMMYFUNCTION("GOOGLETRANSLATE(B2028,""id"",""en"")"),"['', 'Mercy', 'Indihome', 'Developer', 'APK', 'satisfying']")</f>
        <v>['', 'Mercy', 'Indihome', 'Developer', 'APK', 'satisfying']</v>
      </c>
      <c r="D2028" s="3">
        <v>1.0</v>
      </c>
    </row>
    <row r="2029" ht="15.75" customHeight="1">
      <c r="A2029" s="1">
        <v>2133.0</v>
      </c>
      <c r="B2029" s="3" t="s">
        <v>1990</v>
      </c>
      <c r="C2029" s="3" t="str">
        <f>IFERROR(__xludf.DUMMYFUNCTION("GOOGLETRANSLATE(B2029,""id"",""en"")"),"['report', 'network', 'wifi', 'missing', 'arising', 'troubling', 'download', 'file', 'nbesar', 'above', 'GB', 'Please', ' Help ',' Indihome ']")</f>
        <v>['report', 'network', 'wifi', 'missing', 'arising', 'troubling', 'download', 'file', 'nbesar', 'above', 'GB', 'Please', ' Help ',' Indihome ']</v>
      </c>
      <c r="D2029" s="3">
        <v>3.0</v>
      </c>
    </row>
    <row r="2030" ht="15.75" customHeight="1">
      <c r="A2030" s="1">
        <v>2134.0</v>
      </c>
      <c r="B2030" s="3" t="s">
        <v>1991</v>
      </c>
      <c r="C2030" s="3" t="str">
        <f>IFERROR(__xludf.DUMMYFUNCTION("GOOGLETRANSLATE(B2030,""id"",""en"")"),"['Seneng', 'Bngat', 'APK', 'Help']")</f>
        <v>['Seneng', 'Bngat', 'APK', 'Help']</v>
      </c>
      <c r="D2030" s="3">
        <v>5.0</v>
      </c>
    </row>
    <row r="2031" ht="15.75" customHeight="1">
      <c r="A2031" s="1">
        <v>2135.0</v>
      </c>
      <c r="B2031" s="3" t="s">
        <v>1992</v>
      </c>
      <c r="C2031" s="3" t="str">
        <f>IFERROR(__xludf.DUMMYFUNCTION("GOOGLETRANSLATE(B2031,""id"",""en"")"),"['update', 'application', 'difficult', 'service', 'complaint', 'difficult', 'Wanted', 'Loading']")</f>
        <v>['update', 'application', 'difficult', 'service', 'complaint', 'difficult', 'Wanted', 'Loading']</v>
      </c>
      <c r="D2031" s="3">
        <v>1.0</v>
      </c>
    </row>
    <row r="2032" ht="15.75" customHeight="1">
      <c r="A2032" s="1">
        <v>2136.0</v>
      </c>
      <c r="B2032" s="3" t="s">
        <v>1993</v>
      </c>
      <c r="C2032" s="3" t="str">
        <f>IFERROR(__xludf.DUMMYFUNCTION("GOOGLETRANSLATE(B2032,""id"",""en"")"),"['application', 'slow', 'login', 'many', 'times',' failure ',' just ',' play ',' youtube ',' indihome ',' accessed ',' pay ',' expensive ',' YouTube ',' function ',' forced ',' buy ',' STB ',' heiiii ',' pay attention ',' complaints', 'your customer']")</f>
        <v>['application', 'slow', 'login', 'many', 'times',' failure ',' just ',' play ',' youtube ',' indihome ',' accessed ',' pay ',' expensive ',' YouTube ',' function ',' forced ',' buy ',' STB ',' heiiii ',' pay attention ',' complaints', 'your customer']</v>
      </c>
      <c r="D2032" s="3">
        <v>1.0</v>
      </c>
    </row>
    <row r="2033" ht="15.75" customHeight="1">
      <c r="A2033" s="1">
        <v>2137.0</v>
      </c>
      <c r="B2033" s="3" t="s">
        <v>1994</v>
      </c>
      <c r="C2033" s="3" t="str">
        <f>IFERROR(__xludf.DUMMYFUNCTION("GOOGLETRANSLATE(B2033,""id"",""en"")"),"['APL', 'Useful', 'Leet']")</f>
        <v>['APL', 'Useful', 'Leet']</v>
      </c>
      <c r="D2033" s="3">
        <v>1.0</v>
      </c>
    </row>
    <row r="2034" ht="15.75" customHeight="1">
      <c r="A2034" s="1">
        <v>2138.0</v>
      </c>
      <c r="B2034" s="3" t="s">
        <v>1995</v>
      </c>
      <c r="C2034" s="3" t="str">
        <f>IFERROR(__xludf.DUMMYFUNCTION("GOOGLETRANSLATE(B2034,""id"",""en"")"),"['Macet', 'application']")</f>
        <v>['Macet', 'application']</v>
      </c>
      <c r="D2034" s="3">
        <v>4.0</v>
      </c>
    </row>
    <row r="2035" ht="15.75" customHeight="1">
      <c r="A2035" s="1">
        <v>2139.0</v>
      </c>
      <c r="B2035" s="3" t="s">
        <v>1996</v>
      </c>
      <c r="C2035" s="3" t="str">
        <f>IFERROR(__xludf.DUMMYFUNCTION("GOOGLETRANSLATE(B2035,""id"",""en"")"),"['Knpa', 'SDAH', 'STOP', 'GMNA', 'downlod']")</f>
        <v>['Knpa', 'SDAH', 'STOP', 'GMNA', 'downlod']</v>
      </c>
      <c r="D2035" s="3">
        <v>1.0</v>
      </c>
    </row>
    <row r="2036" ht="15.75" customHeight="1">
      <c r="A2036" s="1">
        <v>2140.0</v>
      </c>
      <c r="B2036" s="3" t="s">
        <v>1997</v>
      </c>
      <c r="C2036" s="3" t="str">
        <f>IFERROR(__xludf.DUMMYFUNCTION("GOOGLETRANSLATE(B2036,""id"",""en"")"),"['application', 'ugly', 'really', 'enter', 'move', 'change', 'password', 'code', 'confirm', 'email', 'enter', 'expiration', ' Send ',' poor ',' ']")</f>
        <v>['application', 'ugly', 'really', 'enter', 'move', 'change', 'password', 'code', 'confirm', 'email', 'enter', 'expiration', ' Send ',' poor ',' ']</v>
      </c>
      <c r="D2036" s="3">
        <v>1.0</v>
      </c>
    </row>
    <row r="2037" ht="15.75" customHeight="1">
      <c r="A2037" s="1">
        <v>2141.0</v>
      </c>
      <c r="B2037" s="3" t="s">
        <v>1998</v>
      </c>
      <c r="C2037" s="3" t="str">
        <f>IFERROR(__xludf.DUMMYFUNCTION("GOOGLETRANSLATE(B2037,""id"",""en"")"),"['After', 'UPD', 'Application', 'Try', 'Login', 'Force', 'Close', 'Application', 'Please', 'Repaired']")</f>
        <v>['After', 'UPD', 'Application', 'Try', 'Login', 'Force', 'Close', 'Application', 'Please', 'Repaired']</v>
      </c>
      <c r="D2037" s="3">
        <v>1.0</v>
      </c>
    </row>
    <row r="2038" ht="15.75" customHeight="1">
      <c r="A2038" s="1">
        <v>2142.0</v>
      </c>
      <c r="B2038" s="3" t="s">
        <v>1999</v>
      </c>
      <c r="C2038" s="3" t="str">
        <f>IFERROR(__xludf.DUMMYFUNCTION("GOOGLETRANSLATE(B2038,""id"",""en"")"),"['Update', 'BISS', 'Login', 'Account', 'Piye', 'Developer', '']")</f>
        <v>['Update', 'BISS', 'Login', 'Account', 'Piye', 'Developer', '']</v>
      </c>
      <c r="D2038" s="3">
        <v>3.0</v>
      </c>
    </row>
    <row r="2039" ht="15.75" customHeight="1">
      <c r="A2039" s="1">
        <v>2143.0</v>
      </c>
      <c r="B2039" s="3" t="s">
        <v>2000</v>
      </c>
      <c r="C2039" s="3" t="str">
        <f>IFERROR(__xludf.DUMMYFUNCTION("GOOGLETRANSLATE(B2039,""id"",""en"")"),"['crazy', 'ugly', 'really', 'uda', 'login', 'sucked', 'gegara', 'doang', 'late', 'paid', 'branch', 'laah', ' ']")</f>
        <v>['crazy', 'ugly', 'really', 'uda', 'login', 'sucked', 'gegara', 'doang', 'late', 'paid', 'branch', 'laah', ' ']</v>
      </c>
      <c r="D2039" s="3">
        <v>1.0</v>
      </c>
    </row>
    <row r="2040" ht="15.75" customHeight="1">
      <c r="A2040" s="1">
        <v>2144.0</v>
      </c>
      <c r="B2040" s="3" t="s">
        <v>2001</v>
      </c>
      <c r="C2040" s="3" t="str">
        <f>IFERROR(__xludf.DUMMYFUNCTION("GOOGLETRANSLATE(B2040,""id"",""en"")"),"['The use', 'application', 'report', 'disorder', 'application', 'slow', 'severe', 'repeat', 'reset']")</f>
        <v>['The use', 'application', 'report', 'disorder', 'application', 'slow', 'severe', 'repeat', 'reset']</v>
      </c>
      <c r="D2040" s="3">
        <v>1.0</v>
      </c>
    </row>
    <row r="2041" ht="15.75" customHeight="1">
      <c r="A2041" s="1">
        <v>2145.0</v>
      </c>
      <c r="B2041" s="3" t="s">
        <v>2002</v>
      </c>
      <c r="C2041" s="3" t="str">
        <f>IFERROR(__xludf.DUMMYFUNCTION("GOOGLETRANSLATE(B2041,""id"",""en"")"),"['Application', 'the latest', 'display', 'interesting', 'menu', 'darling', 'slow', 'sometimes',' error ',' pressing ',' many ',' times', ' Hopefully ',' in the future ',' improvement ',' good ',' the application ', ""]")</f>
        <v>['Application', 'the latest', 'display', 'interesting', 'menu', 'darling', 'slow', 'sometimes',' error ',' pressing ',' many ',' times', ' Hopefully ',' in the future ',' improvement ',' good ',' the application ', "]</v>
      </c>
      <c r="D2041" s="3">
        <v>5.0</v>
      </c>
    </row>
    <row r="2042" ht="15.75" customHeight="1">
      <c r="A2042" s="1">
        <v>2146.0</v>
      </c>
      <c r="B2042" s="3" t="s">
        <v>2003</v>
      </c>
      <c r="C2042" s="3" t="str">
        <f>IFERROR(__xludf.DUMMYFUNCTION("GOOGLETRANSLATE(B2042,""id"",""en"")"),"['Stlh', 'update', 'threat']")</f>
        <v>['Stlh', 'update', 'threat']</v>
      </c>
      <c r="D2042" s="3">
        <v>1.0</v>
      </c>
    </row>
    <row r="2043" ht="15.75" customHeight="1">
      <c r="A2043" s="1">
        <v>2147.0</v>
      </c>
      <c r="B2043" s="3" t="s">
        <v>2004</v>
      </c>
      <c r="C2043" s="3" t="str">
        <f>IFERROR(__xludf.DUMMYFUNCTION("GOOGLETRANSLATE(B2043,""id"",""en"")"),"['slow', 'really', 'information', 'see', 'bill', 'payment', 'open', 'application', 'right', 'state', 'bobrook', 'increase', ' ']")</f>
        <v>['slow', 'really', 'information', 'see', 'bill', 'payment', 'open', 'application', 'right', 'state', 'bobrook', 'increase', ' ']</v>
      </c>
      <c r="D2043" s="3">
        <v>1.0</v>
      </c>
    </row>
    <row r="2044" ht="15.75" customHeight="1">
      <c r="A2044" s="1">
        <v>2148.0</v>
      </c>
      <c r="B2044" s="3" t="s">
        <v>2005</v>
      </c>
      <c r="C2044" s="3" t="str">
        <f>IFERROR(__xludf.DUMMYFUNCTION("GOOGLETRANSLATE(B2044,""id"",""en"")"),"['network', 'SuperRrr', 'LEG', 'MASANG', 'Cable', 'WiFi', 'People', 'Tile', 'Genteng', 'Cable', 'Permissions',' Masang ',' Tuhh ',' Ngenai ',' antenna ',' as a result ',' watch ',' Heh ',' as soon as', 'SMK', 'EHH', 'Call', 'Hedehh', 'Basic', 'Sight' , 'r"&amp;"eally', 'oath']")</f>
        <v>['network', 'SuperRrr', 'LEG', 'MASANG', 'Cable', 'WiFi', 'People', 'Tile', 'Genteng', 'Cable', 'Permissions',' Masang ',' Tuhh ',' Ngenai ',' antenna ',' as a result ',' watch ',' Heh ',' as soon as', 'SMK', 'EHH', 'Call', 'Hedehh', 'Basic', 'Sight' , 'really', 'oath']</v>
      </c>
      <c r="D2044" s="3">
        <v>1.0</v>
      </c>
    </row>
    <row r="2045" ht="15.75" customHeight="1">
      <c r="A2045" s="1">
        <v>2149.0</v>
      </c>
      <c r="B2045" s="3" t="s">
        <v>2006</v>
      </c>
      <c r="C2045" s="3" t="str">
        <f>IFERROR(__xludf.DUMMYFUNCTION("GOOGLETRANSLATE(B2045,""id"",""en"")"),"['Value', 'Star', 'Value', 'Star', 'Update', 'Good', 'Severe', 'Motion', 'Fast', 'Fix', 'Application', 'Signal', ' WiFi ',' indohome ',' tauts', 'expensive', 'love', 'konpensation', 'light', 'customer', '']")</f>
        <v>['Value', 'Star', 'Value', 'Star', 'Update', 'Good', 'Severe', 'Motion', 'Fast', 'Fix', 'Application', 'Signal', ' WiFi ',' indohome ',' tauts', 'expensive', 'love', 'konpensation', 'light', 'customer', '']</v>
      </c>
      <c r="D2045" s="3">
        <v>1.0</v>
      </c>
    </row>
    <row r="2046" ht="15.75" customHeight="1">
      <c r="A2046" s="1">
        <v>2150.0</v>
      </c>
      <c r="B2046" s="3" t="s">
        <v>2007</v>
      </c>
      <c r="C2046" s="3" t="str">
        <f>IFERROR(__xludf.DUMMYFUNCTION("GOOGLETRANSLATE(B2046,""id"",""en"")"),"['confused', 'complaint', 'complaints', 'application', 'Indihome', 'complicated', 'slow', 'twitter', 'replied']")</f>
        <v>['confused', 'complaint', 'complaints', 'application', 'Indihome', 'complicated', 'slow', 'twitter', 'replied']</v>
      </c>
      <c r="D2046" s="3">
        <v>1.0</v>
      </c>
    </row>
    <row r="2047" ht="15.75" customHeight="1">
      <c r="A2047" s="1">
        <v>2151.0</v>
      </c>
      <c r="B2047" s="3" t="s">
        <v>2008</v>
      </c>
      <c r="C2047" s="3" t="str">
        <f>IFERROR(__xludf.DUMMYFUNCTION("GOOGLETRANSLATE(B2047,""id"",""en"")"),"['Service', 'Good']")</f>
        <v>['Service', 'Good']</v>
      </c>
      <c r="D2047" s="3">
        <v>2.0</v>
      </c>
    </row>
    <row r="2048" ht="15.75" customHeight="1">
      <c r="A2048" s="1">
        <v>2152.0</v>
      </c>
      <c r="B2048" s="3" t="s">
        <v>2009</v>
      </c>
      <c r="C2048" s="3" t="str">
        <f>IFERROR(__xludf.DUMMYFUNCTION("GOOGLETRANSLATE(B2048,""id"",""en"")"),"['Sorry', 'disappointing', 'Open', 'Application', 'Loading', 'Check', 'Package', 'Phone', 'Emotion', 'Call', 'Call', 'Flashlight', ' Domolution ']")</f>
        <v>['Sorry', 'disappointing', 'Open', 'Application', 'Loading', 'Check', 'Package', 'Phone', 'Emotion', 'Call', 'Call', 'Flashlight', ' Domolution ']</v>
      </c>
      <c r="D2048" s="3">
        <v>1.0</v>
      </c>
    </row>
    <row r="2049" ht="15.75" customHeight="1">
      <c r="A2049" s="1">
        <v>2153.0</v>
      </c>
      <c r="B2049" s="3" t="s">
        <v>2010</v>
      </c>
      <c r="C2049" s="3" t="str">
        <f>IFERROR(__xludf.DUMMYFUNCTION("GOOGLETRANSLATE(B2049,""id"",""en"")"),"['Pay', 'wifi', 'GMNA', 'APK', 'opened', 'hope', 'compensation']")</f>
        <v>['Pay', 'wifi', 'GMNA', 'APK', 'opened', 'hope', 'compensation']</v>
      </c>
      <c r="D2049" s="3">
        <v>1.0</v>
      </c>
    </row>
    <row r="2050" ht="15.75" customHeight="1">
      <c r="A2050" s="1">
        <v>2154.0</v>
      </c>
      <c r="B2050" s="3" t="s">
        <v>2011</v>
      </c>
      <c r="C2050" s="3" t="str">
        <f>IFERROR(__xludf.DUMMYFUNCTION("GOOGLETRANSLATE(B2050,""id"",""en"")"),"['ugly', 'really', 'slow']")</f>
        <v>['ugly', 'really', 'slow']</v>
      </c>
      <c r="D2050" s="3">
        <v>1.0</v>
      </c>
    </row>
    <row r="2051" ht="15.75" customHeight="1">
      <c r="A2051" s="1">
        <v>2156.0</v>
      </c>
      <c r="B2051" s="3" t="s">
        <v>2012</v>
      </c>
      <c r="C2051" s="3" t="str">
        <f>IFERROR(__xludf.DUMMYFUNCTION("GOOGLETRANSLATE(B2051,""id"",""en"")"),"['Performance', 'satisfying', 'msh', 'slow', 'open', 'verification', 'email', 'hope', 'in the future', 'again']")</f>
        <v>['Performance', 'satisfying', 'msh', 'slow', 'open', 'verification', 'email', 'hope', 'in the future', 'again']</v>
      </c>
      <c r="D2051" s="3">
        <v>3.0</v>
      </c>
    </row>
    <row r="2052" ht="15.75" customHeight="1">
      <c r="A2052" s="1">
        <v>2157.0</v>
      </c>
      <c r="B2052" s="3" t="s">
        <v>2013</v>
      </c>
      <c r="C2052" s="3" t="str">
        <f>IFERROR(__xludf.DUMMYFUNCTION("GOOGLETRANSLATE(B2052,""id"",""en"")"),"['UDH', 'Ngeluh', 'slow', 'Msih', 'Biarin', ""]")</f>
        <v>['UDH', 'Ngeluh', 'slow', 'Msih', 'Biarin', "]</v>
      </c>
      <c r="D2052" s="3">
        <v>1.0</v>
      </c>
    </row>
    <row r="2053" ht="15.75" customHeight="1">
      <c r="A2053" s="1">
        <v>2158.0</v>
      </c>
      <c r="B2053" s="3" t="s">
        <v>441</v>
      </c>
      <c r="C2053" s="3" t="str">
        <f>IFERROR(__xludf.DUMMYFUNCTION("GOOGLETRANSLATE(B2053,""id"",""en"")"),"['', '']")</f>
        <v>['', '']</v>
      </c>
      <c r="D2053" s="3">
        <v>1.0</v>
      </c>
    </row>
    <row r="2054" ht="15.75" customHeight="1">
      <c r="A2054" s="1">
        <v>2159.0</v>
      </c>
      <c r="B2054" s="3" t="s">
        <v>2014</v>
      </c>
      <c r="C2054" s="3" t="str">
        <f>IFERROR(__xludf.DUMMYFUNCTION("GOOGLETRANSLATE(B2054,""id"",""en"")"),"['version', 'stable', 'informative', 'enhanced', '']")</f>
        <v>['version', 'stable', 'informative', 'enhanced', '']</v>
      </c>
      <c r="D2054" s="3">
        <v>5.0</v>
      </c>
    </row>
    <row r="2055" ht="15.75" customHeight="1">
      <c r="A2055" s="1">
        <v>2160.0</v>
      </c>
      <c r="B2055" s="3" t="s">
        <v>2015</v>
      </c>
      <c r="C2055" s="3" t="str">
        <f>IFERROR(__xludf.DUMMYFUNCTION("GOOGLETRANSLATE(B2055,""id"",""en"")"),"['Please', 'Update', 'Menu', 'Device', 'Connected', 'Show', 'Sorry', 'Click', 'Address',' Web ',' Bit ',' Address', ' Website ',' Indihome ',' Official ',' Domain ',' Pro ', ""]")</f>
        <v>['Please', 'Update', 'Menu', 'Device', 'Connected', 'Show', 'Sorry', 'Click', 'Address',' Web ',' Bit ',' Address', ' Website ',' Indihome ',' Official ',' Domain ',' Pro ', "]</v>
      </c>
      <c r="D2055" s="3">
        <v>1.0</v>
      </c>
    </row>
    <row r="2056" ht="15.75" customHeight="1">
      <c r="A2056" s="1">
        <v>2161.0</v>
      </c>
      <c r="B2056" s="3" t="s">
        <v>2016</v>
      </c>
      <c r="C2056" s="3" t="str">
        <f>IFERROR(__xludf.DUMMYFUNCTION("GOOGLETRANSLATE(B2056,""id"",""en"")"),"['Slow', 'process', 'loading']")</f>
        <v>['Slow', 'process', 'loading']</v>
      </c>
      <c r="D2056" s="3">
        <v>2.0</v>
      </c>
    </row>
    <row r="2057" ht="15.75" customHeight="1">
      <c r="A2057" s="1">
        <v>2162.0</v>
      </c>
      <c r="B2057" s="3" t="s">
        <v>2017</v>
      </c>
      <c r="C2057" s="3" t="str">
        <f>IFERROR(__xludf.DUMMYFUNCTION("GOOGLETRANSLATE(B2057,""id"",""en"")"),"['ugly', 'regret', 'update', 'enter', 'Jangn', 'update']")</f>
        <v>['ugly', 'regret', 'update', 'enter', 'Jangn', 'update']</v>
      </c>
      <c r="D2057" s="3">
        <v>1.0</v>
      </c>
    </row>
    <row r="2058" ht="15.75" customHeight="1">
      <c r="A2058" s="1">
        <v>2163.0</v>
      </c>
      <c r="B2058" s="3" t="s">
        <v>2018</v>
      </c>
      <c r="C2058" s="3" t="str">
        <f>IFERROR(__xludf.DUMMYFUNCTION("GOOGLETRANSLATE(B2058,""id"",""en"")"),"['Leet', 'really', 'the application', '']")</f>
        <v>['Leet', 'really', 'the application', '']</v>
      </c>
      <c r="D2058" s="3">
        <v>1.0</v>
      </c>
    </row>
    <row r="2059" ht="15.75" customHeight="1">
      <c r="A2059" s="1">
        <v>2164.0</v>
      </c>
      <c r="B2059" s="3" t="s">
        <v>2019</v>
      </c>
      <c r="C2059" s="3" t="str">
        <f>IFERROR(__xludf.DUMMYFUNCTION("GOOGLETRANSLATE(B2059,""id"",""en"")"),"['feature', 'skrg', 'opened', 'mending', 'version', 'skrg', 'opened', ""]")</f>
        <v>['feature', 'skrg', 'opened', 'mending', 'version', 'skrg', 'opened', "]</v>
      </c>
      <c r="D2059" s="3">
        <v>1.0</v>
      </c>
    </row>
    <row r="2060" ht="15.75" customHeight="1">
      <c r="A2060" s="1">
        <v>2165.0</v>
      </c>
      <c r="B2060" s="3" t="s">
        <v>2020</v>
      </c>
      <c r="C2060" s="3" t="str">
        <f>IFERROR(__xludf.DUMMYFUNCTION("GOOGLETRANSLATE(B2060,""id"",""en"")"),"['Update', 'Application', 'Mantab']")</f>
        <v>['Update', 'Application', 'Mantab']</v>
      </c>
      <c r="D2060" s="3">
        <v>5.0</v>
      </c>
    </row>
    <row r="2061" ht="15.75" customHeight="1">
      <c r="A2061" s="1">
        <v>2166.0</v>
      </c>
      <c r="B2061" s="3" t="s">
        <v>2021</v>
      </c>
      <c r="C2061" s="3" t="str">
        <f>IFERROR(__xludf.DUMMYFUNCTION("GOOGLETRANSLATE(B2061,""id"",""en"")"),"['slow', 'really', 'APK', 'Nambah', 'confused', 'sekrang', 'it's good', 'apk', 'version', 'slow', 'easy', 'understand', ' ']")</f>
        <v>['slow', 'really', 'APK', 'Nambah', 'confused', 'sekrang', 'it's good', 'apk', 'version', 'slow', 'easy', 'understand', ' ']</v>
      </c>
      <c r="D2061" s="3">
        <v>2.0</v>
      </c>
    </row>
    <row r="2062" ht="15.75" customHeight="1">
      <c r="A2062" s="1">
        <v>2167.0</v>
      </c>
      <c r="B2062" s="3" t="s">
        <v>2022</v>
      </c>
      <c r="C2062" s="3" t="str">
        <f>IFERROR(__xludf.DUMMYFUNCTION("GOOGLETRANSLATE(B2062,""id"",""en"")"),"['lol', 'Indihome', 'slow', 'really', 'expensive', 'doang', 'limit', 'honest', 'Males',' really ',' indihome ',' mending ',' wifi ',' laen ',' emang ',' area ',' indihome ',' slow ']")</f>
        <v>['lol', 'Indihome', 'slow', 'really', 'expensive', 'doang', 'limit', 'honest', 'Males',' really ',' indihome ',' mending ',' wifi ',' laen ',' emang ',' area ',' indihome ',' slow ']</v>
      </c>
      <c r="D2062" s="3">
        <v>1.0</v>
      </c>
    </row>
    <row r="2063" ht="15.75" customHeight="1">
      <c r="A2063" s="1">
        <v>2168.0</v>
      </c>
      <c r="B2063" s="3" t="s">
        <v>2023</v>
      </c>
      <c r="C2063" s="3" t="str">
        <f>IFERROR(__xludf.DUMMYFUNCTION("GOOGLETRANSLATE(B2063,""id"",""en"")"),"['Direct', 'monitor', 'dsngan', 'internet']")</f>
        <v>['Direct', 'monitor', 'dsngan', 'internet']</v>
      </c>
      <c r="D2063" s="3">
        <v>5.0</v>
      </c>
    </row>
    <row r="2064" ht="15.75" customHeight="1">
      <c r="A2064" s="1">
        <v>2169.0</v>
      </c>
      <c r="B2064" s="3" t="s">
        <v>2024</v>
      </c>
      <c r="C2064" s="3" t="str">
        <f>IFERROR(__xludf.DUMMYFUNCTION("GOOGLETRANSLATE(B2064,""id"",""en"")"),"['according to', 'Paid', 'Different', 'Application', 'Displays', 'Bill']")</f>
        <v>['according to', 'Paid', 'Different', 'Application', 'Displays', 'Bill']</v>
      </c>
      <c r="D2064" s="3">
        <v>1.0</v>
      </c>
    </row>
    <row r="2065" ht="15.75" customHeight="1">
      <c r="A2065" s="1">
        <v>2170.0</v>
      </c>
      <c r="B2065" s="3" t="s">
        <v>2025</v>
      </c>
      <c r="C2065" s="3" t="str">
        <f>IFERROR(__xludf.DUMMYFUNCTION("GOOGLETRANSLATE(B2065,""id"",""en"")"),"['service', 'Under', 'Certainty', 'Gajelas', '']")</f>
        <v>['service', 'Under', 'Certainty', 'Gajelas', '']</v>
      </c>
      <c r="D2065" s="3">
        <v>1.0</v>
      </c>
    </row>
    <row r="2066" ht="15.75" customHeight="1">
      <c r="A2066" s="1">
        <v>2172.0</v>
      </c>
      <c r="B2066" s="3" t="s">
        <v>2026</v>
      </c>
      <c r="C2066" s="3" t="str">
        <f>IFERROR(__xludf.DUMMYFUNCTION("GOOGLETRANSLATE(B2066,""id"",""en"")"),"['Like', 'shortcomings', 'advantages', 'hope', 'serve']")</f>
        <v>['Like', 'shortcomings', 'advantages', 'hope', 'serve']</v>
      </c>
      <c r="D2066" s="3">
        <v>5.0</v>
      </c>
    </row>
    <row r="2067" ht="15.75" customHeight="1">
      <c r="A2067" s="1">
        <v>2173.0</v>
      </c>
      <c r="B2067" s="3" t="s">
        <v>2027</v>
      </c>
      <c r="C2067" s="3" t="str">
        <f>IFERROR(__xludf.DUMMYFUNCTION("GOOGLETRANSLATE(B2067,""id"",""en"")"),"['Siih', 'Honest', 'slow', 'really']")</f>
        <v>['Siih', 'Honest', 'slow', 'really']</v>
      </c>
      <c r="D2067" s="3">
        <v>2.0</v>
      </c>
    </row>
    <row r="2068" ht="15.75" customHeight="1">
      <c r="A2068" s="1">
        <v>2174.0</v>
      </c>
      <c r="B2068" s="3" t="s">
        <v>825</v>
      </c>
      <c r="C2068" s="3" t="str">
        <f>IFERROR(__xludf.DUMMYFUNCTION("GOOGLETRANSLATE(B2068,""id"",""en"")"),"['Application', 'Help']")</f>
        <v>['Application', 'Help']</v>
      </c>
      <c r="D2068" s="3">
        <v>4.0</v>
      </c>
    </row>
    <row r="2069" ht="15.75" customHeight="1">
      <c r="A2069" s="1">
        <v>2175.0</v>
      </c>
      <c r="B2069" s="3" t="s">
        <v>2028</v>
      </c>
      <c r="C2069" s="3" t="str">
        <f>IFERROR(__xludf.DUMMYFUNCTION("GOOGLETRANSLATE(B2069,""id"",""en"")"),"['Help', 'bother', 'bother', 'pay', 'bill', 'stay', 'transferrer', 'home', 'finished']")</f>
        <v>['Help', 'bother', 'bother', 'pay', 'bill', 'stay', 'transferrer', 'home', 'finished']</v>
      </c>
      <c r="D2069" s="3">
        <v>5.0</v>
      </c>
    </row>
    <row r="2070" ht="15.75" customHeight="1">
      <c r="A2070" s="1">
        <v>2176.0</v>
      </c>
      <c r="B2070" s="3" t="s">
        <v>2029</v>
      </c>
      <c r="C2070" s="3" t="str">
        <f>IFERROR(__xludf.DUMMYFUNCTION("GOOGLETRANSLATE(B2070,""id"",""en"")"),"['user']")</f>
        <v>['user']</v>
      </c>
      <c r="D2070" s="3">
        <v>5.0</v>
      </c>
    </row>
    <row r="2071" ht="15.75" customHeight="1">
      <c r="A2071" s="1">
        <v>2177.0</v>
      </c>
      <c r="B2071" s="3" t="s">
        <v>2030</v>
      </c>
      <c r="C2071" s="3" t="str">
        <f>IFERROR(__xludf.DUMMYFUNCTION("GOOGLETRANSLATE(B2071,""id"",""en"")"),"['Application', 'Feature', 'Complete', 'Fast', 'Response', 'Customer', 'Service', 'Responding', 'Customer', 'Forward', 'Maintain', 'Hard', ' reach']")</f>
        <v>['Application', 'Feature', 'Complete', 'Fast', 'Response', 'Customer', 'Service', 'Responding', 'Customer', 'Forward', 'Maintain', 'Hard', ' reach']</v>
      </c>
      <c r="D2071" s="3">
        <v>5.0</v>
      </c>
    </row>
    <row r="2072" ht="15.75" customHeight="1">
      <c r="A2072" s="1">
        <v>2178.0</v>
      </c>
      <c r="B2072" s="3" t="s">
        <v>2031</v>
      </c>
      <c r="C2072" s="3" t="str">
        <f>IFERROR(__xludf.DUMMYFUNCTION("GOOGLETRANSLATE(B2072,""id"",""en"")"),"['The application', 'good', 'stay', 'fix', 'sometimes',' not "", 'slow', 'update', 'newest', 'indihom']")</f>
        <v>['The application', 'good', 'stay', 'fix', 'sometimes',' not ", 'slow', 'update', 'newest', 'indihom']</v>
      </c>
      <c r="D2072" s="3">
        <v>5.0</v>
      </c>
    </row>
    <row r="2073" ht="15.75" customHeight="1">
      <c r="A2073" s="1">
        <v>2179.0</v>
      </c>
      <c r="B2073" s="3" t="s">
        <v>2032</v>
      </c>
      <c r="C2073" s="3" t="str">
        <f>IFERROR(__xludf.DUMMYFUNCTION("GOOGLETRANSLATE(B2073,""id"",""en"")"),"['The application', 'good', 'sometimes', 'slow', 'NOT', 'please', 'repaired']")</f>
        <v>['The application', 'good', 'sometimes', 'slow', 'NOT', 'please', 'repaired']</v>
      </c>
      <c r="D2073" s="3">
        <v>5.0</v>
      </c>
    </row>
    <row r="2074" ht="15.75" customHeight="1">
      <c r="A2074" s="1">
        <v>2180.0</v>
      </c>
      <c r="B2074" s="3" t="s">
        <v>2033</v>
      </c>
      <c r="C2074" s="3" t="str">
        <f>IFERROR(__xludf.DUMMYFUNCTION("GOOGLETRANSLATE(B2074,""id"",""en"")"),"['', 'Indihome', 'Recommended', 'Thank', 'Indihome', 'Love', 'You', 'Full']")</f>
        <v>['', 'Indihome', 'Recommended', 'Thank', 'Indihome', 'Love', 'You', 'Full']</v>
      </c>
      <c r="D2074" s="3">
        <v>5.0</v>
      </c>
    </row>
    <row r="2075" ht="15.75" customHeight="1">
      <c r="A2075" s="1">
        <v>2181.0</v>
      </c>
      <c r="B2075" s="3" t="s">
        <v>2034</v>
      </c>
      <c r="C2075" s="3" t="str">
        <f>IFERROR(__xludf.DUMMYFUNCTION("GOOGLETRANSLATE(B2075,""id"",""en"")"),"['Myindihome', 'Cool', 'Display', 'The Application', 'Mantap', '']")</f>
        <v>['Myindihome', 'Cool', 'Display', 'The Application', 'Mantap', '']</v>
      </c>
      <c r="D2075" s="3">
        <v>5.0</v>
      </c>
    </row>
    <row r="2076" ht="15.75" customHeight="1">
      <c r="A2076" s="1">
        <v>2182.0</v>
      </c>
      <c r="B2076" s="3" t="s">
        <v>2035</v>
      </c>
      <c r="C2076" s="3" t="str">
        <f>IFERROR(__xludf.DUMMYFUNCTION("GOOGLETRANSLATE(B2076,""id"",""en"")"),"['feature']")</f>
        <v>['feature']</v>
      </c>
      <c r="D2076" s="3">
        <v>5.0</v>
      </c>
    </row>
    <row r="2077" ht="15.75" customHeight="1">
      <c r="A2077" s="1">
        <v>2183.0</v>
      </c>
      <c r="B2077" s="3" t="s">
        <v>2036</v>
      </c>
      <c r="C2077" s="3" t="str">
        <f>IFERROR(__xludf.DUMMYFUNCTION("GOOGLETRANSLATE(B2077,""id"",""en"")"),"['Disruption', 'Open', 'App', 'Register']")</f>
        <v>['Disruption', 'Open', 'App', 'Register']</v>
      </c>
      <c r="D2077" s="3">
        <v>1.0</v>
      </c>
    </row>
    <row r="2078" ht="15.75" customHeight="1">
      <c r="A2078" s="1">
        <v>2184.0</v>
      </c>
      <c r="B2078" s="3" t="s">
        <v>2037</v>
      </c>
      <c r="C2078" s="3" t="str">
        <f>IFERROR(__xludf.DUMMYFUNCTION("GOOGLETRANSLATE(B2078,""id"",""en"")"),"['Good', 'complain', 'service', 'Indihome', 'application', 'direct', 'officer', 'Indihome', 'home', 'easy', 'phone', 'plaza', ' Telkom ']")</f>
        <v>['Good', 'complain', 'service', 'Indihome', 'application', 'direct', 'officer', 'Indihome', 'home', 'easy', 'phone', 'plaza', ' Telkom ']</v>
      </c>
      <c r="D2078" s="3">
        <v>5.0</v>
      </c>
    </row>
    <row r="2079" ht="15.75" customHeight="1">
      <c r="A2079" s="1">
        <v>2185.0</v>
      </c>
      <c r="B2079" s="3" t="s">
        <v>2038</v>
      </c>
      <c r="C2079" s="3" t="str">
        <f>IFERROR(__xludf.DUMMYFUNCTION("GOOGLETRANSLATE(B2079,""id"",""en"")"),"['Display', 'Cool']")</f>
        <v>['Display', 'Cool']</v>
      </c>
      <c r="D2079" s="3">
        <v>5.0</v>
      </c>
    </row>
    <row r="2080" ht="15.75" customHeight="1">
      <c r="A2080" s="1">
        <v>2186.0</v>
      </c>
      <c r="B2080" s="3" t="s">
        <v>2039</v>
      </c>
      <c r="C2080" s="3" t="str">
        <f>IFERROR(__xludf.DUMMYFUNCTION("GOOGLETRANSLATE(B2080,""id"",""en"")"),"['Thank you', 'Myindihome', 'Help', 'Service', 'Hopefully', 'In the future', 'again', ""]")</f>
        <v>['Thank you', 'Myindihome', 'Help', 'Service', 'Hopefully', 'In the future', 'again', "]</v>
      </c>
      <c r="D2080" s="3">
        <v>5.0</v>
      </c>
    </row>
    <row r="2081" ht="15.75" customHeight="1">
      <c r="A2081" s="1">
        <v>2187.0</v>
      </c>
      <c r="B2081" s="3" t="s">
        <v>2040</v>
      </c>
      <c r="C2081" s="3" t="str">
        <f>IFERROR(__xludf.DUMMYFUNCTION("GOOGLETRANSLATE(B2081,""id"",""en"")"),"['usage', 'add', 'number', 'subscription', 'application', 'good']")</f>
        <v>['usage', 'add', 'number', 'subscription', 'application', 'good']</v>
      </c>
      <c r="D2081" s="3">
        <v>5.0</v>
      </c>
    </row>
    <row r="2082" ht="15.75" customHeight="1">
      <c r="A2082" s="1">
        <v>2188.0</v>
      </c>
      <c r="B2082" s="3" t="s">
        <v>2041</v>
      </c>
      <c r="C2082" s="3" t="str">
        <f>IFERROR(__xludf.DUMMYFUNCTION("GOOGLETRANSLATE(B2082,""id"",""en"")"),"['Application', 'Check', 'Tahigan', 'Monthly', 'Kouta', 'Giga', 'Used', ""]")</f>
        <v>['Application', 'Check', 'Tahigan', 'Monthly', 'Kouta', 'Giga', 'Used', "]</v>
      </c>
      <c r="D2082" s="3">
        <v>5.0</v>
      </c>
    </row>
    <row r="2083" ht="15.75" customHeight="1">
      <c r="A2083" s="1">
        <v>2189.0</v>
      </c>
      <c r="B2083" s="3" t="s">
        <v>2042</v>
      </c>
      <c r="C2083" s="3" t="str">
        <f>IFERROR(__xludf.DUMMYFUNCTION("GOOGLETRANSLATE(B2083,""id"",""en"")"),"['Please', 'Increase', 'Performance']")</f>
        <v>['Please', 'Increase', 'Performance']</v>
      </c>
      <c r="D2083" s="3">
        <v>5.0</v>
      </c>
    </row>
    <row r="2084" ht="15.75" customHeight="1">
      <c r="A2084" s="1">
        <v>2190.0</v>
      </c>
      <c r="B2084" s="3" t="s">
        <v>2043</v>
      </c>
      <c r="C2084" s="3" t="str">
        <f>IFERROR(__xludf.DUMMYFUNCTION("GOOGLETRANSLATE(B2084,""id"",""en"")"),"['Steady', 'Indihome']")</f>
        <v>['Steady', 'Indihome']</v>
      </c>
      <c r="D2084" s="3">
        <v>5.0</v>
      </c>
    </row>
    <row r="2085" ht="15.75" customHeight="1">
      <c r="A2085" s="1">
        <v>2191.0</v>
      </c>
      <c r="B2085" s="3" t="s">
        <v>2044</v>
      </c>
      <c r="C2085" s="3" t="str">
        <f>IFERROR(__xludf.DUMMYFUNCTION("GOOGLETRANSLATE(B2085,""id"",""en"")"),"['Indihome', 'my place', 'stay', 'help', 'work', 'activity', 'virtual', 'a day', 'trims', 'indihome', ""]")</f>
        <v>['Indihome', 'my place', 'stay', 'help', 'work', 'activity', 'virtual', 'a day', 'trims', 'indihome', "]</v>
      </c>
      <c r="D2085" s="3">
        <v>5.0</v>
      </c>
    </row>
    <row r="2086" ht="15.75" customHeight="1">
      <c r="A2086" s="1">
        <v>2192.0</v>
      </c>
      <c r="B2086" s="3" t="s">
        <v>2045</v>
      </c>
      <c r="C2086" s="3" t="str">
        <f>IFERROR(__xludf.DUMMYFUNCTION("GOOGLETRANSLATE(B2086,""id"",""en"")"),"['Cool', 'easy', 'update']")</f>
        <v>['Cool', 'easy', 'update']</v>
      </c>
      <c r="D2086" s="3">
        <v>5.0</v>
      </c>
    </row>
    <row r="2087" ht="15.75" customHeight="1">
      <c r="A2087" s="1">
        <v>2193.0</v>
      </c>
      <c r="B2087" s="3" t="s">
        <v>2046</v>
      </c>
      <c r="C2087" s="3" t="str">
        <f>IFERROR(__xludf.DUMMYFUNCTION("GOOGLETRANSLATE(B2087,""id"",""en"")"),"['apps', 'good', 'help']")</f>
        <v>['apps', 'good', 'help']</v>
      </c>
      <c r="D2087" s="3">
        <v>5.0</v>
      </c>
    </row>
    <row r="2088" ht="15.75" customHeight="1">
      <c r="A2088" s="1">
        <v>2194.0</v>
      </c>
      <c r="B2088" s="3" t="s">
        <v>2047</v>
      </c>
      <c r="C2088" s="3" t="str">
        <f>IFERROR(__xludf.DUMMYFUNCTION("GOOGLETRANSLATE(B2088,""id"",""en"")"),"['Good', 'makes it easier', 'use', 'Indihome']")</f>
        <v>['Good', 'makes it easier', 'use', 'Indihome']</v>
      </c>
      <c r="D2088" s="3">
        <v>5.0</v>
      </c>
    </row>
    <row r="2089" ht="15.75" customHeight="1">
      <c r="A2089" s="1">
        <v>2195.0</v>
      </c>
      <c r="B2089" s="3" t="s">
        <v>2048</v>
      </c>
      <c r="C2089" s="3" t="str">
        <f>IFERROR(__xludf.DUMMYFUNCTION("GOOGLETRANSLATE(B2089,""id"",""en"")"),"['please', 'fix', 'account', 'myih', 'login', 'skrg', 'myih', 'update', 'login', 'complaint', 'solution', ""]")</f>
        <v>['please', 'fix', 'account', 'myih', 'login', 'skrg', 'myih', 'update', 'login', 'complaint', 'solution', "]</v>
      </c>
      <c r="D2089" s="3">
        <v>3.0</v>
      </c>
    </row>
    <row r="2090" ht="15.75" customHeight="1">
      <c r="A2090" s="1">
        <v>2196.0</v>
      </c>
      <c r="B2090" s="3" t="s">
        <v>2049</v>
      </c>
      <c r="C2090" s="3" t="str">
        <f>IFERROR(__xludf.DUMMYFUNCTION("GOOGLETRANSLATE(B2090,""id"",""en"")"),"['Payaaaaah', 'turn', 'disorder', 'Loading', 'Loading', 'oldaaa', 'uda', 'kyk', 'turtle', 'upgrade', 'then', 'eat', ' Paraaah ',' Internet ',' Grata ',' Disorders', 'Tel', 'MatiIII', ""]")</f>
        <v>['Payaaaaah', 'turn', 'disorder', 'Loading', 'Loading', 'oldaaa', 'uda', 'kyk', 'turtle', 'upgrade', 'then', 'eat', ' Paraaah ',' Internet ',' Grata ',' Disorders', 'Tel', 'MatiIII', "]</v>
      </c>
      <c r="D2090" s="3">
        <v>1.0</v>
      </c>
    </row>
    <row r="2091" ht="15.75" customHeight="1">
      <c r="A2091" s="1">
        <v>2197.0</v>
      </c>
      <c r="B2091" s="3" t="s">
        <v>2050</v>
      </c>
      <c r="C2091" s="3" t="str">
        <f>IFERROR(__xludf.DUMMYFUNCTION("GOOGLETRANSLATE(B2091,""id"",""en"")"),"['Network', 'slow', 'Total', '']")</f>
        <v>['Network', 'slow', 'Total', '']</v>
      </c>
      <c r="D2091" s="3">
        <v>1.0</v>
      </c>
    </row>
    <row r="2092" ht="15.75" customHeight="1">
      <c r="A2092" s="1">
        <v>2198.0</v>
      </c>
      <c r="B2092" s="3" t="s">
        <v>2051</v>
      </c>
      <c r="C2092" s="3" t="str">
        <f>IFERROR(__xludf.DUMMYFUNCTION("GOOGLETRANSLATE(B2092,""id"",""en"")"),"['Application', 'MP', 'Shy', 'State', 'Bkin', 'Application', 'Very', 'Bug', 'Register', 'Return', 'Tepot', 'Phone', ' Many ',' alternating ',' results', 'already', 'Datengin', 'Plaza', 'TELKOM', 'Tetep', 'Useful', 'MAKING', 'Internet', 'home', 'already' ,"&amp;" 'a week', 'registration', 'mechanism', 'threat', 'ngaco', 'tip', 'said', 'cancel', 'order', 'halooo', 'indhihome', 'dadalan', ' ']")</f>
        <v>['Application', 'MP', 'Shy', 'State', 'Bkin', 'Application', 'Very', 'Bug', 'Register', 'Return', 'Tepot', 'Phone', ' Many ',' alternating ',' results', 'already', 'Datengin', 'Plaza', 'TELKOM', 'Tetep', 'Useful', 'MAKING', 'Internet', 'home', 'already' , 'a week', 'registration', 'mechanism', 'threat', 'ngaco', 'tip', 'said', 'cancel', 'order', 'halooo', 'indhihome', 'dadalan', ' ']</v>
      </c>
      <c r="D2092" s="3">
        <v>1.0</v>
      </c>
    </row>
    <row r="2093" ht="15.75" customHeight="1">
      <c r="A2093" s="1">
        <v>2199.0</v>
      </c>
      <c r="B2093" s="3" t="s">
        <v>2052</v>
      </c>
      <c r="C2093" s="3" t="str">
        <f>IFERROR(__xludf.DUMMYFUNCTION("GOOGLETRANSLATE(B2093,""id"",""en"")"),"['slow', 'complain', 'slow', 'response', 'skrang', 'pay', 'open', 'pdhal', 'pay', 'tagiha', 'please', 'fix', ' Quality ',' service ']")</f>
        <v>['slow', 'complain', 'slow', 'response', 'skrang', 'pay', 'open', 'pdhal', 'pay', 'tagiha', 'please', 'fix', ' Quality ',' service ']</v>
      </c>
      <c r="D2093" s="3">
        <v>1.0</v>
      </c>
    </row>
    <row r="2094" ht="15.75" customHeight="1">
      <c r="A2094" s="1">
        <v>2200.0</v>
      </c>
      <c r="B2094" s="3" t="s">
        <v>2053</v>
      </c>
      <c r="C2094" s="3" t="str">
        <f>IFERROR(__xludf.DUMMYFUNCTION("GOOGLETRANSLATE(B2094,""id"",""en"")"),"['Adicha', 'Lemot', '']")</f>
        <v>['Adicha', 'Lemot', '']</v>
      </c>
      <c r="D2094" s="3">
        <v>1.0</v>
      </c>
    </row>
    <row r="2095" ht="15.75" customHeight="1">
      <c r="A2095" s="1">
        <v>2201.0</v>
      </c>
      <c r="B2095" s="3" t="s">
        <v>2054</v>
      </c>
      <c r="C2095" s="3" t="str">
        <f>IFERROR(__xludf.DUMMYFUNCTION("GOOGLETRANSLATE(B2095,""id"",""en"")"),"['embarrassing']")</f>
        <v>['embarrassing']</v>
      </c>
      <c r="D2095" s="3">
        <v>1.0</v>
      </c>
    </row>
    <row r="2096" ht="15.75" customHeight="1">
      <c r="A2096" s="1">
        <v>2202.0</v>
      </c>
      <c r="B2096" s="3" t="s">
        <v>2055</v>
      </c>
      <c r="C2096" s="3" t="str">
        <f>IFERROR(__xludf.DUMMYFUNCTION("GOOGLETRANSLATE(B2096,""id"",""en"")"),"['', 'Indihome', 'recognizable', 'Login', 'enter', 'account', '']")</f>
        <v>['', 'Indihome', 'recognizable', 'Login', 'enter', 'account', '']</v>
      </c>
      <c r="D2096" s="3">
        <v>1.0</v>
      </c>
    </row>
    <row r="2097" ht="15.75" customHeight="1">
      <c r="A2097" s="1">
        <v>2203.0</v>
      </c>
      <c r="B2097" s="3" t="s">
        <v>2056</v>
      </c>
      <c r="C2097" s="3" t="str">
        <f>IFERROR(__xludf.DUMMYFUNCTION("GOOGLETRANSLATE(B2097,""id"",""en"")"),"['network', 'threat', ""]")</f>
        <v>['network', 'threat', "]</v>
      </c>
      <c r="D2097" s="3">
        <v>1.0</v>
      </c>
    </row>
    <row r="2098" ht="15.75" customHeight="1">
      <c r="A2098" s="1">
        <v>2204.0</v>
      </c>
      <c r="B2098" s="3" t="s">
        <v>2057</v>
      </c>
      <c r="C2098" s="3" t="str">
        <f>IFERROR(__xludf.DUMMYFUNCTION("GOOGLETRANSLATE(B2098,""id"",""en"")"),"['very', 'good']")</f>
        <v>['very', 'good']</v>
      </c>
      <c r="D2098" s="3">
        <v>5.0</v>
      </c>
    </row>
    <row r="2099" ht="15.75" customHeight="1">
      <c r="A2099" s="1">
        <v>2205.0</v>
      </c>
      <c r="B2099" s="3" t="s">
        <v>2058</v>
      </c>
      <c r="C2099" s="3" t="str">
        <f>IFERROR(__xludf.DUMMYFUNCTION("GOOGLETRANSLATE(B2099,""id"",""en"")"),"['jarongan', 'indihome', 'error', '']")</f>
        <v>['jarongan', 'indihome', 'error', '']</v>
      </c>
      <c r="D2099" s="3">
        <v>3.0</v>
      </c>
    </row>
    <row r="2100" ht="15.75" customHeight="1">
      <c r="A2100" s="1">
        <v>2206.0</v>
      </c>
      <c r="B2100" s="3" t="s">
        <v>2059</v>
      </c>
      <c r="C2100" s="3" t="str">
        <f>IFERROR(__xludf.DUMMYFUNCTION("GOOGLETRANSLATE(B2100,""id"",""en"")"),"['fast', 'fix', 'application', 'broken']")</f>
        <v>['fast', 'fix', 'application', 'broken']</v>
      </c>
      <c r="D2100" s="3">
        <v>1.0</v>
      </c>
    </row>
    <row r="2101" ht="15.75" customHeight="1">
      <c r="A2101" s="1">
        <v>2207.0</v>
      </c>
      <c r="B2101" s="3" t="s">
        <v>2060</v>
      </c>
      <c r="C2101" s="3" t="str">
        <f>IFERROR(__xludf.DUMMYFUNCTION("GOOGLETRANSLATE(B2101,""id"",""en"")"),"['Please', 'Fix', 'Check', 'Bill', 'Periodic', 'Karna', 'Notif', 'Repair', 'Application']")</f>
        <v>['Please', 'Fix', 'Check', 'Bill', 'Periodic', 'Karna', 'Notif', 'Repair', 'Application']</v>
      </c>
      <c r="D2101" s="3">
        <v>1.0</v>
      </c>
    </row>
    <row r="2102" ht="15.75" customHeight="1">
      <c r="A2102" s="1">
        <v>2208.0</v>
      </c>
      <c r="B2102" s="3" t="s">
        <v>2061</v>
      </c>
      <c r="C2102" s="3" t="str">
        <f>IFERROR(__xludf.DUMMYFUNCTION("GOOGLETRANSLATE(B2102,""id"",""en"")"),"['Kek', 'garbage', 'gini', 'app', 'version', 'before', 'good']")</f>
        <v>['Kek', 'garbage', 'gini', 'app', 'version', 'before', 'good']</v>
      </c>
      <c r="D2102" s="3">
        <v>1.0</v>
      </c>
    </row>
    <row r="2103" ht="15.75" customHeight="1">
      <c r="A2103" s="1">
        <v>2209.0</v>
      </c>
      <c r="B2103" s="3" t="s">
        <v>2062</v>
      </c>
      <c r="C2103" s="3" t="str">
        <f>IFERROR(__xludf.DUMMYFUNCTION("GOOGLETRANSLATE(B2103,""id"",""en"")"),"['Displays',' Menu ',' Pay ',' Bill ',' Intention ',' BYR ',' Bill ',' Humbled ',' Turn ',' Late ',' Consumer ',' Wrong ',' TLG ',' repaired ',' the application ',' thank you ']")</f>
        <v>['Displays',' Menu ',' Pay ',' Bill ',' Intention ',' BYR ',' Bill ',' Humbled ',' Turn ',' Late ',' Consumer ',' Wrong ',' TLG ',' repaired ',' the application ',' thank you ']</v>
      </c>
      <c r="D2103" s="3">
        <v>2.0</v>
      </c>
    </row>
    <row r="2104" ht="15.75" customHeight="1">
      <c r="A2104" s="1">
        <v>2210.0</v>
      </c>
      <c r="B2104" s="3" t="s">
        <v>2063</v>
      </c>
      <c r="C2104" s="3" t="str">
        <f>IFERROR(__xludf.DUMMYFUNCTION("GOOGLETRANSLATE(B2104,""id"",""en"")"),"['difficult', 'report', 'damage', 'easy', 'error', 'system', 'improvement', 'BUMN', 'serious', 'service']")</f>
        <v>['difficult', 'report', 'damage', 'easy', 'error', 'system', 'improvement', 'BUMN', 'serious', 'service']</v>
      </c>
      <c r="D2104" s="3">
        <v>2.0</v>
      </c>
    </row>
    <row r="2105" ht="15.75" customHeight="1">
      <c r="A2105" s="1">
        <v>2211.0</v>
      </c>
      <c r="B2105" s="3" t="s">
        <v>2064</v>
      </c>
      <c r="C2105" s="3" t="str">
        <f>IFERROR(__xludf.DUMMYFUNCTION("GOOGLETRANSLATE(B2105,""id"",""en"")"),"['Destroyed', 'kah', 'the application', '']")</f>
        <v>['Destroyed', 'kah', 'the application', '']</v>
      </c>
      <c r="D2105" s="3">
        <v>1.0</v>
      </c>
    </row>
    <row r="2106" ht="15.75" customHeight="1">
      <c r="A2106" s="1">
        <v>2212.0</v>
      </c>
      <c r="B2106" s="3" t="s">
        <v>2065</v>
      </c>
      <c r="C2106" s="3" t="str">
        <f>IFERROR(__xludf.DUMMYFUNCTION("GOOGLETRANSLATE(B2106,""id"",""en"")"),"['donwload', 'mentok', ""]")</f>
        <v>['donwload', 'mentok', "]</v>
      </c>
      <c r="D2106" s="3">
        <v>2.0</v>
      </c>
    </row>
    <row r="2107" ht="15.75" customHeight="1">
      <c r="A2107" s="1">
        <v>2213.0</v>
      </c>
      <c r="B2107" s="3" t="s">
        <v>2066</v>
      </c>
      <c r="C2107" s="3" t="str">
        <f>IFERROR(__xludf.DUMMYFUNCTION("GOOGLETRANSLATE(B2107,""id"",""en"")"),"['Report', 'disorder', 'GBSA']")</f>
        <v>['Report', 'disorder', 'GBSA']</v>
      </c>
      <c r="D2107" s="3">
        <v>1.0</v>
      </c>
    </row>
    <row r="2108" ht="15.75" customHeight="1">
      <c r="A2108" s="1">
        <v>2214.0</v>
      </c>
      <c r="B2108" s="3" t="s">
        <v>2067</v>
      </c>
      <c r="C2108" s="3" t="str">
        <f>IFERROR(__xludf.DUMMYFUNCTION("GOOGLETRANSLATE(B2108,""id"",""en"")"),"['Install', 'signal', 'good', 'fast', 'signal', 'slow', 'complaint', 'service', 'told', 'restart', 'modem', 'restart', ' Good ',' run out ',' signal ',' slow ',' ']")</f>
        <v>['Install', 'signal', 'good', 'fast', 'signal', 'slow', 'complaint', 'service', 'told', 'restart', 'modem', 'restart', ' Good ',' run out ',' signal ',' slow ',' ']</v>
      </c>
      <c r="D2108" s="3">
        <v>1.0</v>
      </c>
    </row>
    <row r="2109" ht="15.75" customHeight="1">
      <c r="A2109" s="1">
        <v>2215.0</v>
      </c>
      <c r="B2109" s="3" t="s">
        <v>2068</v>
      </c>
      <c r="C2109" s="3" t="str">
        <f>IFERROR(__xludf.DUMMYFUNCTION("GOOGLETRANSLATE(B2109,""id"",""en"")"),"['Disruption', 'Indihome', 'Parahhhh', 'Jdi', 'Males',' Pay ',' BGNI ',' LGI ',' NEED ',' BNGT ',' LOS ',' Red ',' Internet ']")</f>
        <v>['Disruption', 'Indihome', 'Parahhhh', 'Jdi', 'Males',' Pay ',' BGNI ',' LGI ',' NEED ',' BNGT ',' LOS ',' Red ',' Internet ']</v>
      </c>
      <c r="D2109" s="3">
        <v>1.0</v>
      </c>
    </row>
    <row r="2110" ht="15.75" customHeight="1">
      <c r="A2110" s="1">
        <v>2216.0</v>
      </c>
      <c r="B2110" s="3" t="s">
        <v>2069</v>
      </c>
      <c r="C2110" s="3" t="str">
        <f>IFERROR(__xludf.DUMMYFUNCTION("GOOGLETRANSLATE(B2110,""id"",""en"")"),"['Application', 'slow', 'Login', '']")</f>
        <v>['Application', 'slow', 'Login', '']</v>
      </c>
      <c r="D2110" s="3">
        <v>1.0</v>
      </c>
    </row>
    <row r="2111" ht="15.75" customHeight="1">
      <c r="A2111" s="1">
        <v>2217.0</v>
      </c>
      <c r="B2111" s="3" t="s">
        <v>1405</v>
      </c>
      <c r="C2111" s="3" t="str">
        <f>IFERROR(__xludf.DUMMYFUNCTION("GOOGLETRANSLATE(B2111,""id"",""en"")"),"['Lemott']")</f>
        <v>['Lemott']</v>
      </c>
      <c r="D2111" s="3">
        <v>1.0</v>
      </c>
    </row>
    <row r="2112" ht="15.75" customHeight="1">
      <c r="A2112" s="1">
        <v>2218.0</v>
      </c>
      <c r="B2112" s="3" t="s">
        <v>2070</v>
      </c>
      <c r="C2112" s="3" t="str">
        <f>IFERROR(__xludf.DUMMYFUNCTION("GOOGLETRANSLATE(B2112,""id"",""en"")"),"['Message', 'Twitter', 'Reply', 'Complaints',' Application ',' Indihome ',' Application ',' Use ',' Sangt ',' Lemot ',' Profile ',' Version ',' Complete ',' version ',' newest ',' subscribe ',' smarthome ',' prematement ',' kalu ',' activate ',' package '"&amp;",' internet ']")</f>
        <v>['Message', 'Twitter', 'Reply', 'Complaints',' Application ',' Indihome ',' Application ',' Use ',' Sangt ',' Lemot ',' Profile ',' Version ',' Complete ',' version ',' newest ',' subscribe ',' smarthome ',' prematement ',' kalu ',' activate ',' package ',' internet ']</v>
      </c>
      <c r="D2112" s="3">
        <v>1.0</v>
      </c>
    </row>
    <row r="2113" ht="15.75" customHeight="1">
      <c r="A2113" s="1">
        <v>2219.0</v>
      </c>
      <c r="B2113" s="3" t="s">
        <v>2071</v>
      </c>
      <c r="C2113" s="3" t="str">
        <f>IFERROR(__xludf.DUMMYFUNCTION("GOOGLETRANSLATE(B2113,""id"",""en"")"),"['Sorry', 'star', 'update', 'no', 'karuan', 'no', 'application']")</f>
        <v>['Sorry', 'star', 'update', 'no', 'karuan', 'no', 'application']</v>
      </c>
      <c r="D2113" s="3">
        <v>1.0</v>
      </c>
    </row>
    <row r="2114" ht="15.75" customHeight="1">
      <c r="A2114" s="1">
        <v>2220.0</v>
      </c>
      <c r="B2114" s="3" t="s">
        <v>2072</v>
      </c>
      <c r="C2114" s="3" t="str">
        <f>IFERROR(__xludf.DUMMYFUNCTION("GOOGLETRANSLATE(B2114,""id"",""en"")"),"['Lack', 'loading']")</f>
        <v>['Lack', 'loading']</v>
      </c>
      <c r="D2114" s="3">
        <v>1.0</v>
      </c>
    </row>
    <row r="2115" ht="15.75" customHeight="1">
      <c r="A2115" s="1">
        <v>2221.0</v>
      </c>
      <c r="B2115" s="3" t="s">
        <v>2073</v>
      </c>
      <c r="C2115" s="3" t="str">
        <f>IFERROR(__xludf.DUMMYFUNCTION("GOOGLETRANSLATE(B2115,""id"",""en"")"),"['Hi', 'Sis', 'Indihome', 'Ngellag', 'really', ""]")</f>
        <v>['Hi', 'Sis', 'Indihome', 'Ngellag', 'really', "]</v>
      </c>
      <c r="D2115" s="3">
        <v>5.0</v>
      </c>
    </row>
    <row r="2116" ht="15.75" customHeight="1">
      <c r="A2116" s="1">
        <v>2222.0</v>
      </c>
      <c r="B2116" s="3" t="s">
        <v>2074</v>
      </c>
      <c r="C2116" s="3" t="str">
        <f>IFERROR(__xludf.DUMMYFUNCTION("GOOGLETRANSLATE(B2116,""id"",""en"")"),"['poor', 'forward', 'loding', 'complicated', 'most', 'proceed', '']")</f>
        <v>['poor', 'forward', 'loding', 'complicated', 'most', 'proceed', '']</v>
      </c>
      <c r="D2116" s="3">
        <v>1.0</v>
      </c>
    </row>
    <row r="2117" ht="15.75" customHeight="1">
      <c r="A2117" s="1">
        <v>2223.0</v>
      </c>
      <c r="B2117" s="3" t="s">
        <v>2075</v>
      </c>
      <c r="C2117" s="3" t="str">
        <f>IFERROR(__xludf.DUMMYFUNCTION("GOOGLETRANSLATE(B2117,""id"",""en"")"),"['application', 'worst', 'slow', 'difficult', 'enter', 'ram', 'GB', 'difficult', 'bad']")</f>
        <v>['application', 'worst', 'slow', 'difficult', 'enter', 'ram', 'GB', 'difficult', 'bad']</v>
      </c>
      <c r="D2117" s="3">
        <v>1.0</v>
      </c>
    </row>
    <row r="2118" ht="15.75" customHeight="1">
      <c r="A2118" s="1">
        <v>2224.0</v>
      </c>
      <c r="B2118" s="3" t="s">
        <v>2076</v>
      </c>
      <c r="C2118" s="3" t="str">
        <f>IFERROR(__xludf.DUMMYFUNCTION("GOOGLETRANSLATE(B2118,""id"",""en"")"),"['Login', 'difficult', '']")</f>
        <v>['Login', 'difficult', '']</v>
      </c>
      <c r="D2118" s="3">
        <v>1.0</v>
      </c>
    </row>
    <row r="2119" ht="15.75" customHeight="1">
      <c r="A2119" s="1">
        <v>2225.0</v>
      </c>
      <c r="B2119" s="3" t="s">
        <v>2077</v>
      </c>
      <c r="C2119" s="3" t="str">
        <f>IFERROR(__xludf.DUMMYFUNCTION("GOOGLETRANSLATE(B2119,""id"",""en"")"),"['Alhamdulillah', 'Since', 'Network', 'Indihome', 'Enter', 'Help', 'Affairs',' Hopefully ',' Jaya ',' Indihome ',' Service ',' Help ',' really good']")</f>
        <v>['Alhamdulillah', 'Since', 'Network', 'Indihome', 'Enter', 'Help', 'Affairs',' Hopefully ',' Jaya ',' Indihome ',' Service ',' Help ',' really good']</v>
      </c>
      <c r="D2119" s="3">
        <v>5.0</v>
      </c>
    </row>
    <row r="2120" ht="15.75" customHeight="1">
      <c r="A2120" s="1">
        <v>2226.0</v>
      </c>
      <c r="B2120" s="3" t="s">
        <v>2078</v>
      </c>
      <c r="C2120" s="3" t="str">
        <f>IFERROR(__xludf.DUMMYFUNCTION("GOOGLETRANSLATE(B2120,""id"",""en"")"),"['application', 'transaction', 'ngelag', 'sometimes', 'error', 'please', 'indihome', 'conditionin', 'application', 'renew', 'sped']")</f>
        <v>['application', 'transaction', 'ngelag', 'sometimes', 'error', 'please', 'indihome', 'conditionin', 'application', 'renew', 'sped']</v>
      </c>
      <c r="D2120" s="3">
        <v>1.0</v>
      </c>
    </row>
    <row r="2121" ht="15.75" customHeight="1">
      <c r="A2121" s="1">
        <v>2227.0</v>
      </c>
      <c r="B2121" s="3" t="s">
        <v>1117</v>
      </c>
      <c r="C2121" s="3" t="str">
        <f>IFERROR(__xludf.DUMMYFUNCTION("GOOGLETRANSLATE(B2121,""id"",""en"")"),"['help']")</f>
        <v>['help']</v>
      </c>
      <c r="D2121" s="3">
        <v>5.0</v>
      </c>
    </row>
    <row r="2122" ht="15.75" customHeight="1">
      <c r="A2122" s="1">
        <v>2228.0</v>
      </c>
      <c r="B2122" s="3" t="s">
        <v>2079</v>
      </c>
      <c r="C2122" s="3" t="str">
        <f>IFERROR(__xludf.DUMMYFUNCTION("GOOGLETRANSLATE(B2122,""id"",""en"")"),"['application', 'help', 'info', 'service', 'indihome', 'darling', 'application', 'walk', 'slow', '']")</f>
        <v>['application', 'help', 'info', 'service', 'indihome', 'darling', 'application', 'walk', 'slow', '']</v>
      </c>
      <c r="D2122" s="3">
        <v>5.0</v>
      </c>
    </row>
    <row r="2123" ht="15.75" customHeight="1">
      <c r="A2123" s="1">
        <v>2229.0</v>
      </c>
      <c r="B2123" s="3" t="s">
        <v>14</v>
      </c>
      <c r="C2123" s="3" t="str">
        <f>IFERROR(__xludf.DUMMYFUNCTION("GOOGLETRANSLATE(B2123,""id"",""en"")"),"Of course")</f>
        <v>Of course</v>
      </c>
      <c r="D2123" s="3">
        <v>5.0</v>
      </c>
    </row>
    <row r="2124" ht="15.75" customHeight="1">
      <c r="A2124" s="1">
        <v>2230.0</v>
      </c>
      <c r="B2124" s="3" t="s">
        <v>2080</v>
      </c>
      <c r="C2124" s="3" t="str">
        <f>IFERROR(__xludf.DUMMYFUNCTION("GOOGLETRANSLATE(B2124,""id"",""en"")"),"['Application', 'slow', 'UDH', 'GTU', 'WIFIY', 'Error', 'Mulu', 'complaint', 'BSA', ""]")</f>
        <v>['Application', 'slow', 'UDH', 'GTU', 'WIFIY', 'Error', 'Mulu', 'complaint', 'BSA', "]</v>
      </c>
      <c r="D2124" s="3">
        <v>1.0</v>
      </c>
    </row>
    <row r="2125" ht="15.75" customHeight="1">
      <c r="A2125" s="1">
        <v>2231.0</v>
      </c>
      <c r="B2125" s="3" t="s">
        <v>2081</v>
      </c>
      <c r="C2125" s="3" t="str">
        <f>IFERROR(__xludf.DUMMYFUNCTION("GOOGLETRANSLATE(B2125,""id"",""en"")"),"['Safety', 'really', 'Its', '']")</f>
        <v>['Safety', 'really', 'Its', '']</v>
      </c>
      <c r="D2125" s="3">
        <v>5.0</v>
      </c>
    </row>
    <row r="2126" ht="15.75" customHeight="1">
      <c r="A2126" s="1">
        <v>2232.0</v>
      </c>
      <c r="B2126" s="3" t="s">
        <v>2082</v>
      </c>
      <c r="C2126" s="3" t="str">
        <f>IFERROR(__xludf.DUMMYFUNCTION("GOOGLETRANSLATE(B2126,""id"",""en"")"),"['thank you', 'myindihome', 'facilities',' internet ',' useful ',' klg ',' update ',' app ',' simple ',' report ',' payment ',' detailed ',' Offers', 'Complete', 'Success',' Slalu ']")</f>
        <v>['thank you', 'myindihome', 'facilities',' internet ',' useful ',' klg ',' update ',' app ',' simple ',' report ',' payment ',' detailed ',' Offers', 'Complete', 'Success',' Slalu ']</v>
      </c>
      <c r="D2126" s="3">
        <v>5.0</v>
      </c>
    </row>
    <row r="2127" ht="15.75" customHeight="1">
      <c r="A2127" s="1">
        <v>2233.0</v>
      </c>
      <c r="B2127" s="3" t="s">
        <v>2083</v>
      </c>
      <c r="C2127" s="3" t="str">
        <f>IFERROR(__xludf.DUMMYFUNCTION("GOOGLETRANSLATE(B2127,""id"",""en"")"),"['application', 'slow', 'better', 'version', '']")</f>
        <v>['application', 'slow', 'better', 'version', '']</v>
      </c>
      <c r="D2127" s="3">
        <v>1.0</v>
      </c>
    </row>
    <row r="2128" ht="15.75" customHeight="1">
      <c r="A2128" s="1">
        <v>2234.0</v>
      </c>
      <c r="B2128" s="3" t="s">
        <v>2084</v>
      </c>
      <c r="C2128" s="3" t="str">
        <f>IFERROR(__xludf.DUMMYFUNCTION("GOOGLETRANSLATE(B2128,""id"",""en"")"),"['Love', 'Star', 'Help', 'Application', 'Indihome', 'Report', 'Disorders',' Application ',' Fast ',' Responded ',' In the future ',' access', ' application ',' fast ',' display ',' content ',' aga ',' slow ']")</f>
        <v>['Love', 'Star', 'Help', 'Application', 'Indihome', 'Report', 'Disorders',' Application ',' Fast ',' Responded ',' In the future ',' access', ' application ',' fast ',' display ',' content ',' aga ',' slow ']</v>
      </c>
      <c r="D2128" s="3">
        <v>5.0</v>
      </c>
    </row>
    <row r="2129" ht="15.75" customHeight="1">
      <c r="A2129" s="1">
        <v>2235.0</v>
      </c>
      <c r="B2129" s="3" t="s">
        <v>2085</v>
      </c>
      <c r="C2129" s="3" t="str">
        <f>IFERROR(__xludf.DUMMYFUNCTION("GOOGLETRANSLATE(B2129,""id"",""en"")"),"['application', 'slow', 'display', 'informative']")</f>
        <v>['application', 'slow', 'display', 'informative']</v>
      </c>
      <c r="D2129" s="3">
        <v>1.0</v>
      </c>
    </row>
    <row r="2130" ht="15.75" customHeight="1">
      <c r="A2130" s="1">
        <v>2236.0</v>
      </c>
      <c r="B2130" s="3" t="s">
        <v>2086</v>
      </c>
      <c r="C2130" s="3" t="str">
        <f>IFERROR(__xludf.DUMMYFUNCTION("GOOGLETRANSLATE(B2130,""id"",""en"")"),"['application', 'handy', 'update', 'slow', 'contents', 'offer', '']")</f>
        <v>['application', 'handy', 'update', 'slow', 'contents', 'offer', '']</v>
      </c>
      <c r="D2130" s="3">
        <v>1.0</v>
      </c>
    </row>
    <row r="2131" ht="15.75" customHeight="1">
      <c r="A2131" s="1">
        <v>2237.0</v>
      </c>
      <c r="B2131" s="3" t="s">
        <v>2087</v>
      </c>
      <c r="C2131" s="3" t="str">
        <f>IFERROR(__xludf.DUMMYFUNCTION("GOOGLETRANSLATE(B2131,""id"",""en"")"),"['Login', 'Loading', 'Please', 'Help', 'Repair', 'Thank you', ""]")</f>
        <v>['Login', 'Loading', 'Please', 'Help', 'Repair', 'Thank you', "]</v>
      </c>
      <c r="D2131" s="3">
        <v>2.0</v>
      </c>
    </row>
    <row r="2132" ht="15.75" customHeight="1">
      <c r="A2132" s="1">
        <v>2238.0</v>
      </c>
      <c r="B2132" s="3" t="s">
        <v>2088</v>
      </c>
      <c r="C2132" s="3" t="str">
        <f>IFERROR(__xludf.DUMMYFUNCTION("GOOGLETRANSLATE(B2132,""id"",""en"")"),"['Help', 'really', 'application', 'affairs', 'related', 'Indihome', '']")</f>
        <v>['Help', 'really', 'application', 'affairs', 'related', 'Indihome', '']</v>
      </c>
      <c r="D2132" s="3">
        <v>5.0</v>
      </c>
    </row>
    <row r="2133" ht="15.75" customHeight="1">
      <c r="A2133" s="1">
        <v>2239.0</v>
      </c>
      <c r="B2133" s="3" t="s">
        <v>2089</v>
      </c>
      <c r="C2133" s="3" t="str">
        <f>IFERROR(__xludf.DUMMYFUNCTION("GOOGLETRANSLATE(B2133,""id"",""en"")"),"['update', 'slow', 'feature', 'remove', 'device', 'connected', '']")</f>
        <v>['update', 'slow', 'feature', 'remove', 'device', 'connected', '']</v>
      </c>
      <c r="D2133" s="3">
        <v>1.0</v>
      </c>
    </row>
    <row r="2134" ht="15.75" customHeight="1">
      <c r="A2134" s="1">
        <v>2240.0</v>
      </c>
      <c r="B2134" s="3" t="s">
        <v>2090</v>
      </c>
      <c r="C2134" s="3" t="str">
        <f>IFERROR(__xludf.DUMMYFUNCTION("GOOGLETRANSLATE(B2134,""id"",""en"")"),"['application', 'difficult', 'please', 'account', 'password', 'please', 'repair', 'application', 'easy', 'enter', 'account', 'login', ' numbers', 'internet', 'direct', 'login', 'account', 'example', 'Mbps',' GB ',' all ',' Mbps', 'GB', 'package', 'purchas"&amp;"e' ]")</f>
        <v>['application', 'difficult', 'please', 'account', 'password', 'please', 'repair', 'application', 'easy', 'enter', 'account', 'login', ' numbers', 'internet', 'direct', 'login', 'account', 'example', 'Mbps',' GB ',' all ',' Mbps', 'GB', 'package', 'purchase' ]</v>
      </c>
      <c r="D2134" s="3">
        <v>3.0</v>
      </c>
    </row>
    <row r="2135" ht="15.75" customHeight="1">
      <c r="A2135" s="1">
        <v>2241.0</v>
      </c>
      <c r="B2135" s="3" t="s">
        <v>2091</v>
      </c>
      <c r="C2135" s="3" t="str">
        <f>IFERROR(__xludf.DUMMYFUNCTION("GOOGLETRANSLATE(B2135,""id"",""en"")"),"['application', 'myindihome', 'easy', 'control', 'payment', 'month', 'paid', '']")</f>
        <v>['application', 'myindihome', 'easy', 'control', 'payment', 'month', 'paid', '']</v>
      </c>
      <c r="D2135" s="3">
        <v>5.0</v>
      </c>
    </row>
    <row r="2136" ht="15.75" customHeight="1">
      <c r="A2136" s="1">
        <v>2242.0</v>
      </c>
      <c r="B2136" s="3" t="s">
        <v>2092</v>
      </c>
      <c r="C2136" s="3" t="str">
        <f>IFERROR(__xludf.DUMMYFUNCTION("GOOGLETRANSLATE(B2136,""id"",""en"")"),"['', 'application', 'said', 'password', 'wrong', 'check', 'web', 'enter']")</f>
        <v>['', 'application', 'said', 'password', 'wrong', 'check', 'web', 'enter']</v>
      </c>
      <c r="D2136" s="3">
        <v>1.0</v>
      </c>
    </row>
    <row r="2137" ht="15.75" customHeight="1">
      <c r="A2137" s="1">
        <v>2243.0</v>
      </c>
      <c r="B2137" s="3" t="s">
        <v>2093</v>
      </c>
      <c r="C2137" s="3" t="str">
        <f>IFERROR(__xludf.DUMMYFUNCTION("GOOGLETRANSLATE(B2137,""id"",""en"")"),"['see', 'bill', 'always',' kluar ',' appears', 'tastal', 'upgred', 'upgred', 'gmn', 'mentok', 'upgred', 'yesterday', ' Promo ',' APK ',' Mbps', 'HRGA', 'Select', 'MLH', 'told', 'BYR', 'BLM', 'PPN', 'Complain', 'Office', 'Down' , 'Mbps', 'cheap', 'Yesterda"&amp;"y', 'PPN']")</f>
        <v>['see', 'bill', 'always',' kluar ',' appears', 'tastal', 'upgred', 'upgred', 'gmn', 'mentok', 'upgred', 'yesterday', ' Promo ',' APK ',' Mbps', 'HRGA', 'Select', 'MLH', 'told', 'BYR', 'BLM', 'PPN', 'Complain', 'Office', 'Down' , 'Mbps', 'cheap', 'Yesterday', 'PPN']</v>
      </c>
      <c r="D2137" s="3">
        <v>1.0</v>
      </c>
    </row>
    <row r="2138" ht="15.75" customHeight="1">
      <c r="A2138" s="1">
        <v>2244.0</v>
      </c>
      <c r="B2138" s="3" t="s">
        <v>2094</v>
      </c>
      <c r="C2138" s="3" t="str">
        <f>IFERROR(__xludf.DUMMYFUNCTION("GOOGLETRANSLATE(B2138,""id"",""en"")"),"['Good', 'version']")</f>
        <v>['Good', 'version']</v>
      </c>
      <c r="D2138" s="3">
        <v>1.0</v>
      </c>
    </row>
    <row r="2139" ht="15.75" customHeight="1">
      <c r="A2139" s="1">
        <v>2245.0</v>
      </c>
      <c r="B2139" s="3" t="s">
        <v>2095</v>
      </c>
      <c r="C2139" s="3" t="str">
        <f>IFERROR(__xludf.DUMMYFUNCTION("GOOGLETRANSLATE(B2139,""id"",""en"")"),"['update', 'application', 'renew', 'speed', 'difficult', 'enter', 'pairs',' package ',' internet ',' no ',' gtu ',' sorry ',' Repair ',' Severe ',' Indihome ']")</f>
        <v>['update', 'application', 'renew', 'speed', 'difficult', 'enter', 'pairs',' package ',' internet ',' no ',' gtu ',' sorry ',' Repair ',' Severe ',' Indihome ']</v>
      </c>
      <c r="D2139" s="3">
        <v>1.0</v>
      </c>
    </row>
    <row r="2140" ht="15.75" customHeight="1">
      <c r="A2140" s="1">
        <v>2247.0</v>
      </c>
      <c r="B2140" s="3" t="s">
        <v>2096</v>
      </c>
      <c r="C2140" s="3" t="str">
        <f>IFERROR(__xludf.DUMMYFUNCTION("GOOGLETRANSLATE(B2140,""id"",""en"")"),"['Login', 'application', 'poor', '']")</f>
        <v>['Login', 'application', 'poor', '']</v>
      </c>
      <c r="D2140" s="3">
        <v>1.0</v>
      </c>
    </row>
    <row r="2141" ht="15.75" customHeight="1">
      <c r="A2141" s="1">
        <v>2248.0</v>
      </c>
      <c r="B2141" s="3" t="s">
        <v>2097</v>
      </c>
      <c r="C2141" s="3" t="str">
        <f>IFERROR(__xludf.DUMMYFUNCTION("GOOGLETRANSLATE(B2141,""id"",""en"")"),"['Pay', 'wifi', 'slow', '']")</f>
        <v>['Pay', 'wifi', 'slow', '']</v>
      </c>
      <c r="D2141" s="3">
        <v>1.0</v>
      </c>
    </row>
    <row r="2142" ht="15.75" customHeight="1">
      <c r="A2142" s="1">
        <v>2249.0</v>
      </c>
      <c r="B2142" s="3" t="s">
        <v>2098</v>
      </c>
      <c r="C2142" s="3" t="str">
        <f>IFERROR(__xludf.DUMMYFUNCTION("GOOGLETRANSLATE(B2142,""id"",""en"")"),"['application', 'useful', 'update', 'heavy', 'bill', '']")</f>
        <v>['application', 'useful', 'update', 'heavy', 'bill', '']</v>
      </c>
      <c r="D2142" s="3">
        <v>1.0</v>
      </c>
    </row>
    <row r="2143" ht="15.75" customHeight="1">
      <c r="A2143" s="1">
        <v>2250.0</v>
      </c>
      <c r="B2143" s="3" t="s">
        <v>2099</v>
      </c>
      <c r="C2143" s="3" t="str">
        <f>IFERROR(__xludf.DUMMYFUNCTION("GOOGLETRANSLATE(B2143,""id"",""en"")"),"['LemoOottt', 'compared', 'version']")</f>
        <v>['LemoOottt', 'compared', 'version']</v>
      </c>
      <c r="D2143" s="3">
        <v>3.0</v>
      </c>
    </row>
    <row r="2144" ht="15.75" customHeight="1">
      <c r="A2144" s="1">
        <v>2251.0</v>
      </c>
      <c r="B2144" s="3" t="s">
        <v>2100</v>
      </c>
      <c r="C2144" s="3" t="str">
        <f>IFERROR(__xludf.DUMMYFUNCTION("GOOGLETRANSLATE(B2144,""id"",""en"")"),"['Thank you', 'Sis', 'petrified']")</f>
        <v>['Thank you', 'Sis', 'petrified']</v>
      </c>
      <c r="D2144" s="3">
        <v>5.0</v>
      </c>
    </row>
    <row r="2145" ht="15.75" customHeight="1">
      <c r="A2145" s="1">
        <v>2252.0</v>
      </c>
      <c r="B2145" s="3" t="s">
        <v>2101</v>
      </c>
      <c r="C2145" s="3" t="str">
        <f>IFERROR(__xludf.DUMMYFUNCTION("GOOGLETRANSLATE(B2145,""id"",""en"")"),"['mantaap', 'hope', 'success']")</f>
        <v>['mantaap', 'hope', 'success']</v>
      </c>
      <c r="D2145" s="3">
        <v>5.0</v>
      </c>
    </row>
    <row r="2146" ht="15.75" customHeight="1">
      <c r="A2146" s="1">
        <v>2253.0</v>
      </c>
      <c r="B2146" s="3" t="s">
        <v>2102</v>
      </c>
      <c r="C2146" s="3" t="str">
        <f>IFERROR(__xludf.DUMMYFUNCTION("GOOGLETRANSLATE(B2146,""id"",""en"")"),"['update', 'application', 'steady']")</f>
        <v>['update', 'application', 'steady']</v>
      </c>
      <c r="D2146" s="3">
        <v>5.0</v>
      </c>
    </row>
    <row r="2147" ht="15.75" customHeight="1">
      <c r="A2147" s="1">
        <v>2254.0</v>
      </c>
      <c r="B2147" s="3" t="s">
        <v>2103</v>
      </c>
      <c r="C2147" s="3" t="str">
        <f>IFERROR(__xludf.DUMMYFUNCTION("GOOGLETRANSLATE(B2147,""id"",""en"")"),"['application', 'update', 'newest', 'additional', 'features', 'good', 'useetv', '']")</f>
        <v>['application', 'update', 'newest', 'additional', 'features', 'good', 'useetv', '']</v>
      </c>
      <c r="D2147" s="3">
        <v>5.0</v>
      </c>
    </row>
    <row r="2148" ht="15.75" customHeight="1">
      <c r="A2148" s="1">
        <v>2256.0</v>
      </c>
      <c r="B2148" s="3" t="s">
        <v>2104</v>
      </c>
      <c r="C2148" s="3" t="str">
        <f>IFERROR(__xludf.DUMMYFUNCTION("GOOGLETRANSLATE(B2148,""id"",""en"")"),"['Update', 'Server', 'Lemott', 'Bangett', 'SIH', 'Check', 'Date', 'Payment', 'Slow', 'Loading', 'TERADING', 'Update', ' ugly ',' Sihh ',' Maless']")</f>
        <v>['Update', 'Server', 'Lemott', 'Bangett', 'SIH', 'Check', 'Date', 'Payment', 'Slow', 'Loading', 'TERADING', 'Update', ' ugly ',' Sihh ',' Maless']</v>
      </c>
      <c r="D2148" s="3">
        <v>1.0</v>
      </c>
    </row>
    <row r="2149" ht="15.75" customHeight="1">
      <c r="A2149" s="1">
        <v>2257.0</v>
      </c>
      <c r="B2149" s="3" t="s">
        <v>2105</v>
      </c>
      <c r="C2149" s="3" t="str">
        <f>IFERROR(__xludf.DUMMYFUNCTION("GOOGLETRANSLATE(B2149,""id"",""en"")"),"['Mantap', 'Application']")</f>
        <v>['Mantap', 'Application']</v>
      </c>
      <c r="D2149" s="3">
        <v>5.0</v>
      </c>
    </row>
    <row r="2150" ht="15.75" customHeight="1">
      <c r="A2150" s="1">
        <v>2258.0</v>
      </c>
      <c r="B2150" s="3" t="s">
        <v>2106</v>
      </c>
      <c r="C2150" s="3" t="str">
        <f>IFERROR(__xludf.DUMMYFUNCTION("GOOGLETRANSLATE(B2150,""id"",""en"")"),"['buffering', 'Mulu', 'heavy', 'application']")</f>
        <v>['buffering', 'Mulu', 'heavy', 'application']</v>
      </c>
      <c r="D2150" s="3">
        <v>1.0</v>
      </c>
    </row>
    <row r="2151" ht="15.75" customHeight="1">
      <c r="A2151" s="1">
        <v>2259.0</v>
      </c>
      <c r="B2151" s="3" t="s">
        <v>2107</v>
      </c>
      <c r="C2151" s="3" t="str">
        <f>IFERROR(__xludf.DUMMYFUNCTION("GOOGLETRANSLATE(B2151,""id"",""en"")"),"['Baguuuuuuuus']")</f>
        <v>['Baguuuuuuuus']</v>
      </c>
      <c r="D2151" s="3">
        <v>5.0</v>
      </c>
    </row>
    <row r="2152" ht="15.75" customHeight="1">
      <c r="A2152" s="1">
        <v>2260.0</v>
      </c>
      <c r="B2152" s="3" t="s">
        <v>2108</v>
      </c>
      <c r="C2152" s="3" t="str">
        <f>IFERROR(__xludf.DUMMYFUNCTION("GOOGLETRANSLATE(B2152,""id"",""en"")"),"['system', 'application', 'good', 'service', 'transparency', 'bill', 'package', 'internet', 'tends', 'down']")</f>
        <v>['system', 'application', 'good', 'service', 'transparency', 'bill', 'package', 'internet', 'tends', 'down']</v>
      </c>
      <c r="D2152" s="3">
        <v>3.0</v>
      </c>
    </row>
    <row r="2153" ht="15.75" customHeight="1">
      <c r="A2153" s="1">
        <v>2261.0</v>
      </c>
      <c r="B2153" s="3" t="s">
        <v>2109</v>
      </c>
      <c r="C2153" s="3" t="str">
        <f>IFERROR(__xludf.DUMMYFUNCTION("GOOGLETRANSLATE(B2153,""id"",""en"")"),"['APL', 'Berah', 'Loading', 'Dizziness']")</f>
        <v>['APL', 'Berah', 'Loading', 'Dizziness']</v>
      </c>
      <c r="D2153" s="3">
        <v>1.0</v>
      </c>
    </row>
    <row r="2154" ht="15.75" customHeight="1">
      <c r="A2154" s="1">
        <v>2262.0</v>
      </c>
      <c r="B2154" s="3" t="s">
        <v>2110</v>
      </c>
      <c r="C2154" s="3" t="str">
        <f>IFERROR(__xludf.DUMMYFUNCTION("GOOGLETRANSLATE(B2154,""id"",""en"")"),"['Good', 'baby', 'slow', 'please', 'fix', '']")</f>
        <v>['Good', 'baby', 'slow', 'please', 'fix', '']</v>
      </c>
      <c r="D2154" s="3">
        <v>4.0</v>
      </c>
    </row>
    <row r="2155" ht="15.75" customHeight="1">
      <c r="A2155" s="1">
        <v>2263.0</v>
      </c>
      <c r="B2155" s="3" t="s">
        <v>614</v>
      </c>
      <c r="C2155" s="3" t="str">
        <f>IFERROR(__xludf.DUMMYFUNCTION("GOOGLETRANSLATE(B2155,""id"",""en"")"),"['slow']")</f>
        <v>['slow']</v>
      </c>
      <c r="D2155" s="3">
        <v>5.0</v>
      </c>
    </row>
    <row r="2156" ht="15.75" customHeight="1">
      <c r="A2156" s="1">
        <v>2264.0</v>
      </c>
      <c r="B2156" s="3" t="s">
        <v>614</v>
      </c>
      <c r="C2156" s="3" t="str">
        <f>IFERROR(__xludf.DUMMYFUNCTION("GOOGLETRANSLATE(B2156,""id"",""en"")"),"['slow']")</f>
        <v>['slow']</v>
      </c>
      <c r="D2156" s="3">
        <v>5.0</v>
      </c>
    </row>
    <row r="2157" ht="15.75" customHeight="1">
      <c r="A2157" s="1">
        <v>2265.0</v>
      </c>
      <c r="B2157" s="3" t="s">
        <v>2111</v>
      </c>
      <c r="C2157" s="3" t="str">
        <f>IFERROR(__xludf.DUMMYFUNCTION("GOOGLETRANSLATE(B2157,""id"",""en"")"),"['Good', 'RESPONT', 'Sometimes', 'loading']")</f>
        <v>['Good', 'RESPONT', 'Sometimes', 'loading']</v>
      </c>
      <c r="D2157" s="3">
        <v>5.0</v>
      </c>
    </row>
    <row r="2158" ht="15.75" customHeight="1">
      <c r="A2158" s="1">
        <v>2266.0</v>
      </c>
      <c r="B2158" s="3" t="s">
        <v>2112</v>
      </c>
      <c r="C2158" s="3" t="str">
        <f>IFERROR(__xludf.DUMMYFUNCTION("GOOGLETRANSLATE(B2158,""id"",""en"")"),"['Good', 'slow']")</f>
        <v>['Good', 'slow']</v>
      </c>
      <c r="D2158" s="3">
        <v>5.0</v>
      </c>
    </row>
    <row r="2159" ht="15.75" customHeight="1">
      <c r="A2159" s="1">
        <v>2267.0</v>
      </c>
      <c r="B2159" s="3" t="s">
        <v>2113</v>
      </c>
      <c r="C2159" s="3" t="str">
        <f>IFERROR(__xludf.DUMMYFUNCTION("GOOGLETRANSLATE(B2159,""id"",""en"")"),"['Like', 'LOODING']")</f>
        <v>['Like', 'LOODING']</v>
      </c>
      <c r="D2159" s="3">
        <v>4.0</v>
      </c>
    </row>
    <row r="2160" ht="15.75" customHeight="1">
      <c r="A2160" s="1">
        <v>2268.0</v>
      </c>
      <c r="B2160" s="3" t="s">
        <v>2114</v>
      </c>
      <c r="C2160" s="3" t="str">
        <f>IFERROR(__xludf.DUMMYFUNCTION("GOOGLETRANSLATE(B2160,""id"",""en"")"),"['like']")</f>
        <v>['like']</v>
      </c>
      <c r="D2160" s="3">
        <v>5.0</v>
      </c>
    </row>
    <row r="2161" ht="15.75" customHeight="1">
      <c r="A2161" s="1">
        <v>2269.0</v>
      </c>
      <c r="B2161" s="3" t="s">
        <v>2115</v>
      </c>
      <c r="C2161" s="3" t="str">
        <f>IFERROR(__xludf.DUMMYFUNCTION("GOOGLETRANSLATE(B2161,""id"",""en"")"),"['Lemottt', '']")</f>
        <v>['Lemottt', '']</v>
      </c>
      <c r="D2161" s="3">
        <v>1.0</v>
      </c>
    </row>
    <row r="2162" ht="15.75" customHeight="1">
      <c r="A2162" s="1">
        <v>2270.0</v>
      </c>
      <c r="B2162" s="3" t="s">
        <v>2116</v>
      </c>
      <c r="C2162" s="3" t="str">
        <f>IFERROR(__xludf.DUMMYFUNCTION("GOOGLETRANSLATE(B2162,""id"",""en"")"),"['BANGJE', 'APK', 'Pay', 'Difficult', 'Damage', 'Benerin', 'Work', 'Molor', 'Company']")</f>
        <v>['BANGJE', 'APK', 'Pay', 'Difficult', 'Damage', 'Benerin', 'Work', 'Molor', 'Company']</v>
      </c>
      <c r="D2162" s="3">
        <v>1.0</v>
      </c>
    </row>
    <row r="2163" ht="15.75" customHeight="1">
      <c r="A2163" s="1">
        <v>2271.0</v>
      </c>
      <c r="B2163" s="3" t="s">
        <v>2117</v>
      </c>
      <c r="C2163" s="3" t="str">
        <f>IFERROR(__xludf.DUMMYFUNCTION("GOOGLETRANSLATE(B2163,""id"",""en"")"),"['application', 'upgrate', 'newest', 'steady', 'facility', 'complete', '']")</f>
        <v>['application', 'upgrate', 'newest', 'steady', 'facility', 'complete', '']</v>
      </c>
      <c r="D2163" s="3">
        <v>5.0</v>
      </c>
    </row>
    <row r="2164" ht="15.75" customHeight="1">
      <c r="A2164" s="1">
        <v>2272.0</v>
      </c>
      <c r="B2164" s="3" t="s">
        <v>2118</v>
      </c>
      <c r="C2164" s="3" t="str">
        <f>IFERROR(__xludf.DUMMYFUNCTION("GOOGLETRANSLATE(B2164,""id"",""en"")"),"['Sorry', 'star', 'motivated', 'service', 'developing', '']")</f>
        <v>['Sorry', 'star', 'motivated', 'service', 'developing', '']</v>
      </c>
      <c r="D2164" s="3">
        <v>4.0</v>
      </c>
    </row>
    <row r="2165" ht="15.75" customHeight="1">
      <c r="A2165" s="1">
        <v>2273.0</v>
      </c>
      <c r="B2165" s="3" t="s">
        <v>2119</v>
      </c>
      <c r="C2165" s="3" t="str">
        <f>IFERROR(__xludf.DUMMYFUNCTION("GOOGLETRANSLATE(B2165,""id"",""en"")"),"['Ente', 'Agreement', 'Customer', 'A Year', 'Subscriptions',' Wear ',' Fines', 'Okay', 'Disorders',' Nie ',' date ',' Sampe ',' Internet ',' Disorders', 'Feed', 'Back', 'Bro', 'Customer', 'Comfortable', 'Pay', 'Internet']")</f>
        <v>['Ente', 'Agreement', 'Customer', 'A Year', 'Subscriptions',' Wear ',' Fines', 'Okay', 'Disorders',' Nie ',' date ',' Sampe ',' Internet ',' Disorders', 'Feed', 'Back', 'Bro', 'Customer', 'Comfortable', 'Pay', 'Internet']</v>
      </c>
      <c r="D2165" s="3">
        <v>1.0</v>
      </c>
    </row>
    <row r="2166" ht="15.75" customHeight="1">
      <c r="A2166" s="1">
        <v>2274.0</v>
      </c>
      <c r="B2166" s="3" t="s">
        <v>2120</v>
      </c>
      <c r="C2166" s="3" t="str">
        <f>IFERROR(__xludf.DUMMYFUNCTION("GOOGLETRANSLATE(B2166,""id"",""en"")"),"['version', 'newest', 'slow']")</f>
        <v>['version', 'newest', 'slow']</v>
      </c>
      <c r="D2166" s="3">
        <v>2.0</v>
      </c>
    </row>
    <row r="2167" ht="15.75" customHeight="1">
      <c r="A2167" s="1">
        <v>2275.0</v>
      </c>
      <c r="B2167" s="3" t="s">
        <v>2121</v>
      </c>
      <c r="C2167" s="3" t="str">
        <f>IFERROR(__xludf.DUMMYFUNCTION("GOOGLETRANSLATE(B2167,""id"",""en"")"),"['Complaints', 'fast']")</f>
        <v>['Complaints', 'fast']</v>
      </c>
      <c r="D2167" s="3">
        <v>5.0</v>
      </c>
    </row>
    <row r="2168" ht="15.75" customHeight="1">
      <c r="A2168" s="1">
        <v>2276.0</v>
      </c>
      <c r="B2168" s="3" t="s">
        <v>2122</v>
      </c>
      <c r="C2168" s="3" t="str">
        <f>IFERROR(__xludf.DUMMYFUNCTION("GOOGLETRANSLATE(B2168,""id"",""en"")"),"['Hopefully', 'Indihome', 'advanced', 'Loading', 'slow', '']")</f>
        <v>['Hopefully', 'Indihome', 'advanced', 'Loading', 'slow', '']</v>
      </c>
      <c r="D2168" s="3">
        <v>5.0</v>
      </c>
    </row>
    <row r="2169" ht="15.75" customHeight="1">
      <c r="A2169" s="1">
        <v>2277.0</v>
      </c>
      <c r="B2169" s="3" t="s">
        <v>2123</v>
      </c>
      <c r="C2169" s="3" t="str">
        <f>IFERROR(__xludf.DUMMYFUNCTION("GOOGLETRANSLATE(B2169,""id"",""en"")"),"['wifi', 'error', 'a month', 'peakhan', 'forced', 'modem', 'quota', 'data', 'piece', ""]")</f>
        <v>['wifi', 'error', 'a month', 'peakhan', 'forced', 'modem', 'quota', 'data', 'piece', "]</v>
      </c>
      <c r="D2169" s="3">
        <v>1.0</v>
      </c>
    </row>
    <row r="2170" ht="15.75" customHeight="1">
      <c r="A2170" s="1">
        <v>2278.0</v>
      </c>
      <c r="B2170" s="3" t="s">
        <v>2124</v>
      </c>
      <c r="C2170" s="3" t="str">
        <f>IFERROR(__xludf.DUMMYFUNCTION("GOOGLETRANSLATE(B2170,""id"",""en"")"),"['Experience', 'Terik "",' disorder ',' given ',' compensation ',' opening ',' all ',' chanel ',' indihome ',' special ',' forward ',' indihome ',' ']")</f>
        <v>['Experience', 'Terik ",' disorder ',' given ',' compensation ',' opening ',' all ',' chanel ',' indihome ',' special ',' forward ',' indihome ',' ']</v>
      </c>
      <c r="D2170" s="3">
        <v>5.0</v>
      </c>
    </row>
    <row r="2171" ht="15.75" customHeight="1">
      <c r="A2171" s="1">
        <v>2279.0</v>
      </c>
      <c r="B2171" s="3" t="s">
        <v>2125</v>
      </c>
      <c r="C2171" s="3" t="str">
        <f>IFERROR(__xludf.DUMMYFUNCTION("GOOGLETRANSLATE(B2171,""id"",""en"")"),"['Update', 'koplak']")</f>
        <v>['Update', 'koplak']</v>
      </c>
      <c r="D2171" s="3">
        <v>1.0</v>
      </c>
    </row>
    <row r="2172" ht="15.75" customHeight="1">
      <c r="A2172" s="1">
        <v>2281.0</v>
      </c>
      <c r="B2172" s="3" t="s">
        <v>2126</v>
      </c>
      <c r="C2172" s="3" t="str">
        <f>IFERROR(__xludf.DUMMYFUNCTION("GOOGLETRANSLATE(B2172,""id"",""en"")"),"['Thankfully', 'Internet', 'home', 'smooth', 'Indihome', 'Thanks', 'for', 'Your', 'Hard', 'work', 'guys']")</f>
        <v>['Thankfully', 'Internet', 'home', 'smooth', 'Indihome', 'Thanks', 'for', 'Your', 'Hard', 'work', 'guys']</v>
      </c>
      <c r="D2172" s="3">
        <v>5.0</v>
      </c>
    </row>
    <row r="2173" ht="15.75" customHeight="1">
      <c r="A2173" s="1">
        <v>2282.0</v>
      </c>
      <c r="B2173" s="3" t="s">
        <v>2127</v>
      </c>
      <c r="C2173" s="3" t="str">
        <f>IFERROR(__xludf.DUMMYFUNCTION("GOOGLETRANSLATE(B2173,""id"",""en"")"),"['Application', 'Helpful']")</f>
        <v>['Application', 'Helpful']</v>
      </c>
      <c r="D2173" s="3">
        <v>5.0</v>
      </c>
    </row>
    <row r="2174" ht="15.75" customHeight="1">
      <c r="A2174" s="1">
        <v>2283.0</v>
      </c>
      <c r="B2174" s="3" t="s">
        <v>2128</v>
      </c>
      <c r="C2174" s="3" t="str">
        <f>IFERROR(__xludf.DUMMYFUNCTION("GOOGLETRANSLATE(B2174,""id"",""en"")"),"['fresh', 'rich', 'features', 'features']")</f>
        <v>['fresh', 'rich', 'features', 'features']</v>
      </c>
      <c r="D2174" s="3">
        <v>5.0</v>
      </c>
    </row>
    <row r="2175" ht="15.75" customHeight="1">
      <c r="A2175" s="1">
        <v>2284.0</v>
      </c>
      <c r="B2175" s="3" t="s">
        <v>2129</v>
      </c>
      <c r="C2175" s="3" t="str">
        <f>IFERROR(__xludf.DUMMYFUNCTION("GOOGLETRANSLATE(B2175,""id"",""en"")"),"['The network', 'fast', 'Current', 'Jaya', 'Mantab']")</f>
        <v>['The network', 'fast', 'Current', 'Jaya', 'Mantab']</v>
      </c>
      <c r="D2175" s="3">
        <v>5.0</v>
      </c>
    </row>
    <row r="2176" ht="15.75" customHeight="1">
      <c r="A2176" s="1">
        <v>2285.0</v>
      </c>
      <c r="B2176" s="3" t="s">
        <v>2130</v>
      </c>
      <c r="C2176" s="3" t="str">
        <f>IFERROR(__xludf.DUMMYFUNCTION("GOOGLETRANSLATE(B2176,""id"",""en"")"),"['update', 'application', 'lag', 'difficult', 'ngeeload', 'page', 'bug', 'repaired', 'thank you', ""]")</f>
        <v>['update', 'application', 'lag', 'difficult', 'ngeeload', 'page', 'bug', 'repaired', 'thank you', "]</v>
      </c>
      <c r="D2176" s="3">
        <v>1.0</v>
      </c>
    </row>
    <row r="2177" ht="15.75" customHeight="1">
      <c r="A2177" s="1">
        <v>2286.0</v>
      </c>
      <c r="B2177" s="3" t="s">
        <v>2131</v>
      </c>
      <c r="C2177" s="3" t="str">
        <f>IFERROR(__xludf.DUMMYFUNCTION("GOOGLETRANSLATE(B2177,""id"",""en"")"),"['wifi', 'gajelas', 'kyk', 'taik', 'org', 'crazy']")</f>
        <v>['wifi', 'gajelas', 'kyk', 'taik', 'org', 'crazy']</v>
      </c>
      <c r="D2177" s="3">
        <v>1.0</v>
      </c>
    </row>
    <row r="2178" ht="15.75" customHeight="1">
      <c r="A2178" s="1">
        <v>2287.0</v>
      </c>
      <c r="B2178" s="3" t="s">
        <v>2132</v>
      </c>
      <c r="C2178" s="3" t="str">
        <f>IFERROR(__xludf.DUMMYFUNCTION("GOOGLETRANSLATE(B2178,""id"",""en"")"),"['Want', 'Upgrade', 'Speed', 'Application', 'Myindihome', 'Mantity']")</f>
        <v>['Want', 'Upgrade', 'Speed', 'Application', 'Myindihome', 'Mantity']</v>
      </c>
      <c r="D2178" s="3">
        <v>5.0</v>
      </c>
    </row>
    <row r="2179" ht="15.75" customHeight="1">
      <c r="A2179" s="1">
        <v>2288.0</v>
      </c>
      <c r="B2179" s="3" t="s">
        <v>2133</v>
      </c>
      <c r="C2179" s="3" t="str">
        <f>IFERROR(__xludf.DUMMYFUNCTION("GOOGLETRANSLATE(B2179,""id"",""en"")"),"['already', 'near', 'date', 'pay', 'bill', 'application', 'myindihome', 'emang', 'joss']")</f>
        <v>['already', 'near', 'date', 'pay', 'bill', 'application', 'myindihome', 'emang', 'joss']</v>
      </c>
      <c r="D2179" s="3">
        <v>5.0</v>
      </c>
    </row>
    <row r="2180" ht="15.75" customHeight="1">
      <c r="A2180" s="1">
        <v>2289.0</v>
      </c>
      <c r="B2180" s="3" t="s">
        <v>2134</v>
      </c>
      <c r="C2180" s="3" t="str">
        <f>IFERROR(__xludf.DUMMYFUNCTION("GOOGLETRANSLATE(B2180,""id"",""en"")"),"['Cool', 'The application', 'enhanced', 'performance']")</f>
        <v>['Cool', 'The application', 'enhanced', 'performance']</v>
      </c>
      <c r="D2180" s="3">
        <v>5.0</v>
      </c>
    </row>
    <row r="2181" ht="15.75" customHeight="1">
      <c r="A2181" s="1">
        <v>2290.0</v>
      </c>
      <c r="B2181" s="3" t="s">
        <v>2135</v>
      </c>
      <c r="C2181" s="3" t="str">
        <f>IFERROR(__xludf.DUMMYFUNCTION("GOOGLETRANSLATE(B2181,""id"",""en"")"),"['sip', 'already', 'good', 'keep', 'service', 'experiency', 'indihome']")</f>
        <v>['sip', 'already', 'good', 'keep', 'service', 'experiency', 'indihome']</v>
      </c>
      <c r="D2181" s="3">
        <v>5.0</v>
      </c>
    </row>
    <row r="2182" ht="15.75" customHeight="1">
      <c r="A2182" s="1">
        <v>2291.0</v>
      </c>
      <c r="B2182" s="3" t="s">
        <v>2136</v>
      </c>
      <c r="C2182" s="3" t="str">
        <f>IFERROR(__xludf.DUMMYFUNCTION("GOOGLETRANSLATE(B2182,""id"",""en"")"),"['Service', 'Prima', 'Her Technology', 'Cepet', 'Dateng']")</f>
        <v>['Service', 'Prima', 'Her Technology', 'Cepet', 'Dateng']</v>
      </c>
      <c r="D2182" s="3">
        <v>5.0</v>
      </c>
    </row>
    <row r="2183" ht="15.75" customHeight="1">
      <c r="A2183" s="1">
        <v>2292.0</v>
      </c>
      <c r="B2183" s="3" t="s">
        <v>2137</v>
      </c>
      <c r="C2183" s="3" t="str">
        <f>IFERROR(__xludf.DUMMYFUNCTION("GOOGLETRANSLATE(B2183,""id"",""en"")"),"['Service', 'Indihome', 'Tetep', 'Best', 'Bravo', 'Telkom']")</f>
        <v>['Service', 'Indihome', 'Tetep', 'Best', 'Bravo', 'Telkom']</v>
      </c>
      <c r="D2183" s="3">
        <v>5.0</v>
      </c>
    </row>
    <row r="2184" ht="15.75" customHeight="1">
      <c r="A2184" s="1">
        <v>2293.0</v>
      </c>
      <c r="B2184" s="3" t="s">
        <v>2138</v>
      </c>
      <c r="C2184" s="3" t="str">
        <f>IFERROR(__xludf.DUMMYFUNCTION("GOOGLETRANSLATE(B2184,""id"",""en"")"),"['Moving', 'Provider', 'Laen', 'hahahahaha']")</f>
        <v>['Moving', 'Provider', 'Laen', 'hahahahaha']</v>
      </c>
      <c r="D2184" s="3">
        <v>5.0</v>
      </c>
    </row>
    <row r="2185" ht="15.75" customHeight="1">
      <c r="A2185" s="1">
        <v>2294.0</v>
      </c>
      <c r="B2185" s="3" t="s">
        <v>2139</v>
      </c>
      <c r="C2185" s="3" t="str">
        <f>IFERROR(__xludf.DUMMYFUNCTION("GOOGLETRANSLATE(B2185,""id"",""en"")"),"['Fun', 'it looks', 'makes it easy']")</f>
        <v>['Fun', 'it looks', 'makes it easy']</v>
      </c>
      <c r="D2185" s="3">
        <v>5.0</v>
      </c>
    </row>
    <row r="2186" ht="15.75" customHeight="1">
      <c r="A2186" s="1">
        <v>2295.0</v>
      </c>
      <c r="B2186" s="3" t="s">
        <v>2140</v>
      </c>
      <c r="C2186" s="3" t="str">
        <f>IFERROR(__xludf.DUMMYFUNCTION("GOOGLETRANSLATE(B2186,""id"",""en"")"),"['love', 'app', 'difficult', 'open', 'dng', 'myindihome', 'skrng']")</f>
        <v>['love', 'app', 'difficult', 'open', 'dng', 'myindihome', 'skrng']</v>
      </c>
      <c r="D2186" s="3">
        <v>1.0</v>
      </c>
    </row>
    <row r="2187" ht="15.75" customHeight="1">
      <c r="A2187" s="1">
        <v>2296.0</v>
      </c>
      <c r="B2187" s="3" t="s">
        <v>2141</v>
      </c>
      <c r="C2187" s="3" t="str">
        <f>IFERROR(__xludf.DUMMYFUNCTION("GOOGLETRANSLATE(B2187,""id"",""en"")"),"['Application', 'Myindihome', 'Good', 'Masuh', 'Develop', 'Optimal', '']")</f>
        <v>['Application', 'Myindihome', 'Good', 'Masuh', 'Develop', 'Optimal', '']</v>
      </c>
      <c r="D2187" s="3">
        <v>5.0</v>
      </c>
    </row>
    <row r="2188" ht="15.75" customHeight="1">
      <c r="A2188" s="1">
        <v>2297.0</v>
      </c>
      <c r="B2188" s="3" t="s">
        <v>2142</v>
      </c>
      <c r="C2188" s="3" t="str">
        <f>IFERROR(__xludf.DUMMYFUNCTION("GOOGLETRANSLATE(B2188,""id"",""en"")"),"['Handling', 'Not bad', 'fast', 'responded', 'Customer']")</f>
        <v>['Handling', 'Not bad', 'fast', 'responded', 'Customer']</v>
      </c>
      <c r="D2188" s="3">
        <v>5.0</v>
      </c>
    </row>
    <row r="2189" ht="15.75" customHeight="1">
      <c r="A2189" s="1">
        <v>2298.0</v>
      </c>
      <c r="B2189" s="3" t="s">
        <v>2143</v>
      </c>
      <c r="C2189" s="3" t="str">
        <f>IFERROR(__xludf.DUMMYFUNCTION("GOOGLETRANSLATE(B2189,""id"",""en"")"),"['Indihome', 'Troubel', 'Heavy', 'Thank "",' Love ',' Help ',' Application ',' Shop ',' Exchange ',' Points ',' Sekarah ',' Kayak ',' Corana ', ""]")</f>
        <v>['Indihome', 'Troubel', 'Heavy', 'Thank ",' Love ',' Help ',' Application ',' Shop ',' Exchange ',' Points ',' Sekarah ',' Kayak ',' Corana ', "]</v>
      </c>
      <c r="D2189" s="3">
        <v>5.0</v>
      </c>
    </row>
    <row r="2190" ht="15.75" customHeight="1">
      <c r="A2190" s="1">
        <v>2299.0</v>
      </c>
      <c r="B2190" s="3" t="s">
        <v>2144</v>
      </c>
      <c r="C2190" s="3" t="str">
        <f>IFERROR(__xludf.DUMMYFUNCTION("GOOGLETRANSLATE(B2190,""id"",""en"")"),"['Good', 'LBH', 'Easy', 'Customer', 'servicd']")</f>
        <v>['Good', 'LBH', 'Easy', 'Customer', 'servicd']</v>
      </c>
      <c r="D2190" s="3">
        <v>5.0</v>
      </c>
    </row>
    <row r="2191" ht="15.75" customHeight="1">
      <c r="A2191" s="1">
        <v>2300.0</v>
      </c>
      <c r="B2191" s="3" t="s">
        <v>2145</v>
      </c>
      <c r="C2191" s="3" t="str">
        <f>IFERROR(__xludf.DUMMYFUNCTION("GOOGLETRANSLATE(B2191,""id"",""en"")"),"['subscribe', 'indhome', 'save', 'pocket']")</f>
        <v>['subscribe', 'indhome', 'save', 'pocket']</v>
      </c>
      <c r="D2191" s="3">
        <v>5.0</v>
      </c>
    </row>
    <row r="2192" ht="15.75" customHeight="1">
      <c r="A2192" s="1">
        <v>2302.0</v>
      </c>
      <c r="B2192" s="3" t="s">
        <v>2146</v>
      </c>
      <c r="C2192" s="3" t="str">
        <f>IFERROR(__xludf.DUMMYFUNCTION("GOOGLETRANSLATE(B2192,""id"",""en"")"),"['Application', 'complete', 'easy', 'understand', 'unfortunate', 'slow', 'operate', 'according to', 'experience', 'thank you']")</f>
        <v>['Application', 'complete', 'easy', 'understand', 'unfortunate', 'slow', 'operate', 'according to', 'experience', 'thank you']</v>
      </c>
      <c r="D2192" s="3">
        <v>3.0</v>
      </c>
    </row>
    <row r="2193" ht="15.75" customHeight="1">
      <c r="A2193" s="1">
        <v>2303.0</v>
      </c>
      <c r="B2193" s="3" t="s">
        <v>2147</v>
      </c>
      <c r="C2193" s="3" t="str">
        <f>IFERROR(__xludf.DUMMYFUNCTION("GOOGLETRANSLATE(B2193,""id"",""en"")"),"['It's easy', 'checks', 'app', 'mantapppp']")</f>
        <v>['It's easy', 'checks', 'app', 'mantapppp']</v>
      </c>
      <c r="D2193" s="3">
        <v>5.0</v>
      </c>
    </row>
    <row r="2194" ht="15.75" customHeight="1">
      <c r="A2194" s="1">
        <v>2304.0</v>
      </c>
      <c r="B2194" s="3" t="s">
        <v>2148</v>
      </c>
      <c r="C2194" s="3" t="str">
        <f>IFERROR(__xludf.DUMMYFUNCTION("GOOGLETRANSLATE(B2194,""id"",""en"")"),"['Indihoom', 'steady']")</f>
        <v>['Indihoom', 'steady']</v>
      </c>
      <c r="D2194" s="3">
        <v>5.0</v>
      </c>
    </row>
    <row r="2195" ht="15.75" customHeight="1">
      <c r="A2195" s="1">
        <v>2305.0</v>
      </c>
      <c r="B2195" s="3" t="s">
        <v>2149</v>
      </c>
      <c r="C2195" s="3" t="str">
        <f>IFERROR(__xludf.DUMMYFUNCTION("GOOGLETRANSLATE(B2195,""id"",""en"")"),"['The application', 'mayan', 'hope', 'in the future', 'slow', ""]")</f>
        <v>['The application', 'mayan', 'hope', 'in the future', 'slow', "]</v>
      </c>
      <c r="D2195" s="3">
        <v>5.0</v>
      </c>
    </row>
    <row r="2196" ht="15.75" customHeight="1">
      <c r="A2196" s="1">
        <v>2308.0</v>
      </c>
      <c r="B2196" s="3" t="s">
        <v>2150</v>
      </c>
      <c r="C2196" s="3" t="str">
        <f>IFERROR(__xludf.DUMMYFUNCTION("GOOGLETRANSLATE(B2196,""id"",""en"")"),"['Application', 'Indihome', 'Display', 'Screen', 'Face', 'Varied', 'Stay', 'Poles',' Menu ',' Menu ',' Information ',' Details', ' Customers', 'application']")</f>
        <v>['Application', 'Indihome', 'Display', 'Screen', 'Face', 'Varied', 'Stay', 'Poles',' Menu ',' Menu ',' Information ',' Details', ' Customers', 'application']</v>
      </c>
      <c r="D2196" s="3">
        <v>5.0</v>
      </c>
    </row>
    <row r="2197" ht="15.75" customHeight="1">
      <c r="A2197" s="1">
        <v>2309.0</v>
      </c>
      <c r="B2197" s="3" t="s">
        <v>2151</v>
      </c>
      <c r="C2197" s="3" t="str">
        <f>IFERROR(__xludf.DUMMYFUNCTION("GOOGLETRANSLATE(B2197,""id"",""en"")"),"['update', 'easy', 'it looks', 'good', 'ngak', 'twitched', 'ngeloading', 'version', 'yesterday', 'mantaps', 'basically', ""]")</f>
        <v>['update', 'easy', 'it looks', 'good', 'ngak', 'twitched', 'ngeloading', 'version', 'yesterday', 'mantaps', 'basically', "]</v>
      </c>
      <c r="D2197" s="3">
        <v>5.0</v>
      </c>
    </row>
    <row r="2198" ht="15.75" customHeight="1">
      <c r="A2198" s="1">
        <v>2310.0</v>
      </c>
      <c r="B2198" s="3" t="s">
        <v>2152</v>
      </c>
      <c r="C2198" s="3" t="str">
        <f>IFERROR(__xludf.DUMMYFUNCTION("GOOGLETRANSLATE(B2198,""id"",""en"")"),"['thank', 'love', 'indihome', 'service', 'hope', 'Jaya', ""]")</f>
        <v>['thank', 'love', 'indihome', 'service', 'hope', 'Jaya', "]</v>
      </c>
      <c r="D2198" s="3">
        <v>4.0</v>
      </c>
    </row>
    <row r="2199" ht="15.75" customHeight="1">
      <c r="A2199" s="1">
        <v>2311.0</v>
      </c>
      <c r="B2199" s="3" t="s">
        <v>2153</v>
      </c>
      <c r="C2199" s="3" t="str">
        <f>IFERROR(__xludf.DUMMYFUNCTION("GOOGLETRANSLATE(B2199,""id"",""en"")"),"['Myindihome', 'easy', 'information', 'surrounding', 'package', 'easy', 'complaint', 'service', 'obstacle', 'connection']")</f>
        <v>['Myindihome', 'easy', 'information', 'surrounding', 'package', 'easy', 'complaint', 'service', 'obstacle', 'connection']</v>
      </c>
      <c r="D2199" s="3">
        <v>5.0</v>
      </c>
    </row>
    <row r="2200" ht="15.75" customHeight="1">
      <c r="A2200" s="1">
        <v>2312.0</v>
      </c>
      <c r="B2200" s="3" t="s">
        <v>2154</v>
      </c>
      <c r="C2200" s="3" t="str">
        <f>IFERROR(__xludf.DUMMYFUNCTION("GOOGLETRANSLATE(B2200,""id"",""en"")"),"['Contact', 'operator', 'wifi', 'network', 'internet', 'ticket', 'check', 'tapii', 'reporting', 'technician', 'gag', 'appears',' appear']")</f>
        <v>['Contact', 'operator', 'wifi', 'network', 'internet', 'ticket', 'check', 'tapii', 'reporting', 'technician', 'gag', 'appears',' appear']</v>
      </c>
      <c r="D2200" s="3">
        <v>1.0</v>
      </c>
    </row>
    <row r="2201" ht="15.75" customHeight="1">
      <c r="A2201" s="1">
        <v>2313.0</v>
      </c>
      <c r="B2201" s="3" t="s">
        <v>2155</v>
      </c>
      <c r="C2201" s="3" t="str">
        <f>IFERROR(__xludf.DUMMYFUNCTION("GOOGLETRANSLATE(B2201,""id"",""en"")"),"['Good', 'information', 'useful', 'really', 'telephone', 'home', 'easy', 'can', 'info', 'bill', 'product', 'telkom', ' ']")</f>
        <v>['Good', 'information', 'useful', 'really', 'telephone', 'home', 'easy', 'can', 'info', 'bill', 'product', 'telkom', ' ']</v>
      </c>
      <c r="D2201" s="3">
        <v>5.0</v>
      </c>
    </row>
    <row r="2202" ht="15.75" customHeight="1">
      <c r="A2202" s="1">
        <v>2314.0</v>
      </c>
      <c r="B2202" s="3" t="s">
        <v>2156</v>
      </c>
      <c r="C2202" s="3" t="str">
        <f>IFERROR(__xludf.DUMMYFUNCTION("GOOGLETRANSLATE(B2202,""id"",""en"")"),"['Star', 'yak', 'info', 'complete']")</f>
        <v>['Star', 'yak', 'info', 'complete']</v>
      </c>
      <c r="D2202" s="3">
        <v>3.0</v>
      </c>
    </row>
    <row r="2203" ht="15.75" customHeight="1">
      <c r="A2203" s="1">
        <v>2315.0</v>
      </c>
      <c r="B2203" s="3" t="s">
        <v>2157</v>
      </c>
      <c r="C2203" s="3" t="str">
        <f>IFERROR(__xludf.DUMMYFUNCTION("GOOGLETRANSLATE(B2203,""id"",""en"")"),"['Fortunately', 'save', 'fast', 'sustenance', 'smooth', 'tks', 'indi', 'home']")</f>
        <v>['Fortunately', 'save', 'fast', 'sustenance', 'smooth', 'tks', 'indi', 'home']</v>
      </c>
      <c r="D2203" s="3">
        <v>5.0</v>
      </c>
    </row>
    <row r="2204" ht="15.75" customHeight="1">
      <c r="A2204" s="1">
        <v>2316.0</v>
      </c>
      <c r="B2204" s="3" t="s">
        <v>2158</v>
      </c>
      <c r="C2204" s="3" t="str">
        <f>IFERROR(__xludf.DUMMYFUNCTION("GOOGLETRANSLATE(B2204,""id"",""en"")"),"['Pay', 'expensive', 'Ngelag', 'Hadeh']")</f>
        <v>['Pay', 'expensive', 'Ngelag', 'Hadeh']</v>
      </c>
      <c r="D2204" s="3">
        <v>3.0</v>
      </c>
    </row>
    <row r="2205" ht="15.75" customHeight="1">
      <c r="A2205" s="1">
        <v>2317.0</v>
      </c>
      <c r="B2205" s="3" t="s">
        <v>2159</v>
      </c>
      <c r="C2205" s="3" t="str">
        <f>IFERROR(__xludf.DUMMYFUNCTION("GOOGLETRANSLATE(B2205,""id"",""en"")"),"['application', 'heavy', 'difficult', 'use']")</f>
        <v>['application', 'heavy', 'difficult', 'use']</v>
      </c>
      <c r="D2205" s="3">
        <v>1.0</v>
      </c>
    </row>
    <row r="2206" ht="15.75" customHeight="1">
      <c r="A2206" s="1">
        <v>2318.0</v>
      </c>
      <c r="B2206" s="3" t="s">
        <v>2160</v>
      </c>
      <c r="C2206" s="3" t="str">
        <f>IFERROR(__xludf.DUMMYFUNCTION("GOOGLETRANSLATE(B2206,""id"",""en"")"),"['Good', 'version', '']")</f>
        <v>['Good', 'version', '']</v>
      </c>
      <c r="D2206" s="3">
        <v>1.0</v>
      </c>
    </row>
    <row r="2207" ht="15.75" customHeight="1">
      <c r="A2207" s="1">
        <v>2319.0</v>
      </c>
      <c r="B2207" s="3" t="s">
        <v>2161</v>
      </c>
      <c r="C2207" s="3" t="str">
        <f>IFERROR(__xludf.DUMMYFUNCTION("GOOGLETRANSLATE(B2207,""id"",""en"")"),"['best', 'service', 'satisfying', '']")</f>
        <v>['best', 'service', 'satisfying', '']</v>
      </c>
      <c r="D2207" s="3">
        <v>5.0</v>
      </c>
    </row>
    <row r="2208" ht="15.75" customHeight="1">
      <c r="A2208" s="1">
        <v>2320.0</v>
      </c>
      <c r="B2208" s="3" t="s">
        <v>2162</v>
      </c>
      <c r="C2208" s="3" t="str">
        <f>IFERROR(__xludf.DUMMYFUNCTION("GOOGLETRANSLATE(B2208,""id"",""en"")"),"['application', 'slow', 'really', 'mending', 'version', 'update', 'information', 'complete', 'no', 'slow', 'service', 'level', ' Min ',' complaint ',' Ribet ',' Forgiveness', '']")</f>
        <v>['application', 'slow', 'really', 'mending', 'version', 'update', 'information', 'complete', 'no', 'slow', 'service', 'level', ' Min ',' complaint ',' Ribet ',' Forgiveness', '']</v>
      </c>
      <c r="D2208" s="3">
        <v>1.0</v>
      </c>
    </row>
    <row r="2209" ht="15.75" customHeight="1">
      <c r="A2209" s="1">
        <v>2321.0</v>
      </c>
      <c r="B2209" s="3" t="s">
        <v>2163</v>
      </c>
      <c r="C2209" s="3" t="str">
        <f>IFERROR(__xludf.DUMMYFUNCTION("GOOGLETRANSLATE(B2209,""id"",""en"")"),"['update', 'leg', 'difficult', 'open', 'reverse', 'version', 'leg', 'JAD', 'BURIK', 'the application', ""]")</f>
        <v>['update', 'leg', 'difficult', 'open', 'reverse', 'version', 'leg', 'JAD', 'BURIK', 'the application', "]</v>
      </c>
      <c r="D2209" s="3">
        <v>1.0</v>
      </c>
    </row>
    <row r="2210" ht="15.75" customHeight="1">
      <c r="A2210" s="1">
        <v>2322.0</v>
      </c>
      <c r="B2210" s="3" t="s">
        <v>2164</v>
      </c>
      <c r="C2210" s="3" t="str">
        <f>IFERROR(__xludf.DUMMYFUNCTION("GOOGLETRANSLATE(B2210,""id"",""en"")"),"['slow', 'the application', 'difficult', 'login', '']")</f>
        <v>['slow', 'the application', 'difficult', 'login', '']</v>
      </c>
      <c r="D2210" s="3">
        <v>1.0</v>
      </c>
    </row>
    <row r="2211" ht="15.75" customHeight="1">
      <c r="A2211" s="1">
        <v>2323.0</v>
      </c>
      <c r="B2211" s="3" t="s">
        <v>2165</v>
      </c>
      <c r="C2211" s="3" t="str">
        <f>IFERROR(__xludf.DUMMYFUNCTION("GOOGLETRANSLATE(B2211,""id"",""en"")"),"['Application', 'Useful', 'Lemot', 'Access', '']")</f>
        <v>['Application', 'Useful', 'Lemot', 'Access', '']</v>
      </c>
      <c r="D2211" s="3">
        <v>1.0</v>
      </c>
    </row>
    <row r="2212" ht="15.75" customHeight="1">
      <c r="A2212" s="1">
        <v>2324.0</v>
      </c>
      <c r="B2212" s="3" t="s">
        <v>2166</v>
      </c>
      <c r="C2212" s="3" t="str">
        <f>IFERROR(__xludf.DUMMYFUNCTION("GOOGLETRANSLATE(B2212,""id"",""en"")"),"['Application', 'rotten', 'login', 'then']")</f>
        <v>['Application', 'rotten', 'login', 'then']</v>
      </c>
      <c r="D2212" s="3">
        <v>1.0</v>
      </c>
    </row>
    <row r="2213" ht="15.75" customHeight="1">
      <c r="A2213" s="1">
        <v>2325.0</v>
      </c>
      <c r="B2213" s="3" t="s">
        <v>2167</v>
      </c>
      <c r="C2213" s="3" t="str">
        <f>IFERROR(__xludf.DUMMYFUNCTION("GOOGLETRANSLATE(B2213,""id"",""en"")"),"['', 'update', 'skarang', 'person', 'connects', 'wifi', 'version', 'before', 'direct', 'brp', 'org', 'conn,' wifi ',' bntng ']")</f>
        <v>['', 'update', 'skarang', 'person', 'connects', 'wifi', 'version', 'before', 'direct', 'brp', 'org', 'conn,' wifi ',' bntng ']</v>
      </c>
      <c r="D2213" s="3">
        <v>2.0</v>
      </c>
    </row>
    <row r="2214" ht="15.75" customHeight="1">
      <c r="A2214" s="1">
        <v>2326.0</v>
      </c>
      <c r="B2214" s="3" t="s">
        <v>14</v>
      </c>
      <c r="C2214" s="3" t="str">
        <f>IFERROR(__xludf.DUMMYFUNCTION("GOOGLETRANSLATE(B2214,""id"",""en"")"),"Of course")</f>
        <v>Of course</v>
      </c>
      <c r="D2214" s="3">
        <v>5.0</v>
      </c>
    </row>
    <row r="2215" ht="15.75" customHeight="1">
      <c r="A2215" s="1">
        <v>2328.0</v>
      </c>
      <c r="B2215" s="3" t="s">
        <v>2168</v>
      </c>
      <c r="C2215" s="3" t="str">
        <f>IFERROR(__xludf.DUMMYFUNCTION("GOOGLETRANSLATE(B2215,""id"",""en"")"),"['informative', 'slow', 'star', 'deh']")</f>
        <v>['informative', 'slow', 'star', 'deh']</v>
      </c>
      <c r="D2215" s="3">
        <v>2.0</v>
      </c>
    </row>
    <row r="2216" ht="15.75" customHeight="1">
      <c r="A2216" s="1">
        <v>2329.0</v>
      </c>
      <c r="B2216" s="3" t="s">
        <v>2169</v>
      </c>
      <c r="C2216" s="3" t="str">
        <f>IFERROR(__xludf.DUMMYFUNCTION("GOOGLETRANSLATE(B2216,""id"",""en"")"),"['Applicative', 'response', 'obstacle', 'complained']")</f>
        <v>['Applicative', 'response', 'obstacle', 'complained']</v>
      </c>
      <c r="D2216" s="3">
        <v>5.0</v>
      </c>
    </row>
    <row r="2217" ht="15.75" customHeight="1">
      <c r="A2217" s="1">
        <v>2330.0</v>
      </c>
      <c r="B2217" s="3" t="s">
        <v>2170</v>
      </c>
      <c r="C2217" s="3" t="str">
        <f>IFERROR(__xludf.DUMMYFUNCTION("GOOGLETRANSLATE(B2217,""id"",""en"")"),"['Help', 'interests', 'network', 'strong', 'good', 'indihome']")</f>
        <v>['Help', 'interests', 'network', 'strong', 'good', 'indihome']</v>
      </c>
      <c r="D2217" s="3">
        <v>5.0</v>
      </c>
    </row>
    <row r="2218" ht="15.75" customHeight="1">
      <c r="A2218" s="1">
        <v>2331.0</v>
      </c>
      <c r="B2218" s="3" t="s">
        <v>2171</v>
      </c>
      <c r="C2218" s="3" t="str">
        <f>IFERROR(__xludf.DUMMYFUNCTION("GOOGLETRANSLATE(B2218,""id"",""en"")"),"['safe', 'comfortable', 'brother', 'service', 'fast', 'thank', 'love']")</f>
        <v>['safe', 'comfortable', 'brother', 'service', 'fast', 'thank', 'love']</v>
      </c>
      <c r="D2218" s="3">
        <v>5.0</v>
      </c>
    </row>
    <row r="2219" ht="15.75" customHeight="1">
      <c r="A2219" s="1">
        <v>2332.0</v>
      </c>
      <c r="B2219" s="3" t="s">
        <v>2172</v>
      </c>
      <c r="C2219" s="3" t="str">
        <f>IFERROR(__xludf.DUMMYFUNCTION("GOOGLETRANSLATE(B2219,""id"",""en"")"),"['Application', 'Help', 'User', 'Indihome', 'Caskek', 'Bill', 'Tombang', 'Payment', 'Lined', 'Indita', 'Constraints', 'face']")</f>
        <v>['Application', 'Help', 'User', 'Indihome', 'Caskek', 'Bill', 'Tombang', 'Payment', 'Lined', 'Indita', 'Constraints', 'face']</v>
      </c>
      <c r="D2219" s="3">
        <v>5.0</v>
      </c>
    </row>
    <row r="2220" ht="15.75" customHeight="1">
      <c r="A2220" s="1">
        <v>2333.0</v>
      </c>
      <c r="B2220" s="3" t="s">
        <v>2173</v>
      </c>
      <c r="C2220" s="3" t="str">
        <f>IFERROR(__xludf.DUMMYFUNCTION("GOOGLETRANSLATE(B2220,""id"",""en"")"),"['Not bad', 'stable', 'masang', 'ODP', 'full']")</f>
        <v>['Not bad', 'stable', 'masang', 'ODP', 'full']</v>
      </c>
      <c r="D2220" s="3">
        <v>5.0</v>
      </c>
    </row>
    <row r="2221" ht="15.75" customHeight="1">
      <c r="A2221" s="1">
        <v>2334.0</v>
      </c>
      <c r="B2221" s="3" t="s">
        <v>2174</v>
      </c>
      <c r="C2221" s="3" t="str">
        <f>IFERROR(__xludf.DUMMYFUNCTION("GOOGLETRANSLATE(B2221,""id"",""en"")"),"['application', 'help', 'access', 'indihome', 'features', 'ckup', 'help', 'enhanced']")</f>
        <v>['application', 'help', 'access', 'indihome', 'features', 'ckup', 'help', 'enhanced']</v>
      </c>
      <c r="D2221" s="3">
        <v>5.0</v>
      </c>
    </row>
    <row r="2222" ht="15.75" customHeight="1">
      <c r="A2222" s="1">
        <v>2336.0</v>
      </c>
      <c r="B2222" s="3" t="s">
        <v>2175</v>
      </c>
      <c r="C2222" s="3" t="str">
        <f>IFERROR(__xludf.DUMMYFUNCTION("GOOGLETRANSLATE(B2222,""id"",""en"")"),"['Display', 'easy', 'understandable', 'delicious', 'search', 'info', '']")</f>
        <v>['Display', 'easy', 'understandable', 'delicious', 'search', 'info', '']</v>
      </c>
      <c r="D2222" s="3">
        <v>5.0</v>
      </c>
    </row>
    <row r="2223" ht="15.75" customHeight="1">
      <c r="A2223" s="1">
        <v>2337.0</v>
      </c>
      <c r="B2223" s="3" t="s">
        <v>2176</v>
      </c>
      <c r="C2223" s="3" t="str">
        <f>IFERROR(__xludf.DUMMYFUNCTION("GOOGLETRANSLATE(B2223,""id"",""en"")"),"['The application', 'good', 'slow', '']")</f>
        <v>['The application', 'good', 'slow', '']</v>
      </c>
      <c r="D2223" s="3">
        <v>5.0</v>
      </c>
    </row>
    <row r="2224" ht="15.75" customHeight="1">
      <c r="A2224" s="1">
        <v>2338.0</v>
      </c>
      <c r="B2224" s="3" t="s">
        <v>2177</v>
      </c>
      <c r="C2224" s="3" t="str">
        <f>IFERROR(__xludf.DUMMYFUNCTION("GOOGLETRANSLATE(B2224,""id"",""en"")"),"['steady', 'internet', 'stable', 'obstacle', 'dngn', 'sigap', 'input', 'complaints',' customer ',' success', 'indihome', 'increase', ' Performance ']")</f>
        <v>['steady', 'internet', 'stable', 'obstacle', 'dngn', 'sigap', 'input', 'complaints',' customer ',' success', 'indihome', 'increase', ' Performance ']</v>
      </c>
      <c r="D2224" s="3">
        <v>4.0</v>
      </c>
    </row>
    <row r="2225" ht="15.75" customHeight="1">
      <c r="A2225" s="1">
        <v>2339.0</v>
      </c>
      <c r="B2225" s="3" t="s">
        <v>2178</v>
      </c>
      <c r="C2225" s="3" t="str">
        <f>IFERROR(__xludf.DUMMYFUNCTION("GOOGLETRANSLATE(B2225,""id"",""en"")"),"['', 'Setaon', 'Indihome', 'Manteppp', 'obstacles', '']")</f>
        <v>['', 'Setaon', 'Indihome', 'Manteppp', 'obstacles', '']</v>
      </c>
      <c r="D2225" s="3">
        <v>5.0</v>
      </c>
    </row>
    <row r="2226" ht="15.75" customHeight="1">
      <c r="A2226" s="1">
        <v>2340.0</v>
      </c>
      <c r="B2226" s="3" t="s">
        <v>2179</v>
      </c>
      <c r="C2226" s="3" t="str">
        <f>IFERROR(__xludf.DUMMYFUNCTION("GOOGLETRANSLATE(B2226,""id"",""en"")"),"['Indihome', 'smpet', 'trjd', 'perdebtan', 'pnjg', 'child', 'barakallah', 'since' covid ',' bljar ',' online ',' must ',' package ',' internet ',' Krna ',' tired ',' must ',' contents', 'package', 'counter', 'indihome', 'choice', 'pjg', 'dpat', 'approval'"&amp;" , 'Mama', 'Mama', 'Ngijinin', 'Krna', 'he', 'Jga', 'Seorg', 'Teacher', 'HRUS', 'Demanded', 'Teaching', 'Online', ' Seneng ',' Indihome ',' Beljr ',' Online ',' Teaching ',' Online ',' Jga ', ""]")</f>
        <v>['Indihome', 'smpet', 'trjd', 'perdebtan', 'pnjg', 'child', 'barakallah', 'since' covid ',' bljar ',' online ',' must ',' package ',' internet ',' Krna ',' tired ',' must ',' contents', 'package', 'counter', 'indihome', 'choice', 'pjg', 'dpat', 'approval' , 'Mama', 'Mama', 'Ngijinin', 'Krna', 'he', 'Jga', 'Seorg', 'Teacher', 'HRUS', 'Demanded', 'Teaching', 'Online', ' Seneng ',' Indihome ',' Beljr ',' Online ',' Teaching ',' Online ',' Jga ', "]</v>
      </c>
      <c r="D2226" s="3">
        <v>5.0</v>
      </c>
    </row>
    <row r="2227" ht="15.75" customHeight="1">
      <c r="A2227" s="1">
        <v>2341.0</v>
      </c>
      <c r="B2227" s="3" t="s">
        <v>2180</v>
      </c>
      <c r="C2227" s="3" t="str">
        <f>IFERROR(__xludf.DUMMYFUNCTION("GOOGLETRANSLATE(B2227,""id"",""en"")"),"['Manaf']")</f>
        <v>['Manaf']</v>
      </c>
      <c r="D2227" s="3">
        <v>5.0</v>
      </c>
    </row>
    <row r="2228" ht="15.75" customHeight="1">
      <c r="A2228" s="1">
        <v>2342.0</v>
      </c>
      <c r="B2228" s="3" t="s">
        <v>2181</v>
      </c>
      <c r="C2228" s="3" t="str">
        <f>IFERROR(__xludf.DUMMYFUNCTION("GOOGLETRANSLATE(B2228,""id"",""en"")"),"['Good', 'star', '']")</f>
        <v>['Good', 'star', '']</v>
      </c>
      <c r="D2228" s="3">
        <v>5.0</v>
      </c>
    </row>
    <row r="2229" ht="15.75" customHeight="1">
      <c r="A2229" s="1">
        <v>2343.0</v>
      </c>
      <c r="B2229" s="3" t="s">
        <v>2182</v>
      </c>
      <c r="C2229" s="3" t="str">
        <f>IFERROR(__xludf.DUMMYFUNCTION("GOOGLETRANSLATE(B2229,""id"",""en"")"),"['application', 'good', 'home', 'pagenya', 'arranged', 'neat', 'tasty', 'eyes',' simple ',' practical ',' needs', 'needs',' Application ',' Mengcheck ',' Payment ',' Monthly ',' Open ',' Application ',' Direct ',' Pekang ',' Screen ']")</f>
        <v>['application', 'good', 'home', 'pagenya', 'arranged', 'neat', 'tasty', 'eyes',' simple ',' practical ',' needs', 'needs',' Application ',' Mengcheck ',' Payment ',' Monthly ',' Open ',' Application ',' Direct ',' Pekang ',' Screen ']</v>
      </c>
      <c r="D2229" s="3">
        <v>5.0</v>
      </c>
    </row>
    <row r="2230" ht="15.75" customHeight="1">
      <c r="A2230" s="1">
        <v>2344.0</v>
      </c>
      <c r="B2230" s="3" t="s">
        <v>2183</v>
      </c>
      <c r="C2230" s="3" t="str">
        <f>IFERROR(__xludf.DUMMYFUNCTION("GOOGLETRANSLATE(B2230,""id"",""en"")"),"['version', 'informative', 'display', 'catchy', 'use', 'easy', 'good', 'job']")</f>
        <v>['version', 'informative', 'display', 'catchy', 'use', 'easy', 'good', 'job']</v>
      </c>
      <c r="D2230" s="3">
        <v>5.0</v>
      </c>
    </row>
    <row r="2231" ht="15.75" customHeight="1">
      <c r="A2231" s="1">
        <v>2346.0</v>
      </c>
      <c r="B2231" s="3" t="s">
        <v>2184</v>
      </c>
      <c r="C2231" s="3" t="str">
        <f>IFERROR(__xludf.DUMMYFUNCTION("GOOGLETRANSLATE(B2231,""id"",""en"")"),"['downlod', '']")</f>
        <v>['downlod', '']</v>
      </c>
      <c r="D2231" s="3">
        <v>1.0</v>
      </c>
    </row>
    <row r="2232" ht="15.75" customHeight="1">
      <c r="A2232" s="1">
        <v>2347.0</v>
      </c>
      <c r="B2232" s="3" t="s">
        <v>2185</v>
      </c>
      <c r="C2232" s="3" t="str">
        <f>IFERROR(__xludf.DUMMYFUNCTION("GOOGLETRANSLATE(B2232,""id"",""en"")"),"['Glad', 'Bgus', 'Skli', 'Internet', 'LNCAR']")</f>
        <v>['Glad', 'Bgus', 'Skli', 'Internet', 'LNCAR']</v>
      </c>
      <c r="D2232" s="3">
        <v>5.0</v>
      </c>
    </row>
    <row r="2233" ht="15.75" customHeight="1">
      <c r="A2233" s="1">
        <v>2348.0</v>
      </c>
      <c r="B2233" s="3" t="s">
        <v>2186</v>
      </c>
      <c r="C2233" s="3" t="str">
        <f>IFERROR(__xludf.DUMMYFUNCTION("GOOGLETRANSLATE(B2233,""id"",""en"")"),"['Loading', 'company', 'telecommunications', 'great', 'field', 'technology']")</f>
        <v>['Loading', 'company', 'telecommunications', 'great', 'field', 'technology']</v>
      </c>
      <c r="D2233" s="3">
        <v>2.0</v>
      </c>
    </row>
    <row r="2234" ht="15.75" customHeight="1">
      <c r="A2234" s="1">
        <v>2349.0</v>
      </c>
      <c r="B2234" s="3" t="s">
        <v>2187</v>
      </c>
      <c r="C2234" s="3" t="str">
        <f>IFERROR(__xludf.DUMMYFUNCTION("GOOGLETRANSLATE(B2234,""id"",""en"")"),"['Application', 'Lemootttt', 'Open', 'Ora', 'Danta', 'Bintang', 'Meuga']")</f>
        <v>['Application', 'Lemootttt', 'Open', 'Ora', 'Danta', 'Bintang', 'Meuga']</v>
      </c>
      <c r="D2234" s="3">
        <v>1.0</v>
      </c>
    </row>
    <row r="2235" ht="15.75" customHeight="1">
      <c r="A2235" s="1">
        <v>2350.0</v>
      </c>
      <c r="B2235" s="3" t="s">
        <v>2188</v>
      </c>
      <c r="C2235" s="3" t="str">
        <f>IFERROR(__xludf.DUMMYFUNCTION("GOOGLETRANSLATE(B2235,""id"",""en"")"),"['Since', 'update', 'see', 'use', 'internet', 'application', 'slow', 'kirain', 'for a while', 'already', 'really', 'tetep', ' change']")</f>
        <v>['Since', 'update', 'see', 'use', 'internet', 'application', 'slow', 'kirain', 'for a while', 'already', 'really', 'tetep', ' change']</v>
      </c>
      <c r="D2235" s="3">
        <v>1.0</v>
      </c>
    </row>
    <row r="2236" ht="15.75" customHeight="1">
      <c r="A2236" s="1">
        <v>2351.0</v>
      </c>
      <c r="B2236" s="3" t="s">
        <v>2189</v>
      </c>
      <c r="C2236" s="3" t="str">
        <f>IFERROR(__xludf.DUMMYFUNCTION("GOOGLETRANSLATE(B2236,""id"",""en"")"),"['application', 'version', 'beta', 'repair', 'open', 'application', 'heavy', 'slow', '']")</f>
        <v>['application', 'version', 'beta', 'repair', 'open', 'application', 'heavy', 'slow', '']</v>
      </c>
      <c r="D2236" s="3">
        <v>2.0</v>
      </c>
    </row>
    <row r="2237" ht="15.75" customHeight="1">
      <c r="A2237" s="1">
        <v>2352.0</v>
      </c>
      <c r="B2237" s="3" t="s">
        <v>2190</v>
      </c>
      <c r="C2237" s="3" t="str">
        <f>IFERROR(__xludf.DUMMYFUNCTION("GOOGLETRANSLATE(B2237,""id"",""en"")"),"['', 'Indihome', 'customer', 'loyal', 'indihome', 'experience', 'exciting', 'application', 'myindihome', 'reporting', 'disorder', 'need', 'complicated ',' application ',' report ',' fast ',' technician ',' report ',' integration ',' add ',' catchplay ',' "&amp;"easy ',' play ',' game ',' exclusive ', 'items', 'thank', 'love', 'indihome', 'hope', 'service', '']")</f>
        <v>['', 'Indihome', 'customer', 'loyal', 'indihome', 'experience', 'exciting', 'application', 'myindihome', 'reporting', 'disorder', 'need', 'complicated ',' application ',' report ',' fast ',' technician ',' report ',' integration ',' add ',' catchplay ',' easy ',' play ',' game ',' exclusive ', 'items', 'thank', 'love', 'indihome', 'hope', 'service', '']</v>
      </c>
      <c r="D2237" s="3">
        <v>5.0</v>
      </c>
    </row>
    <row r="2238" ht="15.75" customHeight="1">
      <c r="A2238" s="1">
        <v>2353.0</v>
      </c>
      <c r="B2238" s="3" t="s">
        <v>2191</v>
      </c>
      <c r="C2238" s="3" t="str">
        <f>IFERROR(__xludf.DUMMYFUNCTION("GOOGLETRANSLATE(B2238,""id"",""en"")"),"['failed', 'uplod', 'registration']")</f>
        <v>['failed', 'uplod', 'registration']</v>
      </c>
      <c r="D2238" s="3">
        <v>1.0</v>
      </c>
    </row>
    <row r="2239" ht="15.75" customHeight="1">
      <c r="A2239" s="1">
        <v>2354.0</v>
      </c>
      <c r="B2239" s="3" t="s">
        <v>2192</v>
      </c>
      <c r="C2239" s="3" t="str">
        <f>IFERROR(__xludf.DUMMYFUNCTION("GOOGLETRANSLATE(B2239,""id"",""en"")"),"['Telkom', 'Indihome', 'company', 'application', 'slow', 'application', 'beginner', 'system', 'robotics',' divert ',' complaints', 'customers',' Tewitter ',' Instagram ',' hope ',' application ',' container ',' accommodating ',' complaints', 'Customer', '"&amp;"Indihome', 'Thanks',' ']")</f>
        <v>['Telkom', 'Indihome', 'company', 'application', 'slow', 'application', 'beginner', 'system', 'robotics',' divert ',' complaints', 'customers',' Tewitter ',' Instagram ',' hope ',' application ',' container ',' accommodating ',' complaints', 'Customer', 'Indihome', 'Thanks',' ']</v>
      </c>
      <c r="D2239" s="3">
        <v>3.0</v>
      </c>
    </row>
    <row r="2240" ht="15.75" customHeight="1">
      <c r="A2240" s="1">
        <v>2355.0</v>
      </c>
      <c r="B2240" s="3" t="s">
        <v>2193</v>
      </c>
      <c r="C2240" s="3" t="str">
        <f>IFERROR(__xludf.DUMMYFUNCTION("GOOGLETRANSLATE(B2240,""id"",""en"")"),"['money', 'guarantee', 'transferred', 'know', 'reply', 'email', 'told', 'wait', 'trs', 'what', ""]")</f>
        <v>['money', 'guarantee', 'transferred', 'know', 'reply', 'email', 'told', 'wait', 'trs', 'what', "]</v>
      </c>
      <c r="D2240" s="3">
        <v>1.0</v>
      </c>
    </row>
    <row r="2241" ht="15.75" customHeight="1">
      <c r="A2241" s="1">
        <v>2356.0</v>
      </c>
      <c r="B2241" s="3" t="s">
        <v>2194</v>
      </c>
      <c r="C2241" s="3" t="str">
        <f>IFERROR(__xludf.DUMMYFUNCTION("GOOGLETRANSLATE(B2241,""id"",""en"")"),"['best', 'basically', '']")</f>
        <v>['best', 'basically', '']</v>
      </c>
      <c r="D2241" s="3">
        <v>5.0</v>
      </c>
    </row>
    <row r="2242" ht="15.75" customHeight="1">
      <c r="A2242" s="1">
        <v>2357.0</v>
      </c>
      <c r="B2242" s="3" t="s">
        <v>2195</v>
      </c>
      <c r="C2242" s="3" t="str">
        <f>IFERROR(__xludf.DUMMYFUNCTION("GOOGLETRANSLATE(B2242,""id"",""en"")"),"['Joss', 'Tenan', '']")</f>
        <v>['Joss', 'Tenan', '']</v>
      </c>
      <c r="D2242" s="3">
        <v>5.0</v>
      </c>
    </row>
    <row r="2243" ht="15.75" customHeight="1">
      <c r="A2243" s="1">
        <v>2358.0</v>
      </c>
      <c r="B2243" s="3" t="s">
        <v>2196</v>
      </c>
      <c r="C2243" s="3" t="str">
        <f>IFERROR(__xludf.DUMMYFUNCTION("GOOGLETRANSLATE(B2243,""id"",""en"")"),"['Network', 'Not bad']")</f>
        <v>['Network', 'Not bad']</v>
      </c>
      <c r="D2243" s="3">
        <v>2.0</v>
      </c>
    </row>
    <row r="2244" ht="15.75" customHeight="1">
      <c r="A2244" s="1">
        <v>2359.0</v>
      </c>
      <c r="B2244" s="3" t="s">
        <v>2197</v>
      </c>
      <c r="C2244" s="3" t="str">
        <f>IFERROR(__xludf.DUMMYFUNCTION("GOOGLETRANSLATE(B2244,""id"",""en"")"),"['via', 'web', 'application', '']")</f>
        <v>['via', 'web', 'application', '']</v>
      </c>
      <c r="D2244" s="3">
        <v>1.0</v>
      </c>
    </row>
    <row r="2245" ht="15.75" customHeight="1">
      <c r="A2245" s="1">
        <v>2361.0</v>
      </c>
      <c r="B2245" s="3" t="s">
        <v>393</v>
      </c>
      <c r="C2245" s="3" t="str">
        <f>IFERROR(__xludf.DUMMYFUNCTION("GOOGLETRANSLATE(B2245,""id"",""en"")"),"['steady']")</f>
        <v>['steady']</v>
      </c>
      <c r="D2245" s="3">
        <v>5.0</v>
      </c>
    </row>
    <row r="2246" ht="15.75" customHeight="1">
      <c r="A2246" s="1">
        <v>2362.0</v>
      </c>
      <c r="B2246" s="3" t="s">
        <v>2198</v>
      </c>
      <c r="C2246" s="3" t="str">
        <f>IFERROR(__xludf.DUMMYFUNCTION("GOOGLETRANSLATE(B2246,""id"",""en"")"),"['experience', 'report', 'problem', 'office', 'assisted', 'customer', 'service', 'download', 'application', 'office', 'telkom', 'at the office', ' Report ',' problem ',' faced ',' application ',' easy ',' technician ',' direct ',' repair ',' contactless',"&amp;" 'technician', 'tkp', 'problem', 'finished' ]")</f>
        <v>['experience', 'report', 'problem', 'office', 'assisted', 'customer', 'service', 'download', 'application', 'office', 'telkom', 'at the office', ' Report ',' problem ',' faced ',' application ',' easy ',' technician ',' direct ',' repair ',' contactless', 'technician', 'tkp', 'problem', 'finished' ]</v>
      </c>
      <c r="D2246" s="3">
        <v>5.0</v>
      </c>
    </row>
    <row r="2247" ht="15.75" customHeight="1">
      <c r="A2247" s="1">
        <v>2363.0</v>
      </c>
      <c r="B2247" s="3" t="s">
        <v>441</v>
      </c>
      <c r="C2247" s="3" t="str">
        <f>IFERROR(__xludf.DUMMYFUNCTION("GOOGLETRANSLATE(B2247,""id"",""en"")"),"['', '']")</f>
        <v>['', '']</v>
      </c>
      <c r="D2247" s="3">
        <v>1.0</v>
      </c>
    </row>
    <row r="2248" ht="15.75" customHeight="1">
      <c r="A2248" s="1">
        <v>2364.0</v>
      </c>
      <c r="B2248" s="3" t="s">
        <v>2199</v>
      </c>
      <c r="C2248" s="3" t="str">
        <f>IFERROR(__xludf.DUMMYFUNCTION("GOOGLETRANSLATE(B2248,""id"",""en"")"),"['already', 'Indihome', 'Satisfied', 'really', 'slow', 'Ank', 'Dipake', 'watch', 'YouTube', 'home', 'hopefully', 'smooth', ' In the future ',' skrg ',' application ',' Indihime ',' the latest ',' good ',' really ',' look ',' makes it easier ',' user ',' m"&amp;"onitor ',' use ',' quota ' , 'wifi', 'success', 'indihome']")</f>
        <v>['already', 'Indihome', 'Satisfied', 'really', 'slow', 'Ank', 'Dipake', 'watch', 'YouTube', 'home', 'hopefully', 'smooth', ' In the future ',' skrg ',' application ',' Indihime ',' the latest ',' good ',' really ',' look ',' makes it easier ',' user ',' monitor ',' use ',' quota ' , 'wifi', 'success', 'indihome']</v>
      </c>
      <c r="D2248" s="3">
        <v>5.0</v>
      </c>
    </row>
    <row r="2249" ht="15.75" customHeight="1">
      <c r="A2249" s="1">
        <v>2365.0</v>
      </c>
      <c r="B2249" s="3" t="s">
        <v>2200</v>
      </c>
      <c r="C2249" s="3" t="str">
        <f>IFERROR(__xludf.DUMMYFUNCTION("GOOGLETRANSLATE(B2249,""id"",""en"")"),"['Tks']")</f>
        <v>['Tks']</v>
      </c>
      <c r="D2249" s="3">
        <v>5.0</v>
      </c>
    </row>
    <row r="2250" ht="15.75" customHeight="1">
      <c r="A2250" s="1">
        <v>2366.0</v>
      </c>
      <c r="B2250" s="3" t="s">
        <v>2201</v>
      </c>
      <c r="C2250" s="3" t="str">
        <f>IFERROR(__xludf.DUMMYFUNCTION("GOOGLETRANSLATE(B2250,""id"",""en"")"),"['difficult', 'update']")</f>
        <v>['difficult', 'update']</v>
      </c>
      <c r="D2250" s="3">
        <v>1.0</v>
      </c>
    </row>
    <row r="2251" ht="15.75" customHeight="1">
      <c r="A2251" s="1">
        <v>2367.0</v>
      </c>
      <c r="B2251" s="3" t="s">
        <v>2202</v>
      </c>
      <c r="C2251" s="3" t="str">
        <f>IFERROR(__xludf.DUMMYFUNCTION("GOOGLETRANSLATE(B2251,""id"",""en"")"),"['economical', 'useful', 'use', 'Indihome', 'wifi', 'at home', 'use', 'internet', 'as much as', 'think', 'quota']")</f>
        <v>['economical', 'useful', 'use', 'Indihome', 'wifi', 'at home', 'use', 'internet', 'as much as', 'think', 'quota']</v>
      </c>
      <c r="D2251" s="3">
        <v>5.0</v>
      </c>
    </row>
    <row r="2252" ht="15.75" customHeight="1">
      <c r="A2252" s="1">
        <v>2368.0</v>
      </c>
      <c r="B2252" s="3" t="s">
        <v>2203</v>
      </c>
      <c r="C2252" s="3" t="str">
        <f>IFERROR(__xludf.DUMMYFUNCTION("GOOGLETRANSLATE(B2252,""id"",""en"")"),"['slow', '']")</f>
        <v>['slow', '']</v>
      </c>
      <c r="D2252" s="3">
        <v>1.0</v>
      </c>
    </row>
    <row r="2253" ht="15.75" customHeight="1">
      <c r="A2253" s="1">
        <v>2369.0</v>
      </c>
      <c r="B2253" s="3" t="s">
        <v>2204</v>
      </c>
      <c r="C2253" s="3" t="str">
        <f>IFERROR(__xludf.DUMMYFUNCTION("GOOGLETRANSLATE(B2253,""id"",""en"")"),"['Slow', 'Benefit', 'Redeem', 'Points', '']")</f>
        <v>['Slow', 'Benefit', 'Redeem', 'Points', '']</v>
      </c>
      <c r="D2253" s="3">
        <v>1.0</v>
      </c>
    </row>
    <row r="2254" ht="15.75" customHeight="1">
      <c r="A2254" s="1">
        <v>2370.0</v>
      </c>
      <c r="B2254" s="3" t="s">
        <v>2205</v>
      </c>
      <c r="C2254" s="3" t="str">
        <f>IFERROR(__xludf.DUMMYFUNCTION("GOOGLETRANSLATE(B2254,""id"",""en"")"),"['Interactive', 'really', 'the application']")</f>
        <v>['Interactive', 'really', 'the application']</v>
      </c>
      <c r="D2254" s="3">
        <v>5.0</v>
      </c>
    </row>
    <row r="2255" ht="15.75" customHeight="1">
      <c r="A2255" s="1">
        <v>2371.0</v>
      </c>
      <c r="B2255" s="3" t="s">
        <v>2206</v>
      </c>
      <c r="C2255" s="3" t="str">
        <f>IFERROR(__xludf.DUMMYFUNCTION("GOOGLETRANSLATE(B2255,""id"",""en"")"),"['Interface', 'Application', 'Interesting', 'Comfortable', 'Improved', 'Display', 'Sometimes', 'Application', 'Lemot']")</f>
        <v>['Interface', 'Application', 'Interesting', 'Comfortable', 'Improved', 'Display', 'Sometimes', 'Application', 'Lemot']</v>
      </c>
      <c r="D2255" s="3">
        <v>4.0</v>
      </c>
    </row>
    <row r="2256" ht="15.75" customHeight="1">
      <c r="A2256" s="1">
        <v>2373.0</v>
      </c>
      <c r="B2256" s="3" t="s">
        <v>2207</v>
      </c>
      <c r="C2256" s="3" t="str">
        <f>IFERROR(__xludf.DUMMYFUNCTION("GOOGLETRANSLATE(B2256,""id"",""en"")"),"['application', 'delicious', 'fire', 'slow', 'load', 'not', 'bad', 'while', 'application', 'run', 'normal', '']")</f>
        <v>['application', 'delicious', 'fire', 'slow', 'load', 'not', 'bad', 'while', 'application', 'run', 'normal', '']</v>
      </c>
      <c r="D2256" s="3">
        <v>5.0</v>
      </c>
    </row>
    <row r="2257" ht="15.75" customHeight="1">
      <c r="A2257" s="1">
        <v>2374.0</v>
      </c>
      <c r="B2257" s="3" t="s">
        <v>2208</v>
      </c>
      <c r="C2257" s="3" t="str">
        <f>IFERROR(__xludf.DUMMYFUNCTION("GOOGLETRANSLATE(B2257,""id"",""en"")"),"['Better', 'and', '']")</f>
        <v>['Better', 'and', '']</v>
      </c>
      <c r="D2257" s="3">
        <v>5.0</v>
      </c>
    </row>
    <row r="2258" ht="15.75" customHeight="1">
      <c r="A2258" s="1">
        <v>2375.0</v>
      </c>
      <c r="B2258" s="3" t="s">
        <v>2209</v>
      </c>
      <c r="C2258" s="3" t="str">
        <f>IFERROR(__xludf.DUMMYFUNCTION("GOOGLETRANSLATE(B2258,""id"",""en"")"),"['Display', 'interesting', 'comfortable']")</f>
        <v>['Display', 'interesting', 'comfortable']</v>
      </c>
      <c r="D2258" s="3">
        <v>5.0</v>
      </c>
    </row>
    <row r="2259" ht="15.75" customHeight="1">
      <c r="A2259" s="1">
        <v>2376.0</v>
      </c>
      <c r="B2259" s="3" t="s">
        <v>2210</v>
      </c>
      <c r="C2259" s="3" t="str">
        <f>IFERROR(__xludf.DUMMYFUNCTION("GOOGLETRANSLATE(B2259,""id"",""en"")"),"['Mantep']")</f>
        <v>['Mantep']</v>
      </c>
      <c r="D2259" s="3">
        <v>5.0</v>
      </c>
    </row>
    <row r="2260" ht="15.75" customHeight="1">
      <c r="A2260" s="1">
        <v>2377.0</v>
      </c>
      <c r="B2260" s="3" t="s">
        <v>2211</v>
      </c>
      <c r="C2260" s="3" t="str">
        <f>IFERROR(__xludf.DUMMYFUNCTION("GOOGLETRANSLATE(B2260,""id"",""en"")"),"['Indihome', 'steady', 'soul', 'network', 'strong', 'slow', ""]")</f>
        <v>['Indihome', 'steady', 'soul', 'network', 'strong', 'slow', "]</v>
      </c>
      <c r="D2260" s="3">
        <v>5.0</v>
      </c>
    </row>
    <row r="2261" ht="15.75" customHeight="1">
      <c r="A2261" s="1">
        <v>2378.0</v>
      </c>
      <c r="B2261" s="3" t="s">
        <v>2212</v>
      </c>
      <c r="C2261" s="3" t="str">
        <f>IFERROR(__xludf.DUMMYFUNCTION("GOOGLETRANSLATE(B2261,""id"",""en"")"),"['Comfortable', 'App', 'version']")</f>
        <v>['Comfortable', 'App', 'version']</v>
      </c>
      <c r="D2261" s="3">
        <v>5.0</v>
      </c>
    </row>
    <row r="2262" ht="15.75" customHeight="1">
      <c r="A2262" s="1">
        <v>2379.0</v>
      </c>
      <c r="B2262" s="3" t="s">
        <v>2213</v>
      </c>
      <c r="C2262" s="3" t="str">
        <f>IFERROR(__xludf.DUMMYFUNCTION("GOOGLETRANSLATE(B2262,""id"",""en"")"),"['already', 'Install', 'Myindihome', 'Since', 'Lecture', 'Gara', 'Kosan', 'Deket', 'WiFi', 'Change', 'Application', 'Hopefully', ' In the future ',' ']")</f>
        <v>['already', 'Install', 'Myindihome', 'Since', 'Lecture', 'Gara', 'Kosan', 'Deket', 'WiFi', 'Change', 'Application', 'Hopefully', ' In the future ',' ']</v>
      </c>
      <c r="D2262" s="3">
        <v>5.0</v>
      </c>
    </row>
    <row r="2263" ht="15.75" customHeight="1">
      <c r="A2263" s="1">
        <v>2380.0</v>
      </c>
      <c r="B2263" s="3" t="s">
        <v>2214</v>
      </c>
      <c r="C2263" s="3" t="str">
        <f>IFERROR(__xludf.DUMMYFUNCTION("GOOGLETRANSLATE(B2263,""id"",""en"")"),"['Best', 'services']")</f>
        <v>['Best', 'services']</v>
      </c>
      <c r="D2263" s="3">
        <v>5.0</v>
      </c>
    </row>
    <row r="2264" ht="15.75" customHeight="1">
      <c r="A2264" s="1">
        <v>2381.0</v>
      </c>
      <c r="B2264" s="3" t="s">
        <v>2215</v>
      </c>
      <c r="C2264" s="3" t="str">
        <f>IFERROR(__xludf.DUMMYFUNCTION("GOOGLETRANSLATE(B2264,""id"",""en"")"),"['easy', 'application', 'Indihome', 'information', 'complete', 'surrounding', 'package', 'bonus', 'etc.', 'upgrade', 'indihome', ""]")</f>
        <v>['easy', 'application', 'Indihome', 'information', 'complete', 'surrounding', 'package', 'bonus', 'etc.', 'upgrade', 'indihome', "]</v>
      </c>
      <c r="D2264" s="3">
        <v>5.0</v>
      </c>
    </row>
    <row r="2265" ht="15.75" customHeight="1">
      <c r="A2265" s="1">
        <v>2382.0</v>
      </c>
      <c r="B2265" s="3" t="s">
        <v>2216</v>
      </c>
      <c r="C2265" s="3" t="str">
        <f>IFERROR(__xludf.DUMMYFUNCTION("GOOGLETRANSLATE(B2265,""id"",""en"")"),"['Raying', 'update', 'late', 'update', 'friend', '']")</f>
        <v>['Raying', 'update', 'late', 'update', 'friend', '']</v>
      </c>
      <c r="D2265" s="3">
        <v>1.0</v>
      </c>
    </row>
    <row r="2266" ht="15.75" customHeight="1">
      <c r="A2266" s="1">
        <v>2383.0</v>
      </c>
      <c r="B2266" s="3" t="s">
        <v>2217</v>
      </c>
      <c r="C2266" s="3" t="str">
        <f>IFERROR(__xludf.DUMMYFUNCTION("GOOGLETRANSLATE(B2266,""id"",""en"")"),"['Streaming', 'Speed', 'Network', '']")</f>
        <v>['Streaming', 'Speed', 'Network', '']</v>
      </c>
      <c r="D2266" s="3">
        <v>5.0</v>
      </c>
    </row>
    <row r="2267" ht="15.75" customHeight="1">
      <c r="A2267" s="1">
        <v>2384.0</v>
      </c>
      <c r="B2267" s="3" t="s">
        <v>2218</v>
      </c>
      <c r="C2267" s="3" t="str">
        <f>IFERROR(__xludf.DUMMYFUNCTION("GOOGLETRANSLATE(B2267,""id"",""en"")"),"['look', 'facilitated', 'nutritated', 'Sometimes', 'network', 'labile', 'hope', 'future', 'repair']")</f>
        <v>['look', 'facilitated', 'nutritated', 'Sometimes', 'network', 'labile', 'hope', 'future', 'repair']</v>
      </c>
      <c r="D2267" s="3">
        <v>5.0</v>
      </c>
    </row>
    <row r="2268" ht="15.75" customHeight="1">
      <c r="A2268" s="1">
        <v>2385.0</v>
      </c>
      <c r="B2268" s="3" t="s">
        <v>2219</v>
      </c>
      <c r="C2268" s="3" t="str">
        <f>IFERROR(__xludf.DUMMYFUNCTION("GOOGLETRANSLATE(B2268,""id"",""en"")"),"['Help', 'Customer', 'Information', 'Disorders', 'Use', 'Application', '']")</f>
        <v>['Help', 'Customer', 'Information', 'Disorders', 'Use', 'Application', '']</v>
      </c>
      <c r="D2268" s="3">
        <v>5.0</v>
      </c>
    </row>
    <row r="2269" ht="15.75" customHeight="1">
      <c r="A2269" s="1">
        <v>2386.0</v>
      </c>
      <c r="B2269" s="3" t="s">
        <v>2220</v>
      </c>
      <c r="C2269" s="3" t="str">
        <f>IFERROR(__xludf.DUMMYFUNCTION("GOOGLETRANSLATE(B2269,""id"",""en"")"),"['useful']")</f>
        <v>['useful']</v>
      </c>
      <c r="D2269" s="3">
        <v>5.0</v>
      </c>
    </row>
    <row r="2270" ht="15.75" customHeight="1">
      <c r="A2270" s="1">
        <v>2387.0</v>
      </c>
      <c r="B2270" s="3" t="s">
        <v>2221</v>
      </c>
      <c r="C2270" s="3" t="str">
        <f>IFERROR(__xludf.DUMMYFUNCTION("GOOGLETRANSLATE(B2270,""id"",""en"")"),"['activation', 'balance', 'renew', 'package', 'pay', 'JT', 'per month', 'package', 'Mbps',' internet ',' limit ',' speed ',' Under ',' Mbps', 'unlimited', 'actually']")</f>
        <v>['activation', 'balance', 'renew', 'package', 'pay', 'JT', 'per month', 'package', 'Mbps',' internet ',' limit ',' speed ',' Under ',' Mbps', 'unlimited', 'actually']</v>
      </c>
      <c r="D2270" s="3">
        <v>1.0</v>
      </c>
    </row>
    <row r="2271" ht="15.75" customHeight="1">
      <c r="A2271" s="1">
        <v>2388.0</v>
      </c>
      <c r="B2271" s="3" t="s">
        <v>2222</v>
      </c>
      <c r="C2271" s="3" t="str">
        <f>IFERROR(__xludf.DUMMYFUNCTION("GOOGLETRANSLATE(B2271,""id"",""en"")"),"['Good', 'help', 'offer', 'information', 'valid', 'easy', 'basically', 'recommended', 'really']")</f>
        <v>['Good', 'help', 'offer', 'information', 'valid', 'easy', 'basically', 'recommended', 'really']</v>
      </c>
      <c r="D2271" s="3">
        <v>5.0</v>
      </c>
    </row>
    <row r="2272" ht="15.75" customHeight="1">
      <c r="A2272" s="1">
        <v>2389.0</v>
      </c>
      <c r="B2272" s="3" t="s">
        <v>2223</v>
      </c>
      <c r="C2272" s="3" t="str">
        <f>IFERROR(__xludf.DUMMYFUNCTION("GOOGLETRANSLATE(B2272,""id"",""en"")"),"['application', 'junk', 'ferification', 'account', 'no', 'finished', 'slow', 'really']")</f>
        <v>['application', 'junk', 'ferification', 'account', 'no', 'finished', 'slow', 'really']</v>
      </c>
      <c r="D2272" s="3">
        <v>1.0</v>
      </c>
    </row>
    <row r="2273" ht="15.75" customHeight="1">
      <c r="A2273" s="1">
        <v>2390.0</v>
      </c>
      <c r="B2273" s="3" t="s">
        <v>2224</v>
      </c>
      <c r="C2273" s="3" t="str">
        <f>IFERROR(__xludf.DUMMYFUNCTION("GOOGLETRANSLATE(B2273,""id"",""en"")"),"['Steady', 'Joss', 'slow']")</f>
        <v>['Steady', 'Joss', 'slow']</v>
      </c>
      <c r="D2273" s="3">
        <v>5.0</v>
      </c>
    </row>
    <row r="2274" ht="15.75" customHeight="1">
      <c r="A2274" s="1">
        <v>2391.0</v>
      </c>
      <c r="B2274" s="3" t="s">
        <v>2225</v>
      </c>
      <c r="C2274" s="3" t="str">
        <f>IFERROR(__xludf.DUMMYFUNCTION("GOOGLETRANSLATE(B2274,""id"",""en"")"),"['service', 'satisfying', 'report', 'many', 'technicians', 'app', 'slow', '']")</f>
        <v>['service', 'satisfying', 'report', 'many', 'technicians', 'app', 'slow', '']</v>
      </c>
      <c r="D2274" s="3">
        <v>1.0</v>
      </c>
    </row>
    <row r="2275" ht="15.75" customHeight="1">
      <c r="A2275" s="1">
        <v>2392.0</v>
      </c>
      <c r="B2275" s="3" t="s">
        <v>2226</v>
      </c>
      <c r="C2275" s="3" t="str">
        <f>IFERROR(__xludf.DUMMYFUNCTION("GOOGLETRANSLATE(B2275,""id"",""en"")"),"['updated', 'ugly', 'the application', 'good', 'compared to']")</f>
        <v>['updated', 'ugly', 'the application', 'good', 'compared to']</v>
      </c>
      <c r="D2275" s="3">
        <v>1.0</v>
      </c>
    </row>
    <row r="2276" ht="15.75" customHeight="1">
      <c r="A2276" s="1">
        <v>2393.0</v>
      </c>
      <c r="B2276" s="3" t="s">
        <v>2227</v>
      </c>
      <c r="C2276" s="3" t="str">
        <f>IFERROR(__xludf.DUMMYFUNCTION("GOOGLETRANSLATE(B2276,""id"",""en"")"),"['Application', 'Modern', 'Facilitates', 'Use', 'Thankyou', 'Indihome', '']")</f>
        <v>['Application', 'Modern', 'Facilitates', 'Use', 'Thankyou', 'Indihome', '']</v>
      </c>
      <c r="D2276" s="3">
        <v>5.0</v>
      </c>
    </row>
    <row r="2277" ht="15.75" customHeight="1">
      <c r="A2277" s="1">
        <v>2394.0</v>
      </c>
      <c r="B2277" s="3" t="s">
        <v>2228</v>
      </c>
      <c r="C2277" s="3" t="str">
        <f>IFERROR(__xludf.DUMMYFUNCTION("GOOGLETRANSLATE(B2277,""id"",""en"")"),"['steady', 'signal', 'good', 'study', 'work', 'safe', 'controlled', '']")</f>
        <v>['steady', 'signal', 'good', 'study', 'work', 'safe', 'controlled', '']</v>
      </c>
      <c r="D2277" s="3">
        <v>5.0</v>
      </c>
    </row>
    <row r="2278" ht="15.75" customHeight="1">
      <c r="A2278" s="1">
        <v>2395.0</v>
      </c>
      <c r="B2278" s="3" t="s">
        <v>2229</v>
      </c>
      <c r="C2278" s="3" t="str">
        <f>IFERROR(__xludf.DUMMYFUNCTION("GOOGLETRANSLATE(B2278,""id"",""en"")"),"['application', 'slow', 'update', 'just', 'see', 'number', 'pay', 'difficult', 'die', 'forget', 'number', 'directly', ' Phone ',' Call ',' Center ',' Credit ',' People ',' Update ',' Good ',' Whyyy ',' BUMN ',' ']")</f>
        <v>['application', 'slow', 'update', 'just', 'see', 'number', 'pay', 'difficult', 'die', 'forget', 'number', 'directly', ' Phone ',' Call ',' Center ',' Credit ',' People ',' Update ',' Good ',' Whyyy ',' BUMN ',' ']</v>
      </c>
      <c r="D2278" s="3">
        <v>1.0</v>
      </c>
    </row>
    <row r="2279" ht="15.75" customHeight="1">
      <c r="A2279" s="1">
        <v>2396.0</v>
      </c>
      <c r="B2279" s="3" t="s">
        <v>2230</v>
      </c>
      <c r="C2279" s="3" t="str">
        <f>IFERROR(__xludf.DUMMYFUNCTION("GOOGLETRANSLATE(B2279,""id"",""en"")"),"['Application', 'Sangan', 'Difficult', 'Login', 'Dangan', 'Disappointing']")</f>
        <v>['Application', 'Sangan', 'Difficult', 'Login', 'Dangan', 'Disappointing']</v>
      </c>
      <c r="D2279" s="3">
        <v>1.0</v>
      </c>
    </row>
    <row r="2280" ht="15.75" customHeight="1">
      <c r="A2280" s="1">
        <v>2397.0</v>
      </c>
      <c r="B2280" s="3" t="s">
        <v>2231</v>
      </c>
      <c r="C2280" s="3" t="str">
        <f>IFERROR(__xludf.DUMMYFUNCTION("GOOGLETRANSLATE(B2280,""id"",""en"")"),"['version', 'terupatenya', 'fast', 'version', 'display', 'simple', 'easy', 'easy', 'history', 'payment', 'purchase', 'basics',' easy ',' good ']")</f>
        <v>['version', 'terupatenya', 'fast', 'version', 'display', 'simple', 'easy', 'easy', 'history', 'payment', 'purchase', 'basics',' easy ',' good ']</v>
      </c>
      <c r="D2280" s="3">
        <v>5.0</v>
      </c>
    </row>
    <row r="2281" ht="15.75" customHeight="1">
      <c r="A2281" s="1">
        <v>2398.0</v>
      </c>
      <c r="B2281" s="3" t="s">
        <v>2232</v>
      </c>
      <c r="C2281" s="3" t="str">
        <f>IFERROR(__xludf.DUMMYFUNCTION("GOOGLETRANSLATE(B2281,""id"",""en"")"),"['Sip', 'Mantab', 'Make it easy', 'Guide', 'Service', 'Telkomsel', ""]")</f>
        <v>['Sip', 'Mantab', 'Make it easy', 'Guide', 'Service', 'Telkomsel', "]</v>
      </c>
      <c r="D2281" s="3">
        <v>5.0</v>
      </c>
    </row>
    <row r="2282" ht="15.75" customHeight="1">
      <c r="A2282" s="1">
        <v>2399.0</v>
      </c>
      <c r="B2282" s="3" t="s">
        <v>2233</v>
      </c>
      <c r="C2282" s="3" t="str">
        <f>IFERROR(__xludf.DUMMYFUNCTION("GOOGLETRANSLATE(B2282,""id"",""en"")"),"['The App', 'strange', 'Pay', 'bill', 'Telkom', 'Tick', 'App', 'Bill', 'Hadeh', 'Delete', 'Cache', 'Data', ' Then ',' Uninstall ',' Reinstall ',' App ',' ugly ']")</f>
        <v>['The App', 'strange', 'Pay', 'bill', 'Telkom', 'Tick', 'App', 'Bill', 'Hadeh', 'Delete', 'Cache', 'Data', ' Then ',' Uninstall ',' Reinstall ',' App ',' ugly ']</v>
      </c>
      <c r="D2282" s="3">
        <v>1.0</v>
      </c>
    </row>
    <row r="2283" ht="15.75" customHeight="1">
      <c r="A2283" s="1">
        <v>2400.0</v>
      </c>
      <c r="B2283" s="3" t="s">
        <v>2234</v>
      </c>
      <c r="C2283" s="3" t="str">
        <f>IFERROR(__xludf.DUMMYFUNCTION("GOOGLETRANSLATE(B2283,""id"",""en"")"),"['Mantab', 'Application', 'Indihome', 'Helping', 'Monitoring', 'WiFi', 'at home', 'Help', 'Service', 'Thanks', 'Indihome']")</f>
        <v>['Mantab', 'Application', 'Indihome', 'Helping', 'Monitoring', 'WiFi', 'at home', 'Help', 'Service', 'Thanks', 'Indihome']</v>
      </c>
      <c r="D2283" s="3">
        <v>5.0</v>
      </c>
    </row>
    <row r="2284" ht="15.75" customHeight="1">
      <c r="A2284" s="1">
        <v>2401.0</v>
      </c>
      <c r="B2284" s="3" t="s">
        <v>2235</v>
      </c>
      <c r="C2284" s="3" t="str">
        <f>IFERROR(__xludf.DUMMYFUNCTION("GOOGLETRANSLATE(B2284,""id"",""en"")"),"['Helpful', 'choose', 'package', 'add', 'look', 'newest', 'stunning']")</f>
        <v>['Helpful', 'choose', 'package', 'add', 'look', 'newest', 'stunning']</v>
      </c>
      <c r="D2284" s="3">
        <v>5.0</v>
      </c>
    </row>
    <row r="2285" ht="15.75" customHeight="1">
      <c r="A2285" s="1">
        <v>2403.0</v>
      </c>
      <c r="B2285" s="3" t="s">
        <v>2236</v>
      </c>
      <c r="C2285" s="3" t="str">
        <f>IFERROR(__xludf.DUMMYFUNCTION("GOOGLETRANSLATE(B2285,""id"",""en"")"),"['Disruption', 'modem', 'Los', 'Indohome', 'garbage', ""]")</f>
        <v>['Disruption', 'modem', 'Los', 'Indohome', 'garbage', "]</v>
      </c>
      <c r="D2285" s="3">
        <v>1.0</v>
      </c>
    </row>
    <row r="2286" ht="15.75" customHeight="1">
      <c r="A2286" s="1">
        <v>2404.0</v>
      </c>
      <c r="B2286" s="3" t="s">
        <v>2237</v>
      </c>
      <c r="C2286" s="3" t="str">
        <f>IFERROR(__xludf.DUMMYFUNCTION("GOOGLETRANSLATE(B2286,""id"",""en"")"),"['internet', 'Kenceng', 'Puooollll', 'Application', 'Indihome', 'Mantappp', 'Control', 'Quota', 'Payment', 'Miss']")</f>
        <v>['internet', 'Kenceng', 'Puooollll', 'Application', 'Indihome', 'Mantappp', 'Control', 'Quota', 'Payment', 'Miss']</v>
      </c>
      <c r="D2286" s="3">
        <v>5.0</v>
      </c>
    </row>
    <row r="2287" ht="15.75" customHeight="1">
      <c r="A2287" s="1">
        <v>2405.0</v>
      </c>
      <c r="B2287" s="3" t="s">
        <v>2238</v>
      </c>
      <c r="C2287" s="3" t="str">
        <f>IFERROR(__xludf.DUMMYFUNCTION("GOOGLETRANSLATE(B2287,""id"",""en"")"),"['Service', 'constraints', 'clock', 'staple', 'Download', 'APK', 'PlayStore', 'Service', 'Fast', 'Response']")</f>
        <v>['Service', 'constraints', 'clock', 'staple', 'Download', 'APK', 'PlayStore', 'Service', 'Fast', 'Response']</v>
      </c>
      <c r="D2287" s="3">
        <v>5.0</v>
      </c>
    </row>
    <row r="2288" ht="15.75" customHeight="1">
      <c r="A2288" s="1">
        <v>2406.0</v>
      </c>
      <c r="B2288" s="3" t="s">
        <v>2239</v>
      </c>
      <c r="C2288" s="3" t="str">
        <f>IFERROR(__xludf.DUMMYFUNCTION("GOOGLETRANSLATE(B2288,""id"",""en"")"),"['Application', 'LEG']")</f>
        <v>['Application', 'LEG']</v>
      </c>
      <c r="D2288" s="3">
        <v>4.0</v>
      </c>
    </row>
    <row r="2289" ht="15.75" customHeight="1">
      <c r="A2289" s="1">
        <v>2407.0</v>
      </c>
      <c r="B2289" s="3" t="s">
        <v>2240</v>
      </c>
      <c r="C2289" s="3" t="str">
        <f>IFERROR(__xludf.DUMMYFUNCTION("GOOGLETRANSLATE(B2289,""id"",""en"")"),"['Good', 'innovative']")</f>
        <v>['Good', 'innovative']</v>
      </c>
      <c r="D2289" s="3">
        <v>5.0</v>
      </c>
    </row>
    <row r="2290" ht="15.75" customHeight="1">
      <c r="A2290" s="1">
        <v>2408.0</v>
      </c>
      <c r="B2290" s="3" t="s">
        <v>2241</v>
      </c>
      <c r="C2290" s="3" t="str">
        <f>IFERROR(__xludf.DUMMYFUNCTION("GOOGLETRANSLATE(B2290,""id"",""en"")"),"['App', 'Loding', 'Good', 'ugly', 'Indihome', 'Indihome']")</f>
        <v>['App', 'Loding', 'Good', 'ugly', 'Indihome', 'Indihome']</v>
      </c>
      <c r="D2290" s="3">
        <v>1.0</v>
      </c>
    </row>
    <row r="2291" ht="15.75" customHeight="1">
      <c r="A2291" s="1">
        <v>2409.0</v>
      </c>
      <c r="B2291" s="3" t="s">
        <v>2242</v>
      </c>
      <c r="C2291" s="3" t="str">
        <f>IFERROR(__xludf.DUMMYFUNCTION("GOOGLETRANSLATE(B2291,""id"",""en"")"),"['difficult', 'log']")</f>
        <v>['difficult', 'log']</v>
      </c>
      <c r="D2291" s="3">
        <v>1.0</v>
      </c>
    </row>
    <row r="2292" ht="15.75" customHeight="1">
      <c r="A2292" s="1">
        <v>2410.0</v>
      </c>
      <c r="B2292" s="3" t="s">
        <v>2243</v>
      </c>
      <c r="C2292" s="3" t="str">
        <f>IFERROR(__xludf.DUMMYFUNCTION("GOOGLETRANSLATE(B2292,""id"",""en"")"),"['', 'Update', 'Ngga', 'NMR', 'payment', 'info', 'complaint']")</f>
        <v>['', 'Update', 'Ngga', 'NMR', 'payment', 'info', 'complaint']</v>
      </c>
      <c r="D2292" s="3">
        <v>1.0</v>
      </c>
    </row>
    <row r="2293" ht="15.75" customHeight="1">
      <c r="A2293" s="1">
        <v>2411.0</v>
      </c>
      <c r="B2293" s="3" t="s">
        <v>2244</v>
      </c>
      <c r="C2293" s="3" t="str">
        <f>IFERROR(__xludf.DUMMYFUNCTION("GOOGLETRANSLATE(B2293,""id"",""en"")"),"['already', 'complement', 'blm', 'response', 'fix', 'network', 'internet', 'already', 'replace']")</f>
        <v>['already', 'complement', 'blm', 'response', 'fix', 'network', 'internet', 'already', 'replace']</v>
      </c>
      <c r="D2293" s="3">
        <v>1.0</v>
      </c>
    </row>
    <row r="2294" ht="15.75" customHeight="1">
      <c r="A2294" s="1">
        <v>2412.0</v>
      </c>
      <c r="B2294" s="3" t="s">
        <v>2245</v>
      </c>
      <c r="C2294" s="3" t="str">
        <f>IFERROR(__xludf.DUMMYFUNCTION("GOOGLETRANSLATE(B2294,""id"",""en"")"),"['server', 'slow', 'connection', 'slow']")</f>
        <v>['server', 'slow', 'connection', 'slow']</v>
      </c>
      <c r="D2294" s="3">
        <v>1.0</v>
      </c>
    </row>
    <row r="2295" ht="15.75" customHeight="1">
      <c r="A2295" s="1">
        <v>2413.0</v>
      </c>
      <c r="B2295" s="3" t="s">
        <v>2246</v>
      </c>
      <c r="C2295" s="3" t="str">
        <f>IFERROR(__xludf.DUMMYFUNCTION("GOOGLETRANSLATE(B2295,""id"",""en"")"),"['Update', 'Difficult', 'Customer', 'Report', 'Disorders',' Indeed ',' APK ',' Make Easy ',' Service ',' Indiehome ',' Service ',' Disorders', ' Please ',' Fix ',' Update ',' Use ',' Service ']")</f>
        <v>['Update', 'Difficult', 'Customer', 'Report', 'Disorders',' Indeed ',' APK ',' Make Easy ',' Service ',' Indiehome ',' Service ',' Disorders', ' Please ',' Fix ',' Update ',' Use ',' Service ']</v>
      </c>
      <c r="D2295" s="3">
        <v>1.0</v>
      </c>
    </row>
    <row r="2296" ht="15.75" customHeight="1">
      <c r="A2296" s="1">
        <v>2414.0</v>
      </c>
      <c r="B2296" s="3" t="s">
        <v>2247</v>
      </c>
      <c r="C2296" s="3" t="str">
        <f>IFERROR(__xludf.DUMMYFUNCTION("GOOGLETRANSLATE(B2296,""id"",""en"")"),"['Application', 'company', 'BUMN', 'Worth', 'Use', 'Shy', 'Country']")</f>
        <v>['Application', 'company', 'BUMN', 'Worth', 'Use', 'Shy', 'Country']</v>
      </c>
      <c r="D2296" s="3">
        <v>1.0</v>
      </c>
    </row>
    <row r="2297" ht="15.75" customHeight="1">
      <c r="A2297" s="1">
        <v>2415.0</v>
      </c>
      <c r="B2297" s="3" t="s">
        <v>2248</v>
      </c>
      <c r="C2297" s="3" t="str">
        <f>IFERROR(__xludf.DUMMYFUNCTION("GOOGLETRANSLATE(B2297,""id"",""en"")"),"['Hour', 'Morning', 'Must', 'Disruption', 'Trouble', 'Mulu']")</f>
        <v>['Hour', 'Morning', 'Must', 'Disruption', 'Trouble', 'Mulu']</v>
      </c>
      <c r="D2297" s="3">
        <v>1.0</v>
      </c>
    </row>
    <row r="2298" ht="15.75" customHeight="1">
      <c r="A2298" s="1">
        <v>2416.0</v>
      </c>
      <c r="B2298" s="3" t="s">
        <v>2249</v>
      </c>
      <c r="C2298" s="3" t="str">
        <f>IFERROR(__xludf.DUMMYFUNCTION("GOOGLETRANSLATE(B2298,""id"",""en"")"),"['Knpa', 'after', 'updet', 'ngaco', 'enter', 'difficult']")</f>
        <v>['Knpa', 'after', 'updet', 'ngaco', 'enter', 'difficult']</v>
      </c>
      <c r="D2298" s="3">
        <v>1.0</v>
      </c>
    </row>
    <row r="2299" ht="15.75" customHeight="1">
      <c r="A2299" s="1">
        <v>2417.0</v>
      </c>
      <c r="B2299" s="3" t="s">
        <v>2250</v>
      </c>
      <c r="C2299" s="3" t="str">
        <f>IFERROR(__xludf.DUMMYFUNCTION("GOOGLETRANSLATE(B2299,""id"",""en"")"),"['application', 'update', 'already', 'slow']")</f>
        <v>['application', 'update', 'already', 'slow']</v>
      </c>
      <c r="D2299" s="3">
        <v>1.0</v>
      </c>
    </row>
    <row r="2300" ht="15.75" customHeight="1">
      <c r="A2300" s="1">
        <v>2418.0</v>
      </c>
      <c r="B2300" s="3" t="s">
        <v>2251</v>
      </c>
      <c r="C2300" s="3" t="str">
        <f>IFERROR(__xludf.DUMMYFUNCTION("GOOGLETRANSLATE(B2300,""id"",""en"")"),"['Ngellag', 'Bet', 'Internetlu', '']")</f>
        <v>['Ngellag', 'Bet', 'Internetlu', '']</v>
      </c>
      <c r="D2300" s="3">
        <v>1.0</v>
      </c>
    </row>
    <row r="2301" ht="15.75" customHeight="1">
      <c r="A2301" s="1">
        <v>2419.0</v>
      </c>
      <c r="B2301" s="3" t="s">
        <v>2252</v>
      </c>
      <c r="C2301" s="3" t="str">
        <f>IFERROR(__xludf.DUMMYFUNCTION("GOOGLETRANSLATE(B2301,""id"",""en"")"),"['application', 'slow', 'aka', 'slow', 'difficult', 'login']")</f>
        <v>['application', 'slow', 'aka', 'slow', 'difficult', 'login']</v>
      </c>
      <c r="D2301" s="3">
        <v>1.0</v>
      </c>
    </row>
    <row r="2302" ht="15.75" customHeight="1">
      <c r="A2302" s="1">
        <v>2420.0</v>
      </c>
      <c r="B2302" s="3" t="s">
        <v>2253</v>
      </c>
      <c r="C2302" s="3" t="str">
        <f>IFERROR(__xludf.DUMMYFUNCTION("GOOGLETRANSLATE(B2302,""id"",""en"")"),"['', 'Msuk', 'menu', 'bill', 'login', 'KLU', 'Logout', 'HRUS', 'Install', 'reset', 'bru', 'slow']")</f>
        <v>['', 'Msuk', 'menu', 'bill', 'login', 'KLU', 'Logout', 'HRUS', 'Install', 'reset', 'bru', 'slow']</v>
      </c>
      <c r="D2302" s="3">
        <v>1.0</v>
      </c>
    </row>
    <row r="2303" ht="15.75" customHeight="1">
      <c r="A2303" s="1">
        <v>2421.0</v>
      </c>
      <c r="B2303" s="3" t="s">
        <v>2254</v>
      </c>
      <c r="C2303" s="3" t="str">
        <f>IFERROR(__xludf.DUMMYFUNCTION("GOOGLETRANSLATE(B2303,""id"",""en"")"),"['application', 'handy', 'update', 'slow', 'stop', 'get', 'fine', 'broke', 'service', 'patient', 'Buoan', 'a year', ' Subscribe ',' Direct ',' Stop ',' Over ',' Use ',' Indihome ', ""]")</f>
        <v>['application', 'handy', 'update', 'slow', 'stop', 'get', 'fine', 'broke', 'service', 'patient', 'Buoan', 'a year', ' Subscribe ',' Direct ',' Stop ',' Over ',' Use ',' Indihome ', "]</v>
      </c>
      <c r="D2303" s="3">
        <v>1.0</v>
      </c>
    </row>
    <row r="2304" ht="15.75" customHeight="1">
      <c r="A2304" s="1">
        <v>2422.0</v>
      </c>
      <c r="B2304" s="3" t="s">
        <v>2255</v>
      </c>
      <c r="C2304" s="3" t="str">
        <f>IFERROR(__xludf.DUMMYFUNCTION("GOOGLETRANSLATE(B2304,""id"",""en"")"),"['Emotion', 'slow', 'ketulungan']")</f>
        <v>['Emotion', 'slow', 'ketulungan']</v>
      </c>
      <c r="D2304" s="3">
        <v>1.0</v>
      </c>
    </row>
    <row r="2305" ht="15.75" customHeight="1">
      <c r="A2305" s="1">
        <v>2424.0</v>
      </c>
      <c r="B2305" s="3" t="s">
        <v>2256</v>
      </c>
      <c r="C2305" s="3" t="str">
        <f>IFERROR(__xludf.DUMMYFUNCTION("GOOGLETRANSLATE(B2305,""id"",""en"")"),"['noob', ""]")</f>
        <v>['noob', "]</v>
      </c>
      <c r="D2305" s="3">
        <v>1.0</v>
      </c>
    </row>
    <row r="2306" ht="15.75" customHeight="1">
      <c r="A2306" s="1">
        <v>2426.0</v>
      </c>
      <c r="B2306" s="3" t="s">
        <v>2257</v>
      </c>
      <c r="C2306" s="3" t="str">
        <f>IFERROR(__xludf.DUMMYFUNCTION("GOOGLETRANSLATE(B2306,""id"",""en"")"),"['Severe', 'open', 'HBO', 'hundreds',' password ',' indihome ',' skrg ',' applionation ',' bsa ',' open ',' add ',' package ',' Used ',' ']")</f>
        <v>['Severe', 'open', 'HBO', 'hundreds',' password ',' indihome ',' skrg ',' applionation ',' bsa ',' open ',' add ',' package ',' Used ',' ']</v>
      </c>
      <c r="D2306" s="3">
        <v>1.0</v>
      </c>
    </row>
    <row r="2307" ht="15.75" customHeight="1">
      <c r="A2307" s="1">
        <v>2427.0</v>
      </c>
      <c r="B2307" s="3" t="s">
        <v>2258</v>
      </c>
      <c r="C2307" s="3" t="str">
        <f>IFERROR(__xludf.DUMMYFUNCTION("GOOGLETRANSLATE(B2307,""id"",""en"")"),"['Sorry', 'please', 'repaired', 'the application', 'update', 'look', 'slow', 'really']")</f>
        <v>['Sorry', 'please', 'repaired', 'the application', 'update', 'look', 'slow', 'really']</v>
      </c>
      <c r="D2307" s="3">
        <v>5.0</v>
      </c>
    </row>
    <row r="2308" ht="15.75" customHeight="1">
      <c r="A2308" s="1">
        <v>2428.0</v>
      </c>
      <c r="B2308" s="3" t="s">
        <v>2259</v>
      </c>
      <c r="C2308" s="3" t="str">
        <f>IFERROR(__xludf.DUMMYFUNCTION("GOOGLETRANSLATE(B2308,""id"",""en"")"),"['Love', 'Star', 'Application', 'Lemot']")</f>
        <v>['Love', 'Star', 'Application', 'Lemot']</v>
      </c>
      <c r="D2308" s="3">
        <v>1.0</v>
      </c>
    </row>
    <row r="2309" ht="15.75" customHeight="1">
      <c r="A2309" s="1">
        <v>2429.0</v>
      </c>
      <c r="B2309" s="3" t="s">
        <v>2260</v>
      </c>
      <c r="C2309" s="3" t="str">
        <f>IFERROR(__xludf.DUMMYFUNCTION("GOOGLETRANSLATE(B2309,""id"",""en"")"),"['A year', 'safe', 'Banhet', 'obstacles', 'help', 'really', 'deh', 'Anyway']")</f>
        <v>['A year', 'safe', 'Banhet', 'obstacles', 'help', 'really', 'deh', 'Anyway']</v>
      </c>
      <c r="D2309" s="3">
        <v>4.0</v>
      </c>
    </row>
    <row r="2310" ht="15.75" customHeight="1">
      <c r="A2310" s="1">
        <v>2430.0</v>
      </c>
      <c r="B2310" s="3" t="s">
        <v>2261</v>
      </c>
      <c r="C2310" s="3" t="str">
        <f>IFERROR(__xludf.DUMMYFUNCTION("GOOGLETRANSLATE(B2310,""id"",""en"")"),"['Forced', 'Install', 'reset', 'version', 'version', 'Severe', 'Loding', 'then', 'all day', 'delicious', 'version']")</f>
        <v>['Forced', 'Install', 'reset', 'version', 'version', 'Severe', 'Loding', 'then', 'all day', 'delicious', 'version']</v>
      </c>
      <c r="D2310" s="3">
        <v>1.0</v>
      </c>
    </row>
    <row r="2311" ht="15.75" customHeight="1">
      <c r="A2311" s="1">
        <v>2432.0</v>
      </c>
      <c r="B2311" s="3" t="s">
        <v>2262</v>
      </c>
      <c r="C2311" s="3" t="str">
        <f>IFERROR(__xludf.DUMMYFUNCTION("GOOGLETRANSLATE(B2311,""id"",""en"")"),"['Application', 'Lemot', 'Wait', 'Login', 'Submit', 'Problem', 'Auto', 'Session', 'Out', '']")</f>
        <v>['Application', 'Lemot', 'Wait', 'Login', 'Submit', 'Problem', 'Auto', 'Session', 'Out', '']</v>
      </c>
      <c r="D2311" s="3">
        <v>1.0</v>
      </c>
    </row>
    <row r="2312" ht="15.75" customHeight="1">
      <c r="A2312" s="1">
        <v>2433.0</v>
      </c>
      <c r="B2312" s="3" t="s">
        <v>2263</v>
      </c>
      <c r="C2312" s="3" t="str">
        <f>IFERROR(__xludf.DUMMYFUNCTION("GOOGLETRANSLATE(B2312,""id"",""en"")"),"['UDH', 'Login', 'Email', 'Verification', 'Via', 'SMS', 'DasaArrr', 'APK', 'Bodoohhh', 'UDH', 'Login', 'Email', ' What is it, 'verification', 'emng', 'apk', 'idiot', 'gmn', 'login', 'number', 'missing', 'try', 'please', 'repaired', 'complicated' , 'UDH', "&amp;"'SUCCESS', 'Login', 'PKE', 'Email', 'Ngepain', 'Verification', '']")</f>
        <v>['UDH', 'Login', 'Email', 'Verification', 'Via', 'SMS', 'DasaArrr', 'APK', 'Bodoohhh', 'UDH', 'Login', 'Email', ' What is it, 'verification', 'emng', 'apk', 'idiot', 'gmn', 'login', 'number', 'missing', 'try', 'please', 'repaired', 'complicated' , 'UDH', 'SUCCESS', 'Login', 'PKE', 'Email', 'Ngepain', 'Verification', '']</v>
      </c>
      <c r="D2312" s="3">
        <v>1.0</v>
      </c>
    </row>
    <row r="2313" ht="15.75" customHeight="1">
      <c r="A2313" s="1">
        <v>2434.0</v>
      </c>
      <c r="B2313" s="3" t="s">
        <v>2264</v>
      </c>
      <c r="C2313" s="3" t="str">
        <f>IFERROR(__xludf.DUMMYFUNCTION("GOOGLETRANSLATE(B2313,""id"",""en"")"),"['pantesan', 'gave', 'rating', 'ugly', 'emng', 'bneran', 'ugly', 'lag', 'karuan', 'server', 'connective']")</f>
        <v>['pantesan', 'gave', 'rating', 'ugly', 'emng', 'bneran', 'ugly', 'lag', 'karuan', 'server', 'connective']</v>
      </c>
      <c r="D2313" s="3">
        <v>1.0</v>
      </c>
    </row>
    <row r="2314" ht="15.75" customHeight="1">
      <c r="A2314" s="1">
        <v>2435.0</v>
      </c>
      <c r="B2314" s="3" t="s">
        <v>2265</v>
      </c>
      <c r="C2314" s="3" t="str">
        <f>IFERROR(__xludf.DUMMYFUNCTION("GOOGLETRANSLATE(B2314,""id"",""en"")"),"['The application', 'slow', 'Loading', 'Login', 'FAIL']")</f>
        <v>['The application', 'slow', 'Loading', 'Login', 'FAIL']</v>
      </c>
      <c r="D2314" s="3">
        <v>1.0</v>
      </c>
    </row>
    <row r="2315" ht="15.75" customHeight="1">
      <c r="A2315" s="1">
        <v>2436.0</v>
      </c>
      <c r="B2315" s="3" t="s">
        <v>2203</v>
      </c>
      <c r="C2315" s="3" t="str">
        <f>IFERROR(__xludf.DUMMYFUNCTION("GOOGLETRANSLATE(B2315,""id"",""en"")"),"['slow', '']")</f>
        <v>['slow', '']</v>
      </c>
      <c r="D2315" s="3">
        <v>1.0</v>
      </c>
    </row>
    <row r="2316" ht="15.75" customHeight="1">
      <c r="A2316" s="1">
        <v>2437.0</v>
      </c>
      <c r="B2316" s="3" t="s">
        <v>2266</v>
      </c>
      <c r="C2316" s="3" t="str">
        <f>IFERROR(__xludf.DUMMYFUNCTION("GOOGLETRANSLATE(B2316,""id"",""en"")"),"['Application', 'slow', 'Mending', 'Download', 'Eat', 'Star']")</f>
        <v>['Application', 'slow', 'Mending', 'Download', 'Eat', 'Star']</v>
      </c>
      <c r="D2316" s="3">
        <v>1.0</v>
      </c>
    </row>
    <row r="2317" ht="15.75" customHeight="1">
      <c r="A2317" s="1">
        <v>2438.0</v>
      </c>
      <c r="B2317" s="3" t="s">
        <v>2267</v>
      </c>
      <c r="C2317" s="3" t="str">
        <f>IFERROR(__xludf.DUMMYFUNCTION("GOOGLETRANSLATE(B2317,""id"",""en"")"),"['crash', 'stop', 'gabisa', 'access', 'please', 'fix', 'state', 'good', 'private']")</f>
        <v>['crash', 'stop', 'gabisa', 'access', 'please', 'fix', 'state', 'good', 'private']</v>
      </c>
      <c r="D2317" s="3">
        <v>1.0</v>
      </c>
    </row>
    <row r="2318" ht="15.75" customHeight="1">
      <c r="A2318" s="1">
        <v>2439.0</v>
      </c>
      <c r="B2318" s="3" t="s">
        <v>2268</v>
      </c>
      <c r="C2318" s="3" t="str">
        <f>IFERROR(__xludf.DUMMYFUNCTION("GOOGLETRANSLATE(B2318,""id"",""en"")"),"['Plate', 'Red', 'Login', '']")</f>
        <v>['Plate', 'Red', 'Login', '']</v>
      </c>
      <c r="D2318" s="3">
        <v>2.0</v>
      </c>
    </row>
    <row r="2319" ht="15.75" customHeight="1">
      <c r="A2319" s="1">
        <v>2440.0</v>
      </c>
      <c r="B2319" s="3" t="s">
        <v>2269</v>
      </c>
      <c r="C2319" s="3" t="str">
        <f>IFERROR(__xludf.DUMMYFUNCTION("GOOGLETRANSLATE(B2319,""id"",""en"")"),"['Indihome', 'Best', 'for', 'all']")</f>
        <v>['Indihome', 'Best', 'for', 'all']</v>
      </c>
      <c r="D2319" s="3">
        <v>5.0</v>
      </c>
    </row>
    <row r="2320" ht="15.75" customHeight="1">
      <c r="A2320" s="1">
        <v>2441.0</v>
      </c>
      <c r="B2320" s="3" t="s">
        <v>2270</v>
      </c>
      <c r="C2320" s="3" t="str">
        <f>IFERROR(__xludf.DUMMYFUNCTION("GOOGLETRANSLATE(B2320,""id"",""en"")"),"['Login', 'difficult', 'report', 'disorder', 'difficult']")</f>
        <v>['Login', 'difficult', 'report', 'disorder', 'difficult']</v>
      </c>
      <c r="D2320" s="3">
        <v>1.0</v>
      </c>
    </row>
    <row r="2321" ht="15.75" customHeight="1">
      <c r="A2321" s="1">
        <v>2442.0</v>
      </c>
      <c r="B2321" s="3" t="s">
        <v>2271</v>
      </c>
      <c r="C2321" s="3" t="str">
        <f>IFERROR(__xludf.DUMMYFUNCTION("GOOGLETRANSLATE(B2321,""id"",""en"")"),"['The application', 'good', 'fix', 'because' slow ',' open ',' the application ',' trimakasih ']")</f>
        <v>['The application', 'good', 'fix', 'because' slow ',' open ',' the application ',' trimakasih ']</v>
      </c>
      <c r="D2321" s="3">
        <v>5.0</v>
      </c>
    </row>
    <row r="2322" ht="15.75" customHeight="1">
      <c r="A2322" s="1">
        <v>2443.0</v>
      </c>
      <c r="B2322" s="3" t="s">
        <v>2272</v>
      </c>
      <c r="C2322" s="3" t="str">
        <f>IFERROR(__xludf.DUMMYFUNCTION("GOOGLETRANSLATE(B2322,""id"",""en"")"),"['update', 'the latest', 'told', 'Install', 'reset', 'display', 'the application', 'strange', 'good', 'display', 'offer', 'package', ' screen ',' consequently ',' needed ',' customer ',' dqn ',' purpose ',' main ',' install ',' application ',' fulfilled '"&amp;",' ']")</f>
        <v>['update', 'the latest', 'told', 'Install', 'reset', 'display', 'the application', 'strange', 'good', 'display', 'offer', 'package', ' screen ',' consequently ',' needed ',' customer ',' dqn ',' purpose ',' main ',' install ',' application ',' fulfilled ',' ']</v>
      </c>
      <c r="D2322" s="3">
        <v>1.0</v>
      </c>
    </row>
    <row r="2323" ht="15.75" customHeight="1">
      <c r="A2323" s="1">
        <v>2444.0</v>
      </c>
      <c r="B2323" s="3" t="s">
        <v>2273</v>
      </c>
      <c r="C2323" s="3" t="str">
        <f>IFERROR(__xludf.DUMMYFUNCTION("GOOGLETRANSLATE(B2323,""id"",""en"")"),"['Original', 'cave', 'pay', 'Sue', 'good', 'Sever', 'battered', 'yes',' cave ',' streaming ',' open ',' apps', ' hilarious']")</f>
        <v>['Original', 'cave', 'pay', 'Sue', 'good', 'Sever', 'battered', 'yes',' cave ',' streaming ',' open ',' apps', ' hilarious']</v>
      </c>
      <c r="D2323" s="3">
        <v>1.0</v>
      </c>
    </row>
    <row r="2324" ht="15.75" customHeight="1">
      <c r="A2324" s="1">
        <v>2445.0</v>
      </c>
      <c r="B2324" s="3" t="s">
        <v>2274</v>
      </c>
      <c r="C2324" s="3" t="str">
        <f>IFERROR(__xludf.DUMMYFUNCTION("GOOGLETRANSLATE(B2324,""id"",""en"")"),"['payment', 'card', 'logo', 'visa', 'master', 'card', 'free', 'bea', 'admin']")</f>
        <v>['payment', 'card', 'logo', 'visa', 'master', 'card', 'free', 'bea', 'admin']</v>
      </c>
      <c r="D2324" s="3">
        <v>5.0</v>
      </c>
    </row>
    <row r="2325" ht="15.75" customHeight="1">
      <c r="A2325" s="1">
        <v>2446.0</v>
      </c>
      <c r="B2325" s="3" t="s">
        <v>2275</v>
      </c>
      <c r="C2325" s="3" t="str">
        <f>IFERROR(__xludf.DUMMYFUNCTION("GOOGLETRANSLATE(B2325,""id"",""en"")"),"['update', 'failed', 'enter', 'muter', 'enter', 'enter', '']")</f>
        <v>['update', 'failed', 'enter', 'muter', 'enter', 'enter', '']</v>
      </c>
      <c r="D2325" s="3">
        <v>1.0</v>
      </c>
    </row>
    <row r="2326" ht="15.75" customHeight="1">
      <c r="A2326" s="1">
        <v>2447.0</v>
      </c>
      <c r="B2326" s="3" t="s">
        <v>2276</v>
      </c>
      <c r="C2326" s="3" t="str">
        <f>IFERROR(__xludf.DUMMYFUNCTION("GOOGLETRANSLATE(B2326,""id"",""en"")"),"['update', 'heavy', 'difficult', 'enter']")</f>
        <v>['update', 'heavy', 'difficult', 'enter']</v>
      </c>
      <c r="D2326" s="3">
        <v>1.0</v>
      </c>
    </row>
    <row r="2327" ht="15.75" customHeight="1">
      <c r="A2327" s="1">
        <v>2448.0</v>
      </c>
      <c r="B2327" s="3" t="s">
        <v>2277</v>
      </c>
      <c r="C2327" s="3" t="str">
        <f>IFERROR(__xludf.DUMMYFUNCTION("GOOGLETRANSLATE(B2327,""id"",""en"")"),"['Since', 'Oake', 'Indihome', 'Learning', 'Child', 'Obstacles',' Watch ',' Whatever ',' Easy ',' Thank you ',' Indihome ',' Success', ' ']")</f>
        <v>['Since', 'Oake', 'Indihome', 'Learning', 'Child', 'Obstacles',' Watch ',' Whatever ',' Easy ',' Thank you ',' Indihome ',' Success', ' ']</v>
      </c>
      <c r="D2327" s="3">
        <v>5.0</v>
      </c>
    </row>
    <row r="2328" ht="15.75" customHeight="1">
      <c r="A2328" s="1">
        <v>2449.0</v>
      </c>
      <c r="B2328" s="3" t="s">
        <v>2278</v>
      </c>
      <c r="C2328" s="3" t="str">
        <f>IFERROR(__xludf.DUMMYFUNCTION("GOOGLETRANSLATE(B2328,""id"",""en"")"),"['Applation', 'Updated', 'Log', 'Complaints', 'Please', 'Repaired', '']")</f>
        <v>['Applation', 'Updated', 'Log', 'Complaints', 'Please', 'Repaired', '']</v>
      </c>
      <c r="D2328" s="3">
        <v>1.0</v>
      </c>
    </row>
    <row r="2329" ht="15.75" customHeight="1">
      <c r="A2329" s="1">
        <v>2450.0</v>
      </c>
      <c r="B2329" s="3" t="s">
        <v>2279</v>
      </c>
      <c r="C2329" s="3" t="str">
        <f>IFERROR(__xludf.DUMMYFUNCTION("GOOGLETRANSLATE(B2329,""id"",""en"")"),"['feature', 'the latest', 'difficult']")</f>
        <v>['feature', 'the latest', 'difficult']</v>
      </c>
      <c r="D2329" s="3">
        <v>1.0</v>
      </c>
    </row>
    <row r="2330" ht="15.75" customHeight="1">
      <c r="A2330" s="1">
        <v>2451.0</v>
      </c>
      <c r="B2330" s="3" t="s">
        <v>2280</v>
      </c>
      <c r="C2330" s="3" t="str">
        <f>IFERROR(__xludf.DUMMYFUNCTION("GOOGLETRANSLATE(B2330,""id"",""en"")"),"['mantafff', '']")</f>
        <v>['mantafff', '']</v>
      </c>
      <c r="D2330" s="3">
        <v>5.0</v>
      </c>
    </row>
    <row r="2331" ht="15.75" customHeight="1">
      <c r="A2331" s="1">
        <v>2452.0</v>
      </c>
      <c r="B2331" s="3" t="s">
        <v>2281</v>
      </c>
      <c r="C2331" s="3" t="str">
        <f>IFERROR(__xludf.DUMMYFUNCTION("GOOGLETRANSLATE(B2331,""id"",""en"")"),"['update', 'appears',' screen ',' indhihome ',' login ',' application ',' as if ',' hang ',' please ',' company ',' national ',' apps', ' Kayak ',' Gini ',' update ',' BURIK ',' ']")</f>
        <v>['update', 'appears',' screen ',' indhihome ',' login ',' application ',' as if ',' hang ',' please ',' company ',' national ',' apps', ' Kayak ',' Gini ',' update ',' BURIK ',' ']</v>
      </c>
      <c r="D2331" s="3">
        <v>1.0</v>
      </c>
    </row>
    <row r="2332" ht="15.75" customHeight="1">
      <c r="A2332" s="1">
        <v>2453.0</v>
      </c>
      <c r="B2332" s="3" t="s">
        <v>2282</v>
      </c>
      <c r="C2332" s="3" t="str">
        <f>IFERROR(__xludf.DUMMYFUNCTION("GOOGLETRANSLATE(B2332,""id"",""en"")"),"['Indihome', 'application', 'useful', 'log', 'difficult', 'log', 'out', 'automatic', 'poor', ""]")</f>
        <v>['Indihome', 'application', 'useful', 'log', 'difficult', 'log', 'out', 'automatic', 'poor', "]</v>
      </c>
      <c r="D2332" s="3">
        <v>1.0</v>
      </c>
    </row>
    <row r="2333" ht="15.75" customHeight="1">
      <c r="A2333" s="1">
        <v>2454.0</v>
      </c>
      <c r="B2333" s="3" t="s">
        <v>2283</v>
      </c>
      <c r="C2333" s="3" t="str">
        <f>IFERROR(__xludf.DUMMYFUNCTION("GOOGLETRANSLATE(B2333,""id"",""en"")"),"['Lemot', 'BGD', 'Application', 'Pantes', 'Bintang', 'little', ""]")</f>
        <v>['Lemot', 'BGD', 'Application', 'Pantes', 'Bintang', 'little', "]</v>
      </c>
      <c r="D2333" s="3">
        <v>1.0</v>
      </c>
    </row>
    <row r="2334" ht="15.75" customHeight="1">
      <c r="A2334" s="1">
        <v>2455.0</v>
      </c>
      <c r="B2334" s="3" t="s">
        <v>2284</v>
      </c>
      <c r="C2334" s="3" t="str">
        <f>IFERROR(__xludf.DUMMYFUNCTION("GOOGLETRANSLATE(B2334,""id"",""en"")"),"['version', 'difficult', 'access', 'yaa', 'until', 'inside', 'application', 'because' difficult ',' enter ',' suggest ',' it's better ',' Defended ',' version ',' before ',' ']")</f>
        <v>['version', 'difficult', 'access', 'yaa', 'until', 'inside', 'application', 'because' difficult ',' enter ',' suggest ',' it's better ',' Defended ',' version ',' before ',' ']</v>
      </c>
      <c r="D2334" s="3">
        <v>1.0</v>
      </c>
    </row>
    <row r="2335" ht="15.75" customHeight="1">
      <c r="A2335" s="1">
        <v>2456.0</v>
      </c>
      <c r="B2335" s="3" t="s">
        <v>2285</v>
      </c>
      <c r="C2335" s="3" t="str">
        <f>IFERROR(__xludf.DUMMYFUNCTION("GOOGLETRANSLATE(B2335,""id"",""en"")"),"['application', 'open', 'slow', 'appears',' writing ',' dlm ',' improvement ',' heart ',' company ',' national ',' competitor ',' lose ',' ']")</f>
        <v>['application', 'open', 'slow', 'appears',' writing ',' dlm ',' improvement ',' heart ',' company ',' national ',' competitor ',' lose ',' ']</v>
      </c>
      <c r="D2335" s="3">
        <v>1.0</v>
      </c>
    </row>
    <row r="2336" ht="15.75" customHeight="1">
      <c r="A2336" s="1">
        <v>2457.0</v>
      </c>
      <c r="B2336" s="3" t="s">
        <v>2286</v>
      </c>
      <c r="C2336" s="3" t="str">
        <f>IFERROR(__xludf.DUMMYFUNCTION("GOOGLETRANSLATE(B2336,""id"",""en"")"),"['Indihome', 'network', 'internet', 'fast', 'satisfied', 'deh', 'thank you', 'indihome', '']")</f>
        <v>['Indihome', 'network', 'internet', 'fast', 'satisfied', 'deh', 'thank you', 'indihome', '']</v>
      </c>
      <c r="D2336" s="3">
        <v>5.0</v>
      </c>
    </row>
    <row r="2337" ht="15.75" customHeight="1">
      <c r="A2337" s="1">
        <v>2458.0</v>
      </c>
      <c r="B2337" s="3" t="s">
        <v>1941</v>
      </c>
      <c r="C2337" s="3" t="str">
        <f>IFERROR(__xludf.DUMMYFUNCTION("GOOGLETRANSLATE(B2337,""id"",""en"")"),"['Update']")</f>
        <v>['Update']</v>
      </c>
      <c r="D2337" s="3">
        <v>1.0</v>
      </c>
    </row>
    <row r="2338" ht="15.75" customHeight="1">
      <c r="A2338" s="1">
        <v>2459.0</v>
      </c>
      <c r="B2338" s="3" t="s">
        <v>2287</v>
      </c>
      <c r="C2338" s="3" t="str">
        <f>IFERROR(__xludf.DUMMYFUNCTION("GOOGLETRANSLATE(B2338,""id"",""en"")"),"['update', 'application', 'skrng', 'simple', 'check', 'usage', 'fup', 'etc.', 'display', 'elegant']")</f>
        <v>['update', 'application', 'skrng', 'simple', 'check', 'usage', 'fup', 'etc.', 'display', 'elegant']</v>
      </c>
      <c r="D2338" s="3">
        <v>5.0</v>
      </c>
    </row>
    <row r="2339" ht="15.75" customHeight="1">
      <c r="A2339" s="1">
        <v>2460.0</v>
      </c>
      <c r="B2339" s="3" t="s">
        <v>2288</v>
      </c>
      <c r="C2339" s="3" t="str">
        <f>IFERROR(__xludf.DUMMYFUNCTION("GOOGLETRANSLATE(B2339,""id"",""en"")"),"['version', 'enter', 'OTP', 'password', 'wait', 'end', 'repair', 'hadu']")</f>
        <v>['version', 'enter', 'OTP', 'password', 'wait', 'end', 'repair', 'hadu']</v>
      </c>
      <c r="D2339" s="3">
        <v>1.0</v>
      </c>
    </row>
    <row r="2340" ht="15.75" customHeight="1">
      <c r="A2340" s="1">
        <v>2461.0</v>
      </c>
      <c r="B2340" s="3" t="s">
        <v>2289</v>
      </c>
      <c r="C2340" s="3" t="str">
        <f>IFERROR(__xludf.DUMMYFUNCTION("GOOGLETRANSLATE(B2340,""id"",""en"")"),"['Bagss']")</f>
        <v>['Bagss']</v>
      </c>
      <c r="D2340" s="3">
        <v>5.0</v>
      </c>
    </row>
    <row r="2341" ht="15.75" customHeight="1">
      <c r="A2341" s="1">
        <v>2462.0</v>
      </c>
      <c r="B2341" s="3" t="s">
        <v>2290</v>
      </c>
      <c r="C2341" s="3" t="str">
        <f>IFERROR(__xludf.DUMMYFUNCTION("GOOGLETRANSLATE(B2341,""id"",""en"")"),"['Like', 'Bete', 'Ujan', 'Network', 'Disconnected', 'Good', 'Products',' Child ',' Negri ',' Support ',' DNA ',' HRS ',' creative', '']")</f>
        <v>['Like', 'Bete', 'Ujan', 'Network', 'Disconnected', 'Good', 'Products',' Child ',' Negri ',' Support ',' DNA ',' HRS ',' creative', '']</v>
      </c>
      <c r="D2341" s="3">
        <v>5.0</v>
      </c>
    </row>
    <row r="2342" ht="15.75" customHeight="1">
      <c r="A2342" s="1">
        <v>2463.0</v>
      </c>
      <c r="B2342" s="3" t="s">
        <v>2291</v>
      </c>
      <c r="C2342" s="3" t="str">
        <f>IFERROR(__xludf.DUMMYFUNCTION("GOOGLETRANSLATE(B2342,""id"",""en"")"),"['Dangas', 'Helpful']")</f>
        <v>['Dangas', 'Helpful']</v>
      </c>
      <c r="D2342" s="3">
        <v>4.0</v>
      </c>
    </row>
    <row r="2343" ht="15.75" customHeight="1">
      <c r="A2343" s="1">
        <v>2464.0</v>
      </c>
      <c r="B2343" s="3" t="s">
        <v>2292</v>
      </c>
      <c r="C2343" s="3" t="str">
        <f>IFERROR(__xludf.DUMMYFUNCTION("GOOGLETRANSLATE(B2343,""id"",""en"")"),"['Indihome', 'Cool']")</f>
        <v>['Indihome', 'Cool']</v>
      </c>
      <c r="D2343" s="3">
        <v>5.0</v>
      </c>
    </row>
    <row r="2344" ht="15.75" customHeight="1">
      <c r="A2344" s="1">
        <v>2465.0</v>
      </c>
      <c r="B2344" s="3" t="s">
        <v>2293</v>
      </c>
      <c r="C2344" s="3" t="str">
        <f>IFERROR(__xludf.DUMMYFUNCTION("GOOGLETRANSLATE(B2344,""id"",""en"")"),"['', 'Indihome', 'Good', '']")</f>
        <v>['', 'Indihome', 'Good', '']</v>
      </c>
      <c r="D2344" s="3">
        <v>5.0</v>
      </c>
    </row>
    <row r="2345" ht="15.75" customHeight="1">
      <c r="A2345" s="1">
        <v>2466.0</v>
      </c>
      <c r="B2345" s="3" t="s">
        <v>2294</v>
      </c>
      <c r="C2345" s="3" t="str">
        <f>IFERROR(__xludf.DUMMYFUNCTION("GOOGLETRANSLATE(B2345,""id"",""en"")"),"['How', 'Application', 'Becus', 'Pay', 'Expensive', 'Buffering', 'Trash', 'Application', 'Trash', 'Work', 'Bener', 'Cok']")</f>
        <v>['How', 'Application', 'Becus', 'Pay', 'Expensive', 'Buffering', 'Trash', 'Application', 'Trash', 'Work', 'Bener', 'Cok']</v>
      </c>
      <c r="D2345" s="3">
        <v>1.0</v>
      </c>
    </row>
    <row r="2346" ht="15.75" customHeight="1">
      <c r="A2346" s="1">
        <v>2467.0</v>
      </c>
      <c r="B2346" s="3" t="s">
        <v>2295</v>
      </c>
      <c r="C2346" s="3" t="str">
        <f>IFERROR(__xludf.DUMMYFUNCTION("GOOGLETRANSLATE(B2346,""id"",""en"")"),"['Ampas']")</f>
        <v>['Ampas']</v>
      </c>
      <c r="D2346" s="3">
        <v>1.0</v>
      </c>
    </row>
    <row r="2347" ht="15.75" customHeight="1">
      <c r="A2347" s="1">
        <v>2468.0</v>
      </c>
      <c r="B2347" s="3" t="s">
        <v>2296</v>
      </c>
      <c r="C2347" s="3" t="str">
        <f>IFERROR(__xludf.DUMMYFUNCTION("GOOGLETRANSLATE(B2347,""id"",""en"")"),"['', 'ugly', 'really', 'update']")</f>
        <v>['', 'ugly', 'really', 'update']</v>
      </c>
      <c r="D2347" s="3">
        <v>1.0</v>
      </c>
    </row>
    <row r="2348" ht="15.75" customHeight="1">
      <c r="A2348" s="1">
        <v>2469.0</v>
      </c>
      <c r="B2348" s="3" t="s">
        <v>2297</v>
      </c>
      <c r="C2348" s="3" t="str">
        <f>IFERROR(__xludf.DUMMYFUNCTION("GOOGLETRANSLATE(B2348,""id"",""en"")"),"['Indihome', 'Maginya', 'Application', 'Cool', 'Doang', 'Renew', 'SOD', 'Sampe', 'Clock', 'Discard', 'Power', 'Already', ' Call ',' results', 'Wait', 'Entrepreneurs',' Private ',' Network ',' Internet ',' Liat ',' Disappointed ',' Application ',' ']")</f>
        <v>['Indihome', 'Maginya', 'Application', 'Cool', 'Doang', 'Renew', 'SOD', 'Sampe', 'Clock', 'Discard', 'Power', 'Already', ' Call ',' results', 'Wait', 'Entrepreneurs',' Private ',' Network ',' Internet ',' Liat ',' Disappointed ',' Application ',' ']</v>
      </c>
      <c r="D2348" s="3">
        <v>1.0</v>
      </c>
    </row>
    <row r="2349" ht="15.75" customHeight="1">
      <c r="A2349" s="1">
        <v>2470.0</v>
      </c>
      <c r="B2349" s="3" t="s">
        <v>2298</v>
      </c>
      <c r="C2349" s="3" t="str">
        <f>IFERROR(__xludf.DUMMYFUNCTION("GOOGLETRANSLATE(B2349,""id"",""en"")"),"['How', 'Siihhh', 'Kaga', 'opened']")</f>
        <v>['How', 'Siihhh', 'Kaga', 'opened']</v>
      </c>
      <c r="D2349" s="3">
        <v>1.0</v>
      </c>
    </row>
    <row r="2350" ht="15.75" customHeight="1">
      <c r="A2350" s="1">
        <v>2471.0</v>
      </c>
      <c r="B2350" s="3" t="s">
        <v>2299</v>
      </c>
      <c r="C2350" s="3" t="str">
        <f>IFERROR(__xludf.DUMMYFUNCTION("GOOGLETRANSLATE(B2350,""id"",""en"")"),"['Disappointed', 'application', 'updates', 'slow', 'severe', 'open', 'difficult', 'replace', 'password', 'upgrade', '']")</f>
        <v>['Disappointed', 'application', 'updates', 'slow', 'severe', 'open', 'difficult', 'replace', 'password', 'upgrade', '']</v>
      </c>
      <c r="D2350" s="3">
        <v>1.0</v>
      </c>
    </row>
    <row r="2351" ht="15.75" customHeight="1">
      <c r="A2351" s="1">
        <v>2472.0</v>
      </c>
      <c r="B2351" s="3" t="s">
        <v>2300</v>
      </c>
      <c r="C2351" s="3" t="str">
        <f>IFERROR(__xludf.DUMMYFUNCTION("GOOGLETRANSLATE(B2351,""id"",""en"")"),"['Rich', 'try', 'protect', 'really', 'please', 'quota']")</f>
        <v>['Rich', 'try', 'protect', 'really', 'please', 'quota']</v>
      </c>
      <c r="D2351" s="3">
        <v>1.0</v>
      </c>
    </row>
    <row r="2352" ht="15.75" customHeight="1">
      <c r="A2352" s="1">
        <v>2473.0</v>
      </c>
      <c r="B2352" s="3" t="s">
        <v>2301</v>
      </c>
      <c r="C2352" s="3" t="str">
        <f>IFERROR(__xludf.DUMMYFUNCTION("GOOGLETRANSLATE(B2352,""id"",""en"")"),"['internet', 'ampuuun', ""]")</f>
        <v>['internet', 'ampuuun', "]</v>
      </c>
      <c r="D2352" s="3">
        <v>1.0</v>
      </c>
    </row>
    <row r="2353" ht="15.75" customHeight="1">
      <c r="A2353" s="1">
        <v>2474.0</v>
      </c>
      <c r="B2353" s="3" t="s">
        <v>2302</v>
      </c>
      <c r="C2353" s="3" t="str">
        <f>IFERROR(__xludf.DUMMYFUNCTION("GOOGLETRANSLATE(B2353,""id"",""en"")"),"['after', 'updating', 'this',' app ',' can ',' login ',' account ',' please ',' Fix ',' Quickly ',' coz ',' really ',' Need ',' thx ']")</f>
        <v>['after', 'updating', 'this',' app ',' can ',' login ',' account ',' please ',' Fix ',' Quickly ',' coz ',' really ',' Need ',' thx ']</v>
      </c>
      <c r="D2353" s="3">
        <v>1.0</v>
      </c>
    </row>
    <row r="2354" ht="15.75" customHeight="1">
      <c r="A2354" s="1">
        <v>2475.0</v>
      </c>
      <c r="B2354" s="3" t="s">
        <v>2303</v>
      </c>
      <c r="C2354" s="3" t="str">
        <f>IFERROR(__xludf.DUMMYFUNCTION("GOOGLETRANSLATE(B2354,""id"",""en"")"),"['Application', 'Update', 'Bingit', 'NOT', 'Close', 'Session', 'Out']")</f>
        <v>['Application', 'Update', 'Bingit', 'NOT', 'Close', 'Session', 'Out']</v>
      </c>
      <c r="D2354" s="3">
        <v>1.0</v>
      </c>
    </row>
    <row r="2355" ht="15.75" customHeight="1">
      <c r="A2355" s="1">
        <v>2476.0</v>
      </c>
      <c r="B2355" s="3" t="s">
        <v>2304</v>
      </c>
      <c r="C2355" s="3" t="str">
        <f>IFERROR(__xludf.DUMMYFUNCTION("GOOGLETRANSLATE(B2355,""id"",""en"")"),"['Changing', 'Package', 'GMN', 'Eliminates', 'Channel', 'I use']")</f>
        <v>['Changing', 'Package', 'GMN', 'Eliminates', 'Channel', 'I use']</v>
      </c>
      <c r="D2355" s="3">
        <v>1.0</v>
      </c>
    </row>
    <row r="2356" ht="15.75" customHeight="1">
      <c r="A2356" s="1">
        <v>2477.0</v>
      </c>
      <c r="B2356" s="3" t="s">
        <v>2305</v>
      </c>
      <c r="C2356" s="3" t="str">
        <f>IFERROR(__xludf.DUMMYFUNCTION("GOOGLETRANSLATE(B2356,""id"",""en"")"),"['Mantep', 'Bat', 'The application']")</f>
        <v>['Mantep', 'Bat', 'The application']</v>
      </c>
      <c r="D2356" s="3">
        <v>5.0</v>
      </c>
    </row>
    <row r="2357" ht="15.75" customHeight="1">
      <c r="A2357" s="1">
        <v>2478.0</v>
      </c>
      <c r="B2357" s="3" t="s">
        <v>2306</v>
      </c>
      <c r="C2357" s="3" t="str">
        <f>IFERROR(__xludf.DUMMYFUNCTION("GOOGLETRANSLATE(B2357,""id"",""en"")"),"['The application', 'heavy', 'Udqh', 'updating', 'application', 'Clar', 'Clar', 'Cape', 'deh']")</f>
        <v>['The application', 'heavy', 'Udqh', 'updating', 'application', 'Clar', 'Clar', 'Cape', 'deh']</v>
      </c>
      <c r="D2357" s="3">
        <v>1.0</v>
      </c>
    </row>
    <row r="2358" ht="15.75" customHeight="1">
      <c r="A2358" s="1">
        <v>2479.0</v>
      </c>
      <c r="B2358" s="3" t="s">
        <v>2307</v>
      </c>
      <c r="C2358" s="3" t="str">
        <f>IFERROR(__xludf.DUMMYFUNCTION("GOOGLETRANSLATE(B2358,""id"",""en"")"),"['skrng', 'gini', 'login', 'the application', 'open', 'pke', 'wifi', 'pke', 'data', 'huka', 'slow', 'really' signal ',' good ',' open ',' application ',' cpet ',' open ',' open ',' myindihome ',' slow ',' really ',' please ',' repair ',' pay it ' , 'Date'"&amp;", 'brp', '']")</f>
        <v>['skrng', 'gini', 'login', 'the application', 'open', 'pke', 'wifi', 'pke', 'data', 'huka', 'slow', 'really' signal ',' good ',' open ',' application ',' cpet ',' open ',' open ',' myindihome ',' slow ',' really ',' please ',' repair ',' pay it ' , 'Date', 'brp', '']</v>
      </c>
      <c r="D2358" s="3">
        <v>1.0</v>
      </c>
    </row>
    <row r="2359" ht="15.75" customHeight="1">
      <c r="A2359" s="1">
        <v>2480.0</v>
      </c>
      <c r="B2359" s="3" t="s">
        <v>2308</v>
      </c>
      <c r="C2359" s="3" t="str">
        <f>IFERROR(__xludf.DUMMYFUNCTION("GOOGLETRANSLATE(B2359,""id"",""en"")"),"['Update', 'Gabisa', 'Login', 'Lodiiiiii', 'Teruuuusss',' PDHL ',' UDH ',' Uninstall ',' then ',' Installl ',' Ulaaang ',' TTEP ',' Gabisa ',' Login ',' Arrender ',' Sampe ',' Grandma ', ""]")</f>
        <v>['Update', 'Gabisa', 'Login', 'Lodiiiiii', 'Teruuuusss',' PDHL ',' UDH ',' Uninstall ',' then ',' Installl ',' Ulaaang ',' TTEP ',' Gabisa ',' Login ',' Arrender ',' Sampe ',' Grandma ', "]</v>
      </c>
      <c r="D2359" s="3">
        <v>1.0</v>
      </c>
    </row>
    <row r="2360" ht="15.75" customHeight="1">
      <c r="A2360" s="1">
        <v>2481.0</v>
      </c>
      <c r="B2360" s="3" t="s">
        <v>2309</v>
      </c>
      <c r="C2360" s="3" t="str">
        <f>IFERROR(__xludf.DUMMYFUNCTION("GOOGLETRANSLATE(B2360,""id"",""en"")"),"['Raying', 'Move', 'here']")</f>
        <v>['Raying', 'Move', 'here']</v>
      </c>
      <c r="D2360" s="3">
        <v>1.0</v>
      </c>
    </row>
    <row r="2361" ht="15.75" customHeight="1">
      <c r="A2361" s="1">
        <v>2482.0</v>
      </c>
      <c r="B2361" s="3" t="s">
        <v>2310</v>
      </c>
      <c r="C2361" s="3" t="str">
        <f>IFERROR(__xludf.DUMMYFUNCTION("GOOGLETRANSLATE(B2361,""id"",""en"")"),"['application', 'poor', 'abis', 'update', 'ancuurrrrrr']")</f>
        <v>['application', 'poor', 'abis', 'update', 'ancuurrrrrr']</v>
      </c>
      <c r="D2361" s="3">
        <v>1.0</v>
      </c>
    </row>
    <row r="2362" ht="15.75" customHeight="1">
      <c r="A2362" s="1">
        <v>2483.0</v>
      </c>
      <c r="B2362" s="3" t="s">
        <v>2311</v>
      </c>
      <c r="C2362" s="3" t="str">
        <f>IFERROR(__xludf.DUMMYFUNCTION("GOOGLETRANSLATE(B2362,""id"",""en"")"),"['The application', 'rotten', 'internet', 'dlu', 'see', 'brapa', 'user', 'active', 'connected', 'skrg', 'ngk', 'bntar', ' Log ',' out ',' bntar ',' kluar ',' enter ',' application ',' loading ',' NGK ',' SERES ',' VERIFICATION ',' Mulu ',' repeated ',' re"&amp;"set ' , 'knapa', 'plate', 'red', 'disappointing']")</f>
        <v>['The application', 'rotten', 'internet', 'dlu', 'see', 'brapa', 'user', 'active', 'connected', 'skrg', 'ngk', 'bntar', ' Log ',' out ',' bntar ',' kluar ',' enter ',' application ',' loading ',' NGK ',' SERES ',' VERIFICATION ',' Mulu ',' repeated ',' reset ' , 'knapa', 'plate', 'red', 'disappointing']</v>
      </c>
      <c r="D2362" s="3">
        <v>1.0</v>
      </c>
    </row>
    <row r="2363" ht="15.75" customHeight="1">
      <c r="A2363" s="1">
        <v>2484.0</v>
      </c>
      <c r="B2363" s="3" t="s">
        <v>2312</v>
      </c>
      <c r="C2363" s="3" t="str">
        <f>IFERROR(__xludf.DUMMYFUNCTION("GOOGLETRANSLATE(B2363,""id"",""en"")"),"['Please', 'returned', 'system', 'enter', 'difficult', 'see', 'bill', '']")</f>
        <v>['Please', 'returned', 'system', 'enter', 'difficult', 'see', 'bill', '']</v>
      </c>
      <c r="D2363" s="3">
        <v>1.0</v>
      </c>
    </row>
    <row r="2364" ht="15.75" customHeight="1">
      <c r="A2364" s="1">
        <v>2485.0</v>
      </c>
      <c r="B2364" s="3" t="s">
        <v>2313</v>
      </c>
      <c r="C2364" s="3" t="str">
        <f>IFERROR(__xludf.DUMMYFUNCTION("GOOGLETRANSLATE(B2364,""id"",""en"")"),"['Application', 'Heavy']")</f>
        <v>['Application', 'Heavy']</v>
      </c>
      <c r="D2364" s="3">
        <v>5.0</v>
      </c>
    </row>
    <row r="2365" ht="15.75" customHeight="1">
      <c r="A2365" s="1">
        <v>2486.0</v>
      </c>
      <c r="B2365" s="3" t="s">
        <v>2314</v>
      </c>
      <c r="C2365" s="3" t="str">
        <f>IFERROR(__xludf.DUMMYFUNCTION("GOOGLETRANSLATE(B2365,""id"",""en"")"),"['intention', 'Application', 'Login', 'Application', 'Delete', 'Playstore', 'Sok', 'Application', 'Watch out', 'Reasons',' Network ',' Reply ',' Comments', 'get', 'Koplain', 'Out', 'San', ""]")</f>
        <v>['intention', 'Application', 'Login', 'Application', 'Delete', 'Playstore', 'Sok', 'Application', 'Watch out', 'Reasons',' Network ',' Reply ',' Comments', 'get', 'Koplain', 'Out', 'San', "]</v>
      </c>
      <c r="D2365" s="3">
        <v>1.0</v>
      </c>
    </row>
    <row r="2366" ht="15.75" customHeight="1">
      <c r="A2366" s="1">
        <v>2487.0</v>
      </c>
      <c r="B2366" s="3" t="s">
        <v>2315</v>
      </c>
      <c r="C2366" s="3" t="str">
        <f>IFERROR(__xludf.DUMMYFUNCTION("GOOGLETRANSLATE(B2366,""id"",""en"")"),"['Severe', 'Loading', 'then']")</f>
        <v>['Severe', 'Loading', 'then']</v>
      </c>
      <c r="D2366" s="3">
        <v>1.0</v>
      </c>
    </row>
    <row r="2367" ht="15.75" customHeight="1">
      <c r="A2367" s="1">
        <v>2488.0</v>
      </c>
      <c r="B2367" s="3" t="s">
        <v>2316</v>
      </c>
      <c r="C2367" s="3" t="str">
        <f>IFERROR(__xludf.DUMMYFUNCTION("GOOGLETRANSLATE(B2367,""id"",""en"")"),"['Haduuuuuh', 'severe', 'intention', 'update', 'bad', 'gini', 'login', 'difficult', 'right', 'until', 'login', 'fox', ' Pass', 'Dibales',' Sorry ',' Improved ',' Service ',' Service ',' Enhanced ',' Sousal ',' might ',' ugly ', ""]")</f>
        <v>['Haduuuuuh', 'severe', 'intention', 'update', 'bad', 'gini', 'login', 'difficult', 'right', 'until', 'login', 'fox', ' Pass', 'Dibales',' Sorry ',' Improved ',' Service ',' Service ',' Enhanced ',' Sousal ',' might ',' ugly ', "]</v>
      </c>
      <c r="D2367" s="3">
        <v>1.0</v>
      </c>
    </row>
    <row r="2368" ht="15.75" customHeight="1">
      <c r="A2368" s="1">
        <v>2489.0</v>
      </c>
      <c r="B2368" s="3" t="s">
        <v>2317</v>
      </c>
      <c r="C2368" s="3" t="str">
        <f>IFERROR(__xludf.DUMMYFUNCTION("GOOGLETRANSLATE(B2368,""id"",""en"")"),"['App', 'lag', 'lag', 'lag', 'run out', 'update']")</f>
        <v>['App', 'lag', 'lag', 'lag', 'run out', 'update']</v>
      </c>
      <c r="D2368" s="3">
        <v>1.0</v>
      </c>
    </row>
    <row r="2369" ht="15.75" customHeight="1">
      <c r="A2369" s="1">
        <v>2490.0</v>
      </c>
      <c r="B2369" s="3" t="s">
        <v>2318</v>
      </c>
      <c r="C2369" s="3" t="str">
        <f>IFERROR(__xludf.DUMMYFUNCTION("GOOGLETRANSLATE(B2369,""id"",""en"")"),"['update', 'newest', 'application', 'myindihome', 'slow', 'application', 'open', 'blue', 'company', 'BUMN', '']")</f>
        <v>['update', 'newest', 'application', 'myindihome', 'slow', 'application', 'open', 'blue', 'company', 'BUMN', '']</v>
      </c>
      <c r="D2369" s="3">
        <v>1.0</v>
      </c>
    </row>
    <row r="2370" ht="15.75" customHeight="1">
      <c r="A2370" s="1">
        <v>2491.0</v>
      </c>
      <c r="B2370" s="3" t="s">
        <v>2319</v>
      </c>
      <c r="C2370" s="3" t="str">
        <f>IFERROR(__xludf.DUMMYFUNCTION("GOOGLETRANSLATE(B2370,""id"",""en"")"),"['Update', 'Email', 'Knp', 'Indihome', 'Entered', 'Pass', 'Wrong', 'Mulu', ""]")</f>
        <v>['Update', 'Email', 'Knp', 'Indihome', 'Entered', 'Pass', 'Wrong', 'Mulu', "]</v>
      </c>
      <c r="D2370" s="3">
        <v>1.0</v>
      </c>
    </row>
    <row r="2371" ht="15.75" customHeight="1">
      <c r="A2371" s="1">
        <v>2493.0</v>
      </c>
      <c r="B2371" s="3" t="s">
        <v>2320</v>
      </c>
      <c r="C2371" s="3" t="str">
        <f>IFERROR(__xludf.DUMMYFUNCTION("GOOGLETRANSLATE(B2371,""id"",""en"")"),"['Suggestion', 'Indihome', 'Busy', 'Promotes',' Package ',' User ',' IndiHome ',' Tribulation ',' Indihomo ',' Troubled ',' Internet ',' Disconnect ',' Contact ',' Technician ',' Hub ',' Call ',' Center ',' Call ',' Center ',' already ',' hub ',' times', "&amp;"'connected', 'already', 'week' , 'Indhome', 'home', 'Dead', 'Ribet', 'Bngt', 'Hub', 'Technician', 'Loss', 'Please', 'Note', 'Lahi', 'Indihome']")</f>
        <v>['Suggestion', 'Indihome', 'Busy', 'Promotes',' Package ',' User ',' IndiHome ',' Tribulation ',' Indihomo ',' Troubled ',' Internet ',' Disconnect ',' Contact ',' Technician ',' Hub ',' Call ',' Center ',' Call ',' Center ',' already ',' hub ',' times', 'connected', 'already', 'week' , 'Indhome', 'home', 'Dead', 'Ribet', 'Bngt', 'Hub', 'Technician', 'Loss', 'Please', 'Note', 'Lahi', 'Indihome']</v>
      </c>
      <c r="D2371" s="3">
        <v>1.0</v>
      </c>
    </row>
    <row r="2372" ht="15.75" customHeight="1">
      <c r="A2372" s="1">
        <v>2494.0</v>
      </c>
      <c r="B2372" s="3" t="s">
        <v>2321</v>
      </c>
      <c r="C2372" s="3" t="str">
        <f>IFERROR(__xludf.DUMMYFUNCTION("GOOGLETRANSLATE(B2372,""id"",""en"")"),"['Come', 'service', 'App', 'Indihomo', 'Bad', 'pig', 'emang']")</f>
        <v>['Come', 'service', 'App', 'Indihomo', 'Bad', 'pig', 'emang']</v>
      </c>
      <c r="D2372" s="3">
        <v>1.0</v>
      </c>
    </row>
    <row r="2373" ht="15.75" customHeight="1">
      <c r="A2373" s="1">
        <v>2495.0</v>
      </c>
      <c r="B2373" s="3" t="s">
        <v>2322</v>
      </c>
      <c r="C2373" s="3" t="str">
        <f>IFERROR(__xludf.DUMMYFUNCTION("GOOGLETRANSLATE(B2373,""id"",""en"")"),"['difficult', 'enter', 'disorder', 'mulu']")</f>
        <v>['difficult', 'enter', 'disorder', 'mulu']</v>
      </c>
      <c r="D2373" s="3">
        <v>2.0</v>
      </c>
    </row>
    <row r="2374" ht="15.75" customHeight="1">
      <c r="A2374" s="1">
        <v>2496.0</v>
      </c>
      <c r="B2374" s="3" t="s">
        <v>2323</v>
      </c>
      <c r="C2374" s="3" t="str">
        <f>IFERROR(__xludf.DUMMYFUNCTION("GOOGLETRANSLATE(B2374,""id"",""en"")"),"['improvement', 'service', 'mulu', 'sihhh', 'difficult', 'kekk', 'hadehhhh']")</f>
        <v>['improvement', 'service', 'mulu', 'sihhh', 'difficult', 'kekk', 'hadehhhh']</v>
      </c>
      <c r="D2374" s="3">
        <v>2.0</v>
      </c>
    </row>
    <row r="2375" ht="15.75" customHeight="1">
      <c r="A2375" s="1">
        <v>2497.0</v>
      </c>
      <c r="B2375" s="3" t="s">
        <v>2324</v>
      </c>
      <c r="C2375" s="3" t="str">
        <f>IFERROR(__xludf.DUMMYFUNCTION("GOOGLETRANSLATE(B2375,""id"",""en"")"),"['Restore', 'version', 'KSNI', 'Bad']")</f>
        <v>['Restore', 'version', 'KSNI', 'Bad']</v>
      </c>
      <c r="D2375" s="3">
        <v>1.0</v>
      </c>
    </row>
    <row r="2376" ht="15.75" customHeight="1">
      <c r="A2376" s="1">
        <v>2498.0</v>
      </c>
      <c r="B2376" s="3" t="s">
        <v>2325</v>
      </c>
      <c r="C2376" s="3" t="str">
        <f>IFERROR(__xludf.DUMMYFUNCTION("GOOGLETRANSLATE(B2376,""id"",""en"")"),"['update', 'the latest', 'ugly', 'aspect', 'match', 'version']")</f>
        <v>['update', 'the latest', 'ugly', 'aspect', 'match', 'version']</v>
      </c>
      <c r="D2376" s="3">
        <v>1.0</v>
      </c>
    </row>
    <row r="2377" ht="15.75" customHeight="1">
      <c r="A2377" s="1">
        <v>2499.0</v>
      </c>
      <c r="B2377" s="3" t="s">
        <v>2326</v>
      </c>
      <c r="C2377" s="3" t="str">
        <f>IFERROR(__xludf.DUMMYFUNCTION("GOOGLETRANSLATE(B2377,""id"",""en"")"),"['Update', 'Open', 'Reply', 'Application', 'Indihome', 'Disorders', 'Tekhnis', ""]")</f>
        <v>['Update', 'Open', 'Reply', 'Application', 'Indihome', 'Disorders', 'Tekhnis', "]</v>
      </c>
      <c r="D2377" s="3">
        <v>1.0</v>
      </c>
    </row>
    <row r="2378" ht="15.75" customHeight="1">
      <c r="A2378" s="1">
        <v>2500.0</v>
      </c>
      <c r="B2378" s="3" t="s">
        <v>2327</v>
      </c>
      <c r="C2378" s="3" t="str">
        <f>IFERROR(__xludf.DUMMYFUNCTION("GOOGLETRANSLATE(B2378,""id"",""en"")"),"['', 'Jul', 'Application', 'Indihome', 'opened', 'appears', 'description', 'improvement', 'service']")</f>
        <v>['', 'Jul', 'Application', 'Indihome', 'opened', 'appears', 'description', 'improvement', 'service']</v>
      </c>
      <c r="D2378" s="3">
        <v>2.0</v>
      </c>
    </row>
    <row r="2379" ht="15.75" customHeight="1">
      <c r="A2379" s="1">
        <v>2501.0</v>
      </c>
      <c r="B2379" s="3" t="s">
        <v>2328</v>
      </c>
      <c r="C2379" s="3" t="str">
        <f>IFERROR(__xludf.DUMMYFUNCTION("GOOGLETRANSLATE(B2379,""id"",""en"")"),"['Indihome', 'slow', 'cok', 'already', 'slow', 'login', 'difficult', 'pecuma', 'nyaky', 'network', 'really', 'slow', ' ']")</f>
        <v>['Indihome', 'slow', 'cok', 'already', 'slow', 'login', 'difficult', 'pecuma', 'nyaky', 'network', 'really', 'slow', ' ']</v>
      </c>
      <c r="D2379" s="3">
        <v>1.0</v>
      </c>
    </row>
    <row r="2380" ht="15.75" customHeight="1">
      <c r="A2380" s="1">
        <v>2502.0</v>
      </c>
      <c r="B2380" s="3" t="s">
        <v>2329</v>
      </c>
      <c r="C2380" s="3" t="str">
        <f>IFERROR(__xludf.DUMMYFUNCTION("GOOGLETRANSLATE(B2380,""id"",""en"")"),"['Good', 'AFK', 'DLU']")</f>
        <v>['Good', 'AFK', 'DLU']</v>
      </c>
      <c r="D2380" s="3">
        <v>1.0</v>
      </c>
    </row>
    <row r="2381" ht="15.75" customHeight="1">
      <c r="A2381" s="1">
        <v>2503.0</v>
      </c>
      <c r="B2381" s="3" t="s">
        <v>2330</v>
      </c>
      <c r="C2381" s="3" t="str">
        <f>IFERROR(__xludf.DUMMYFUNCTION("GOOGLETRANSLATE(B2381,""id"",""en"")"),"['Please', 'Fix', 'Change', 'Number', 'Login', 'Written', 'Number', 'Registered', 'Login', 'Email', 'Enter', 'Send', ' Verification ',' NMR ',' Web ',' Login ',' Number ']")</f>
        <v>['Please', 'Fix', 'Change', 'Number', 'Login', 'Written', 'Number', 'Registered', 'Login', 'Email', 'Enter', 'Send', ' Verification ',' NMR ',' Web ',' Login ',' Number ']</v>
      </c>
      <c r="D2381" s="3">
        <v>1.0</v>
      </c>
    </row>
    <row r="2382" ht="15.75" customHeight="1">
      <c r="A2382" s="1">
        <v>2504.0</v>
      </c>
      <c r="B2382" s="3" t="s">
        <v>1237</v>
      </c>
      <c r="C2382" s="3" t="str">
        <f>IFERROR(__xludf.DUMMYFUNCTION("GOOGLETRANSLATE(B2382,""id"",""en"")"),"['App', 'garbage']")</f>
        <v>['App', 'garbage']</v>
      </c>
      <c r="D2382" s="3">
        <v>1.0</v>
      </c>
    </row>
    <row r="2383" ht="15.75" customHeight="1">
      <c r="A2383" s="1">
        <v>2505.0</v>
      </c>
      <c r="B2383" s="3" t="s">
        <v>2331</v>
      </c>
      <c r="C2383" s="3" t="str">
        <f>IFERROR(__xludf.DUMMYFUNCTION("GOOGLETRANSLATE(B2383,""id"",""en"")"),"['Pay', 'thousand', 'slow', 'mintak', 'forgiveness', 'solution', 'indihome', '']")</f>
        <v>['Pay', 'thousand', 'slow', 'mintak', 'forgiveness', 'solution', 'indihome', '']</v>
      </c>
      <c r="D2383" s="3">
        <v>1.0</v>
      </c>
    </row>
    <row r="2384" ht="15.75" customHeight="1">
      <c r="A2384" s="1">
        <v>2506.0</v>
      </c>
      <c r="B2384" s="3" t="s">
        <v>2332</v>
      </c>
      <c r="C2384" s="3" t="str">
        <f>IFERROR(__xludf.DUMMYFUNCTION("GOOGLETRANSLATE(B2384,""id"",""en"")"),"['Since', 'Update', 'Features', 'Complaints', 'Service', 'Trouble', 'Eledied', '']")</f>
        <v>['Since', 'Update', 'Features', 'Complaints', 'Service', 'Trouble', 'Eledied', '']</v>
      </c>
      <c r="D2384" s="3">
        <v>1.0</v>
      </c>
    </row>
    <row r="2385" ht="15.75" customHeight="1">
      <c r="A2385" s="1">
        <v>2507.0</v>
      </c>
      <c r="B2385" s="3" t="s">
        <v>2333</v>
      </c>
      <c r="C2385" s="3" t="str">
        <f>IFERROR(__xludf.DUMMYFUNCTION("GOOGLETRANSLATE(B2385,""id"",""en"")"),"['Login', '']")</f>
        <v>['Login', '']</v>
      </c>
      <c r="D2385" s="3">
        <v>4.0</v>
      </c>
    </row>
    <row r="2386" ht="15.75" customHeight="1">
      <c r="A2386" s="1">
        <v>2508.0</v>
      </c>
      <c r="B2386" s="3" t="s">
        <v>2334</v>
      </c>
      <c r="C2386" s="3" t="str">
        <f>IFERROR(__xludf.DUMMYFUNCTION("GOOGLETRANSLATE(B2386,""id"",""en"")"),"['Indihome', '']")</f>
        <v>['Indihome', '']</v>
      </c>
      <c r="D2386" s="3">
        <v>5.0</v>
      </c>
    </row>
    <row r="2387" ht="15.75" customHeight="1">
      <c r="A2387" s="1">
        <v>2509.0</v>
      </c>
      <c r="B2387" s="3" t="s">
        <v>2335</v>
      </c>
      <c r="C2387" s="3" t="str">
        <f>IFERROR(__xludf.DUMMYFUNCTION("GOOGLETRANSLATE(B2387,""id"",""en"")"),"['Bill', 'fast', 'network', 'problematic']")</f>
        <v>['Bill', 'fast', 'network', 'problematic']</v>
      </c>
      <c r="D2387" s="3">
        <v>1.0</v>
      </c>
    </row>
    <row r="2388" ht="15.75" customHeight="1">
      <c r="A2388" s="1">
        <v>2510.0</v>
      </c>
      <c r="B2388" s="3" t="s">
        <v>2336</v>
      </c>
      <c r="C2388" s="3" t="str">
        <f>IFERROR(__xludf.DUMMYFUNCTION("GOOGLETRANSLATE(B2388,""id"",""en"")"),"['Login', 'Application', 'Woy', '']")</f>
        <v>['Login', 'Application', 'Woy', '']</v>
      </c>
      <c r="D2388" s="3">
        <v>1.0</v>
      </c>
    </row>
    <row r="2389" ht="15.75" customHeight="1">
      <c r="A2389" s="1">
        <v>2511.0</v>
      </c>
      <c r="B2389" s="3" t="s">
        <v>2337</v>
      </c>
      <c r="C2389" s="3" t="str">
        <f>IFERROR(__xludf.DUMMYFUNCTION("GOOGLETRANSLATE(B2389,""id"",""en"")"),"['app', 'crash', '']")</f>
        <v>['app', 'crash', '']</v>
      </c>
      <c r="D2389" s="3">
        <v>1.0</v>
      </c>
    </row>
    <row r="2390" ht="15.75" customHeight="1">
      <c r="A2390" s="1">
        <v>2512.0</v>
      </c>
      <c r="B2390" s="3" t="s">
        <v>2338</v>
      </c>
      <c r="C2390" s="3" t="str">
        <f>IFERROR(__xludf.DUMMYFUNCTION("GOOGLETRANSLATE(B2390,""id"",""en"")"),"['Good', 'fix', 'application', 'wrong', 'password', 'different', 'web', 'application']")</f>
        <v>['Good', 'fix', 'application', 'wrong', 'password', 'different', 'web', 'application']</v>
      </c>
      <c r="D2390" s="3">
        <v>1.0</v>
      </c>
    </row>
    <row r="2391" ht="15.75" customHeight="1">
      <c r="A2391" s="1">
        <v>2513.0</v>
      </c>
      <c r="B2391" s="3" t="s">
        <v>2339</v>
      </c>
      <c r="C2391" s="3" t="str">
        <f>IFERROR(__xludf.DUMMYFUNCTION("GOOGLETRANSLATE(B2391,""id"",""en"")"),"['Application', 'Good', 'Heavy', 'Forgiveness', 'Ngelag', 'Like', 'Force', 'Close']")</f>
        <v>['Application', 'Good', 'Heavy', 'Forgiveness', 'Ngelag', 'Like', 'Force', 'Close']</v>
      </c>
      <c r="D2391" s="3">
        <v>2.0</v>
      </c>
    </row>
    <row r="2392" ht="15.75" customHeight="1">
      <c r="A2392" s="1">
        <v>2514.0</v>
      </c>
      <c r="B2392" s="3" t="s">
        <v>2340</v>
      </c>
      <c r="C2392" s="3" t="str">
        <f>IFERROR(__xludf.DUMMYFUNCTION("GOOGLETRANSLATE(B2392,""id"",""en"")"),"['Indihomecare', 'cave', 'dibales',' already ',' enter ',' internet ',' tetep ',' ajh ',' read ',' doang ',' cave ',' ask ',' KNPA ',' apk ',' difficult ',' access', 'little', 'disorder', 'lazy', ""]")</f>
        <v>['Indihomecare', 'cave', 'dibales',' already ',' enter ',' internet ',' tetep ',' ajh ',' read ',' doang ',' cave ',' ask ',' KNPA ',' apk ',' difficult ',' access', 'little', 'disorder', 'lazy', "]</v>
      </c>
      <c r="D2392" s="3">
        <v>1.0</v>
      </c>
    </row>
    <row r="2393" ht="15.75" customHeight="1">
      <c r="A2393" s="1">
        <v>2515.0</v>
      </c>
      <c r="B2393" s="3" t="s">
        <v>2341</v>
      </c>
      <c r="C2393" s="3" t="str">
        <f>IFERROR(__xludf.DUMMYFUNCTION("GOOGLETRANSLATE(B2393,""id"",""en"")"),"['Ribet', 'application', 'log', 'difficult', 'buffering', 'doang', 'number', 'difficult', 'code', 'verification', 'skrang', 'pswrd', ' Turning ',' enter ',' PSWRD ',' Wrong ',' Kerangs', 'BNTAR', 'Update', 'alternating', 'Log', ""]")</f>
        <v>['Ribet', 'application', 'log', 'difficult', 'buffering', 'doang', 'number', 'difficult', 'code', 'verification', 'skrang', 'pswrd', ' Turning ',' enter ',' PSWRD ',' Wrong ',' Kerangs', 'BNTAR', 'Update', 'alternating', 'Log', "]</v>
      </c>
      <c r="D2393" s="3">
        <v>1.0</v>
      </c>
    </row>
    <row r="2394" ht="15.75" customHeight="1">
      <c r="A2394" s="1">
        <v>2517.0</v>
      </c>
      <c r="B2394" s="3" t="s">
        <v>2342</v>
      </c>
      <c r="C2394" s="3" t="str">
        <f>IFERROR(__xludf.DUMMYFUNCTION("GOOGLETRANSLATE(B2394,""id"",""en"")"),"['Application', 'troubles']")</f>
        <v>['Application', 'troubles']</v>
      </c>
      <c r="D2394" s="3">
        <v>1.0</v>
      </c>
    </row>
    <row r="2395" ht="15.75" customHeight="1">
      <c r="A2395" s="1">
        <v>2518.0</v>
      </c>
      <c r="B2395" s="3" t="s">
        <v>2343</v>
      </c>
      <c r="C2395" s="3" t="str">
        <f>IFERROR(__xludf.DUMMYFUNCTION("GOOGLETRANSLATE(B2395,""id"",""en"")"),"['Ngebug', 'HARD', 'Opened', 'Since', 'Update']")</f>
        <v>['Ngebug', 'HARD', 'Opened', 'Since', 'Update']</v>
      </c>
      <c r="D2395" s="3">
        <v>1.0</v>
      </c>
    </row>
    <row r="2396" ht="15.75" customHeight="1">
      <c r="A2396" s="1">
        <v>2519.0</v>
      </c>
      <c r="B2396" s="3" t="s">
        <v>2344</v>
      </c>
      <c r="C2396" s="3" t="str">
        <f>IFERROR(__xludf.DUMMYFUNCTION("GOOGLETRANSLATE(B2396,""id"",""en"")"),"['Error', 'Mulu', 'discount', 'Ribet']")</f>
        <v>['Error', 'Mulu', 'discount', 'Ribet']</v>
      </c>
      <c r="D2396" s="3">
        <v>1.0</v>
      </c>
    </row>
    <row r="2397" ht="15.75" customHeight="1">
      <c r="A2397" s="1">
        <v>2520.0</v>
      </c>
      <c r="B2397" s="3" t="s">
        <v>2345</v>
      </c>
      <c r="C2397" s="3" t="str">
        <f>IFERROR(__xludf.DUMMYFUNCTION("GOOGLETRANSLATE(B2397,""id"",""en"")"),"['application', 'misleading', 'registered', 'told', 'reset', 'Kelaga']")</f>
        <v>['application', 'misleading', 'registered', 'told', 'reset', 'Kelaga']</v>
      </c>
      <c r="D2397" s="3">
        <v>1.0</v>
      </c>
    </row>
    <row r="2398" ht="15.75" customHeight="1">
      <c r="A2398" s="1">
        <v>2521.0</v>
      </c>
      <c r="B2398" s="3" t="s">
        <v>2346</v>
      </c>
      <c r="C2398" s="3" t="str">
        <f>IFERROR(__xludf.DUMMYFUNCTION("GOOGLETRANSLATE(B2398,""id"",""en"")"),"['level', '']")</f>
        <v>['level', '']</v>
      </c>
      <c r="D2398" s="3">
        <v>5.0</v>
      </c>
    </row>
    <row r="2399" ht="15.75" customHeight="1">
      <c r="A2399" s="1">
        <v>2522.0</v>
      </c>
      <c r="B2399" s="3" t="s">
        <v>2347</v>
      </c>
      <c r="C2399" s="3" t="str">
        <f>IFERROR(__xludf.DUMMYFUNCTION("GOOGLETRANSLATE(B2399,""id"",""en"")"),"['update', 'application', 'newest', 'enter', 'writing', 'update', 'service', ""]")</f>
        <v>['update', 'application', 'newest', 'enter', 'writing', 'update', 'service', "]</v>
      </c>
      <c r="D2399" s="3">
        <v>1.0</v>
      </c>
    </row>
    <row r="2400" ht="15.75" customHeight="1">
      <c r="A2400" s="1">
        <v>2523.0</v>
      </c>
      <c r="B2400" s="3" t="s">
        <v>2348</v>
      </c>
      <c r="C2400" s="3" t="str">
        <f>IFERROR(__xludf.DUMMYFUNCTION("GOOGLETRANSLATE(B2400,""id"",""en"")"),"['Since', 'update', 'super', 'slow', 'bgttttttttt', 'check', 'status',' back ',' version ',' cpat ',' dri ',' pda ',' versions', 'skrang', 'le', 'mnta', 'merculin', 'mnculin', 'status',' lnganan ',' check ',' pity ',' quota ',' muted ',' nntiku ' , 'PRBAI"&amp;"KIN', 'Rating', '']")</f>
        <v>['Since', 'update', 'super', 'slow', 'bgttttttttt', 'check', 'status',' back ',' version ',' cpat ',' dri ',' pda ',' versions', 'skrang', 'le', 'mnta', 'merculin', 'mnculin', 'status',' lnganan ',' check ',' pity ',' quota ',' muted ',' nntiku ' , 'PRBAIKIN', 'Rating', '']</v>
      </c>
      <c r="D2400" s="3">
        <v>1.0</v>
      </c>
    </row>
    <row r="2401" ht="15.75" customHeight="1">
      <c r="A2401" s="1">
        <v>2524.0</v>
      </c>
      <c r="B2401" s="3" t="s">
        <v>2349</v>
      </c>
      <c r="C2401" s="3" t="str">
        <f>IFERROR(__xludf.DUMMYFUNCTION("GOOGLETRANSLATE(B2401,""id"",""en"")"),"['entry', 'network', 'bad', 'watch', 'smooth', 'astagaaa', 'application', 'corrupt', 'petinggi', 'indihome', 'stop', 'subscription', ' ']")</f>
        <v>['entry', 'network', 'bad', 'watch', 'smooth', 'astagaaa', 'application', 'corrupt', 'petinggi', 'indihome', 'stop', 'subscription', ' ']</v>
      </c>
      <c r="D2401" s="3">
        <v>1.0</v>
      </c>
    </row>
    <row r="2402" ht="15.75" customHeight="1">
      <c r="A2402" s="1">
        <v>2525.0</v>
      </c>
      <c r="B2402" s="3" t="s">
        <v>2350</v>
      </c>
      <c r="C2402" s="3" t="str">
        <f>IFERROR(__xludf.DUMMYFUNCTION("GOOGLETRANSLATE(B2402,""id"",""en"")"),"['Love', 'star', 'deh', 'the application', 'version', 'login', 'difficult', 'really', 'company', 'class',' telkom ',' application ',' Application ',' garbage ',' ']")</f>
        <v>['Love', 'star', 'deh', 'the application', 'version', 'login', 'difficult', 'really', 'company', 'class',' telkom ',' application ',' Application ',' garbage ',' ']</v>
      </c>
      <c r="D2402" s="3">
        <v>1.0</v>
      </c>
    </row>
    <row r="2403" ht="15.75" customHeight="1">
      <c r="A2403" s="1">
        <v>2526.0</v>
      </c>
      <c r="B2403" s="3" t="s">
        <v>2351</v>
      </c>
      <c r="C2403" s="3" t="str">
        <f>IFERROR(__xludf.DUMMYFUNCTION("GOOGLETRANSLATE(B2403,""id"",""en"")"),"['WIFII', 'expensive', 'SeringG', 'Losss', 'SeDNN', 'danger', 'Badkkkk']")</f>
        <v>['WIFII', 'expensive', 'SeringG', 'Losss', 'SeDNN', 'danger', 'Badkkkk']</v>
      </c>
      <c r="D2403" s="3">
        <v>1.0</v>
      </c>
    </row>
    <row r="2404" ht="15.75" customHeight="1">
      <c r="A2404" s="1">
        <v>2527.0</v>
      </c>
      <c r="B2404" s="3" t="s">
        <v>2352</v>
      </c>
      <c r="C2404" s="3" t="str">
        <f>IFERROR(__xludf.DUMMYFUNCTION("GOOGLETRANSLATE(B2404,""id"",""en"")"),"['Application', 'Indihome', 'informative', 'slow', 'process',' menu ',' enter ',' code ',' otp ',' input ',' menu ',' enter ',' menu ',' mistaken ',' code ',' OTP ',' enter ',' click ',' sign ',' help ',' second ',' minute ',' time ',' out ',' logout ' , "&amp;"'active', 'use', 'enter', 'login', 'click', 'tap', 'menu', 'menu', 'process',' slow ',' beg ',' repair ',' Application ',' TSB ']")</f>
        <v>['Application', 'Indihome', 'informative', 'slow', 'process',' menu ',' enter ',' code ',' otp ',' input ',' menu ',' enter ',' menu ',' mistaken ',' code ',' OTP ',' enter ',' click ',' sign ',' help ',' second ',' minute ',' time ',' out ',' logout ' , 'active', 'use', 'enter', 'login', 'click', 'tap', 'menu', 'menu', 'process',' slow ',' beg ',' repair ',' Application ',' TSB ']</v>
      </c>
      <c r="D2404" s="3">
        <v>2.0</v>
      </c>
    </row>
    <row r="2405" ht="15.75" customHeight="1">
      <c r="A2405" s="1">
        <v>2528.0</v>
      </c>
      <c r="B2405" s="3" t="s">
        <v>2353</v>
      </c>
      <c r="C2405" s="3" t="str">
        <f>IFERROR(__xludf.DUMMYFUNCTION("GOOGLETRANSLATE(B2405,""id"",""en"")"),"['Indihome', 'Corporate', 'Bonafide', 'BUMN', 'complaints',' Human ',' Human ',' Reply ',' Replied ',' System ',' Computer ',' complaining ',' Robot ',' ']")</f>
        <v>['Indihome', 'Corporate', 'Bonafide', 'BUMN', 'complaints',' Human ',' Human ',' Reply ',' Replied ',' System ',' Computer ',' complaining ',' Robot ',' ']</v>
      </c>
      <c r="D2405" s="3">
        <v>1.0</v>
      </c>
    </row>
    <row r="2406" ht="15.75" customHeight="1">
      <c r="A2406" s="1">
        <v>2529.0</v>
      </c>
      <c r="B2406" s="3" t="s">
        <v>2354</v>
      </c>
      <c r="C2406" s="3" t="str">
        <f>IFERROR(__xludf.DUMMYFUNCTION("GOOGLETRANSLATE(B2406,""id"",""en"")"),"['Update', '']")</f>
        <v>['Update', '']</v>
      </c>
      <c r="D2406" s="3">
        <v>1.0</v>
      </c>
    </row>
    <row r="2407" ht="15.75" customHeight="1">
      <c r="A2407" s="1">
        <v>2530.0</v>
      </c>
      <c r="B2407" s="3" t="s">
        <v>2355</v>
      </c>
      <c r="C2407" s="3" t="str">
        <f>IFERROR(__xludf.DUMMYFUNCTION("GOOGLETRANSLATE(B2407,""id"",""en"")"),"['Enter', 'difficult', 'company', 'owned', 'Country', 'Try', 'Increase']")</f>
        <v>['Enter', 'difficult', 'company', 'owned', 'Country', 'Try', 'Increase']</v>
      </c>
      <c r="D2407" s="3">
        <v>5.0</v>
      </c>
    </row>
    <row r="2408" ht="15.75" customHeight="1">
      <c r="A2408" s="1">
        <v>2531.0</v>
      </c>
      <c r="B2408" s="3" t="s">
        <v>2356</v>
      </c>
      <c r="C2408" s="3" t="str">
        <f>IFERROR(__xludf.DUMMYFUNCTION("GOOGLETRANSLATE(B2408,""id"",""en"")"),"['update', 'fix', 'application', 'add', 'dilapidated', 'gini', 'application']")</f>
        <v>['update', 'fix', 'application', 'add', 'dilapidated', 'gini', 'application']</v>
      </c>
      <c r="D2408" s="3">
        <v>1.0</v>
      </c>
    </row>
    <row r="2409" ht="15.75" customHeight="1">
      <c r="A2409" s="1">
        <v>2532.0</v>
      </c>
      <c r="B2409" s="3" t="s">
        <v>2357</v>
      </c>
      <c r="C2409" s="3" t="str">
        <f>IFERROR(__xludf.DUMMYFUNCTION("GOOGLETRANSLATE(B2409,""id"",""en"")"),"['Indihome', 'Provider', 'Network', 'Technology', 'Fix', 'Application', 'Provide', 'Network', 'Quality', '']")</f>
        <v>['Indihome', 'Provider', 'Network', 'Technology', 'Fix', 'Application', 'Provide', 'Network', 'Quality', '']</v>
      </c>
      <c r="D2409" s="3">
        <v>1.0</v>
      </c>
    </row>
    <row r="2410" ht="15.75" customHeight="1">
      <c r="A2410" s="1">
        <v>2533.0</v>
      </c>
      <c r="B2410" s="3" t="s">
        <v>2333</v>
      </c>
      <c r="C2410" s="3" t="str">
        <f>IFERROR(__xludf.DUMMYFUNCTION("GOOGLETRANSLATE(B2410,""id"",""en"")"),"['Login', '']")</f>
        <v>['Login', '']</v>
      </c>
      <c r="D2410" s="3">
        <v>1.0</v>
      </c>
    </row>
    <row r="2411" ht="15.75" customHeight="1">
      <c r="A2411" s="1">
        <v>2534.0</v>
      </c>
      <c r="B2411" s="3" t="s">
        <v>2358</v>
      </c>
      <c r="C2411" s="3" t="str">
        <f>IFERROR(__xludf.DUMMYFUNCTION("GOOGLETRANSLATE(B2411,""id"",""en"")"),"['Mita', 'Sorry', 'Mulu', 'Development', 'Loading', 'Mulu', 'LOGAUT', 'Development', 'Sorry', 'Mulu', 'Konplenan', ' Fix ',' bad ',' yeah ',' please ',' apk ',' right ',' sorry ',' mulu ']")</f>
        <v>['Mita', 'Sorry', 'Mulu', 'Development', 'Loading', 'Mulu', 'LOGAUT', 'Development', 'Sorry', 'Mulu', 'Konplenan', ' Fix ',' bad ',' yeah ',' please ',' apk ',' right ',' sorry ',' mulu ']</v>
      </c>
      <c r="D2411" s="3">
        <v>5.0</v>
      </c>
    </row>
    <row r="2412" ht="15.75" customHeight="1">
      <c r="A2412" s="1">
        <v>2535.0</v>
      </c>
      <c r="B2412" s="3" t="s">
        <v>2359</v>
      </c>
      <c r="C2412" s="3" t="str">
        <f>IFERROR(__xludf.DUMMYFUNCTION("GOOGLETRANSLATE(B2412,""id"",""en"")"),"['company', 'the application', 'ugly', 'enter', 'difficult', 'click', 'menu', 'slow', 'shame', 'indihome']")</f>
        <v>['company', 'the application', 'ugly', 'enter', 'difficult', 'click', 'menu', 'slow', 'shame', 'indihome']</v>
      </c>
      <c r="D2412" s="3">
        <v>1.0</v>
      </c>
    </row>
    <row r="2413" ht="15.75" customHeight="1">
      <c r="A2413" s="1">
        <v>2536.0</v>
      </c>
      <c r="B2413" s="3" t="s">
        <v>2360</v>
      </c>
      <c r="C2413" s="3" t="str">
        <f>IFERROR(__xludf.DUMMYFUNCTION("GOOGLETRANSLATE(B2413,""id"",""en"")"),"['application', 'already', 'NGK', 'Open', 'RendewsPeed', 'NGK', 'already', 'phone', 'NGK', 'Development', ""]")</f>
        <v>['application', 'already', 'NGK', 'Open', 'RendewsPeed', 'NGK', 'already', 'phone', 'NGK', 'Development', "]</v>
      </c>
      <c r="D2413" s="3">
        <v>1.0</v>
      </c>
    </row>
    <row r="2414" ht="15.75" customHeight="1">
      <c r="A2414" s="1">
        <v>2537.0</v>
      </c>
      <c r="B2414" s="3" t="s">
        <v>2361</v>
      </c>
      <c r="C2414" s="3" t="str">
        <f>IFERROR(__xludf.DUMMYFUNCTION("GOOGLETRANSLATE(B2414,""id"",""en"")"),"['In the future', 'repaired', 'Miss', 'Login', 'loading', 'The application', 'Disruption', ""]")</f>
        <v>['In the future', 'repaired', 'Miss', 'Login', 'loading', 'The application', 'Disruption', "]</v>
      </c>
      <c r="D2414" s="3">
        <v>3.0</v>
      </c>
    </row>
    <row r="2415" ht="15.75" customHeight="1">
      <c r="A2415" s="1">
        <v>2538.0</v>
      </c>
      <c r="B2415" s="3" t="s">
        <v>2362</v>
      </c>
      <c r="C2415" s="3" t="str">
        <f>IFERROR(__xludf.DUMMYFUNCTION("GOOGLETRANSLATE(B2415,""id"",""en"")"),"['difficult', 'replace', 'password', 'repair', 'ajah', 'msuk', 'indihome', 'tvv']")</f>
        <v>['difficult', 'replace', 'password', 'repair', 'ajah', 'msuk', 'indihome', 'tvv']</v>
      </c>
      <c r="D2415" s="3">
        <v>1.0</v>
      </c>
    </row>
    <row r="2416" ht="15.75" customHeight="1">
      <c r="A2416" s="1">
        <v>2539.0</v>
      </c>
      <c r="B2416" s="3" t="s">
        <v>2363</v>
      </c>
      <c r="C2416" s="3" t="str">
        <f>IFERROR(__xludf.DUMMYFUNCTION("GOOGLETRANSLATE(B2416,""id"",""en"")"),"['Enter', 'difficult', 'really', 'intention', 'app']")</f>
        <v>['Enter', 'difficult', 'really', 'intention', 'app']</v>
      </c>
      <c r="D2416" s="3">
        <v>1.0</v>
      </c>
    </row>
    <row r="2417" ht="15.75" customHeight="1">
      <c r="A2417" s="1">
        <v>2540.0</v>
      </c>
      <c r="B2417" s="3" t="s">
        <v>2364</v>
      </c>
      <c r="C2417" s="3" t="str">
        <f>IFERROR(__xludf.DUMMYFUNCTION("GOOGLETRANSLATE(B2417,""id"",""en"")"),"['his own', 'ugly', 'updete', 'mending', 'feri', 'check', 'use', 'internet', 'no', '']")</f>
        <v>['his own', 'ugly', 'updete', 'mending', 'feri', 'check', 'use', 'internet', 'no', '']</v>
      </c>
      <c r="D2417" s="3">
        <v>1.0</v>
      </c>
    </row>
    <row r="2418" ht="15.75" customHeight="1">
      <c r="A2418" s="1">
        <v>2541.0</v>
      </c>
      <c r="B2418" s="3" t="s">
        <v>2365</v>
      </c>
      <c r="C2418" s="3" t="str">
        <f>IFERROR(__xludf.DUMMYFUNCTION("GOOGLETRANSLATE(B2418,""id"",""en"")"),"['Disappointed', 'Total', 'Version', 'Latest', 'No', 'Access', 'Severe']")</f>
        <v>['Disappointed', 'Total', 'Version', 'Latest', 'No', 'Access', 'Severe']</v>
      </c>
      <c r="D2418" s="3">
        <v>1.0</v>
      </c>
    </row>
    <row r="2419" ht="15.75" customHeight="1">
      <c r="A2419" s="1">
        <v>2542.0</v>
      </c>
      <c r="B2419" s="3" t="s">
        <v>2366</v>
      </c>
      <c r="C2419" s="3" t="str">
        <f>IFERROR(__xludf.DUMMYFUNCTION("GOOGLETRANSLATE(B2419,""id"",""en"")"),"['Application', 'Open', 'Download']")</f>
        <v>['Application', 'Open', 'Download']</v>
      </c>
      <c r="D2419" s="3">
        <v>1.0</v>
      </c>
    </row>
    <row r="2420" ht="15.75" customHeight="1">
      <c r="A2420" s="1">
        <v>2543.0</v>
      </c>
      <c r="B2420" s="3" t="s">
        <v>2367</v>
      </c>
      <c r="C2420" s="3" t="str">
        <f>IFERROR(__xludf.DUMMYFUNCTION("GOOGLETRANSLATE(B2420,""id"",""en"")"),"['failed', 'Login', '']")</f>
        <v>['failed', 'Login', '']</v>
      </c>
      <c r="D2420" s="3">
        <v>1.0</v>
      </c>
    </row>
    <row r="2421" ht="15.75" customHeight="1">
      <c r="A2421" s="1">
        <v>2544.0</v>
      </c>
      <c r="B2421" s="3" t="s">
        <v>2368</v>
      </c>
      <c r="C2421" s="3" t="str">
        <f>IFERROR(__xludf.DUMMYFUNCTION("GOOGLETRANSLATE(B2421,""id"",""en"")"),"['entry', 'updet', 'restless', 'user', 'indihome', '']")</f>
        <v>['entry', 'updet', 'restless', 'user', 'indihome', '']</v>
      </c>
      <c r="D2421" s="3">
        <v>1.0</v>
      </c>
    </row>
    <row r="2422" ht="15.75" customHeight="1">
      <c r="A2422" s="1">
        <v>2545.0</v>
      </c>
      <c r="B2422" s="3" t="s">
        <v>2369</v>
      </c>
      <c r="C2422" s="3" t="str">
        <f>IFERROR(__xludf.DUMMYFUNCTION("GOOGLETRANSLATE(B2422,""id"",""en"")"),"['HBS', 'Update', 'Application', 'Baa', 'Login', 'Dri', 'kmren', 'gmn', ""]")</f>
        <v>['HBS', 'Update', 'Application', 'Baa', 'Login', 'Dri', 'kmren', 'gmn', "]</v>
      </c>
      <c r="D2422" s="3">
        <v>3.0</v>
      </c>
    </row>
    <row r="2423" ht="15.75" customHeight="1">
      <c r="A2423" s="1">
        <v>2546.0</v>
      </c>
      <c r="B2423" s="3" t="s">
        <v>2370</v>
      </c>
      <c r="C2423" s="3" t="str">
        <f>IFERROR(__xludf.DUMMYFUNCTION("GOOGLETRANSLATE(B2423,""id"",""en"")"),"['APK', 'ugly', 'crash', 'maximal', 'the application', 'org', 'like', 'application', 'call', 'spend', 'pulse', 'pke', ' application', '']")</f>
        <v>['APK', 'ugly', 'crash', 'maximal', 'the application', 'org', 'like', 'application', 'call', 'spend', 'pulse', 'pke', ' application', '']</v>
      </c>
      <c r="D2423" s="3">
        <v>1.0</v>
      </c>
    </row>
    <row r="2424" ht="15.75" customHeight="1">
      <c r="A2424" s="1">
        <v>2547.0</v>
      </c>
      <c r="B2424" s="3" t="s">
        <v>2371</v>
      </c>
      <c r="C2424" s="3" t="str">
        <f>IFERROR(__xludf.DUMMYFUNCTION("GOOGLETRANSLATE(B2424,""id"",""en"")"),"['Connection', 'Good', 'WiFi', 'Mauoun', 'Package', 'Data', 'Login', 'Order', 'Process',' Connect ',' Internet ',' Plis', ' Repair ',' this', 'bug']")</f>
        <v>['Connection', 'Good', 'WiFi', 'Mauoun', 'Package', 'Data', 'Login', 'Order', 'Process',' Connect ',' Internet ',' Plis', ' Repair ',' this', 'bug']</v>
      </c>
      <c r="D2424" s="3">
        <v>5.0</v>
      </c>
    </row>
    <row r="2425" ht="15.75" customHeight="1">
      <c r="A2425" s="1">
        <v>2548.0</v>
      </c>
      <c r="B2425" s="3" t="s">
        <v>2372</v>
      </c>
      <c r="C2425" s="3" t="str">
        <f>IFERROR(__xludf.DUMMYFUNCTION("GOOGLETRANSLATE(B2425,""id"",""en"")"),"['rubbish', '']")</f>
        <v>['rubbish', '']</v>
      </c>
      <c r="D2425" s="3">
        <v>1.0</v>
      </c>
    </row>
    <row r="2426" ht="15.75" customHeight="1">
      <c r="A2426" s="1">
        <v>2549.0</v>
      </c>
      <c r="B2426" s="3" t="s">
        <v>2373</v>
      </c>
      <c r="C2426" s="3" t="str">
        <f>IFERROR(__xludf.DUMMYFUNCTION("GOOGLETRANSLATE(B2426,""id"",""en"")"),"['Sorry', 'Login', 'Application', '']")</f>
        <v>['Sorry', 'Login', 'Application', '']</v>
      </c>
      <c r="D2426" s="3">
        <v>1.0</v>
      </c>
    </row>
    <row r="2427" ht="15.75" customHeight="1">
      <c r="A2427" s="1">
        <v>2550.0</v>
      </c>
      <c r="B2427" s="3" t="s">
        <v>2374</v>
      </c>
      <c r="C2427" s="3" t="str">
        <f>IFERROR(__xludf.DUMMYFUNCTION("GOOGLETRANSLATE(B2427,""id"",""en"")"),"['', 'Ngadu', 'GMN', 'HRI', 'WiFi', 'Fight', 'Internet', 'Application', 'Indihome', 'Contacted', 'Bener', 'Udh', 'Bgus ',' kmren ',' his application ',' Mlah ',' updated ',' jdi ',' maybe ',' complicated ',' routine ',' turn ',' late ',' dimatiin ', 'WiFi"&amp;"', 'Season', 'Move', 'UDH', 'Full', 'Indihome', ""]")</f>
        <v>['', 'Ngadu', 'GMN', 'HRI', 'WiFi', 'Fight', 'Internet', 'Application', 'Indihome', 'Contacted', 'Bener', 'Udh', 'Bgus ',' kmren ',' his application ',' Mlah ',' updated ',' jdi ',' maybe ',' complicated ',' routine ',' turn ',' late ',' dimatiin ', 'WiFi', 'Season', 'Move', 'UDH', 'Full', 'Indihome', "]</v>
      </c>
      <c r="D2427" s="3">
        <v>1.0</v>
      </c>
    </row>
    <row r="2428" ht="15.75" customHeight="1">
      <c r="A2428" s="1">
        <v>2551.0</v>
      </c>
      <c r="B2428" s="3" t="s">
        <v>2375</v>
      </c>
      <c r="C2428" s="3" t="str">
        <f>IFERROR(__xludf.DUMMYFUNCTION("GOOGLETRANSLATE(B2428,""id"",""en"")"),"['Blm', 'Forced', 'Application', 'Release', 'Playstore', 'Application', 'Disabled', ""]")</f>
        <v>['Blm', 'Forced', 'Application', 'Release', 'Playstore', 'Application', 'Disabled', "]</v>
      </c>
      <c r="D2428" s="3">
        <v>1.0</v>
      </c>
    </row>
    <row r="2429" ht="15.75" customHeight="1">
      <c r="A2429" s="1">
        <v>2552.0</v>
      </c>
      <c r="B2429" s="3" t="s">
        <v>2376</v>
      </c>
      <c r="C2429" s="3" t="str">
        <f>IFERROR(__xludf.DUMMYFUNCTION("GOOGLETRANSLATE(B2429,""id"",""en"")"),"['application', 'most', 'update', 'difficult', 'open', 'heavy', 'heavy', 'game', 'pubg', 'mobale', 'severe']")</f>
        <v>['application', 'most', 'update', 'difficult', 'open', 'heavy', 'heavy', 'game', 'pubg', 'mobale', 'severe']</v>
      </c>
      <c r="D2429" s="3">
        <v>1.0</v>
      </c>
    </row>
    <row r="2430" ht="15.75" customHeight="1">
      <c r="A2430" s="1">
        <v>2553.0</v>
      </c>
      <c r="B2430" s="3" t="s">
        <v>2377</v>
      </c>
      <c r="C2430" s="3" t="str">
        <f>IFERROR(__xludf.DUMMYFUNCTION("GOOGLETRANSLATE(B2430,""id"",""en"")"),"['application', 'ugly', 'complaint', 'difficult', 'beg', 'donk', 'fix']")</f>
        <v>['application', 'ugly', 'complaint', 'difficult', 'beg', 'donk', 'fix']</v>
      </c>
      <c r="D2430" s="3">
        <v>3.0</v>
      </c>
    </row>
    <row r="2431" ht="15.75" customHeight="1">
      <c r="A2431" s="1">
        <v>2554.0</v>
      </c>
      <c r="B2431" s="3" t="s">
        <v>440</v>
      </c>
      <c r="C2431" s="3" t="str">
        <f>IFERROR(__xludf.DUMMYFUNCTION("GOOGLETRANSLATE(B2431,""id"",""en"")"),"['lag']")</f>
        <v>['lag']</v>
      </c>
      <c r="D2431" s="3">
        <v>1.0</v>
      </c>
    </row>
    <row r="2432" ht="15.75" customHeight="1">
      <c r="A2432" s="1">
        <v>2555.0</v>
      </c>
      <c r="B2432" s="3" t="s">
        <v>2378</v>
      </c>
      <c r="C2432" s="3" t="str">
        <f>IFERROR(__xludf.DUMMYFUNCTION("GOOGLETRANSLATE(B2432,""id"",""en"")"),"['difficult', 'enter', 'Dikkik', 'kaga', 'road', ""]")</f>
        <v>['difficult', 'enter', 'Dikkik', 'kaga', 'road', "]</v>
      </c>
      <c r="D2432" s="3">
        <v>1.0</v>
      </c>
    </row>
    <row r="2433" ht="15.75" customHeight="1">
      <c r="A2433" s="1">
        <v>2556.0</v>
      </c>
      <c r="B2433" s="3" t="s">
        <v>2379</v>
      </c>
      <c r="C2433" s="3" t="str">
        <f>IFERROR(__xludf.DUMMYFUNCTION("GOOGLETRANSLATE(B2433,""id"",""en"")"),"['Destroyed', 'used', 'The application', '']")</f>
        <v>['Destroyed', 'used', 'The application', '']</v>
      </c>
      <c r="D2433" s="3">
        <v>1.0</v>
      </c>
    </row>
    <row r="2434" ht="15.75" customHeight="1">
      <c r="A2434" s="1">
        <v>2557.0</v>
      </c>
      <c r="B2434" s="3" t="s">
        <v>2380</v>
      </c>
      <c r="C2434" s="3" t="str">
        <f>IFERROR(__xludf.DUMMYFUNCTION("GOOGLETRANSLATE(B2434,""id"",""en"")"),"['', 'confused', 'Indihome', 'fall', 'tempo', 'payment', 'slow', 'muter', 'muter', 'the network', 'please', 'repair', 'the server ', 'like this', '']")</f>
        <v>['', 'confused', 'Indihome', 'fall', 'tempo', 'payment', 'slow', 'muter', 'muter', 'the network', 'please', 'repair', 'the server ', 'like this', '']</v>
      </c>
      <c r="D2434" s="3">
        <v>3.0</v>
      </c>
    </row>
    <row r="2435" ht="15.75" customHeight="1">
      <c r="A2435" s="1">
        <v>2558.0</v>
      </c>
      <c r="B2435" s="3" t="s">
        <v>2381</v>
      </c>
      <c r="C2435" s="3" t="str">
        <f>IFERROR(__xludf.DUMMYFUNCTION("GOOGLETRANSLATE(B2435,""id"",""en"")"),"['Application', 'no', 'already', 'pay', 'expensive', 'expensive', 'masi', 'trouble', 'low', 'heart', 'complain', ""]")</f>
        <v>['Application', 'no', 'already', 'pay', 'expensive', 'expensive', 'masi', 'trouble', 'low', 'heart', 'complain', "]</v>
      </c>
      <c r="D2435" s="3">
        <v>1.0</v>
      </c>
    </row>
    <row r="2436" ht="15.75" customHeight="1">
      <c r="A2436" s="1">
        <v>2559.0</v>
      </c>
      <c r="B2436" s="3" t="s">
        <v>2382</v>
      </c>
      <c r="C2436" s="3" t="str">
        <f>IFERROR(__xludf.DUMMYFUNCTION("GOOGLETRANSLATE(B2436,""id"",""en"")"),"['application', 'ugly', 'forget', 'password', 'told', 'send', 'token', 'enter', 'token', 'valid', 'what is' dpet ',' SMS ',' ']")</f>
        <v>['application', 'ugly', 'forget', 'password', 'told', 'send', 'token', 'enter', 'token', 'valid', 'what is' dpet ',' SMS ',' ']</v>
      </c>
      <c r="D2436" s="3">
        <v>1.0</v>
      </c>
    </row>
    <row r="2437" ht="15.75" customHeight="1">
      <c r="A2437" s="1">
        <v>2560.0</v>
      </c>
      <c r="B2437" s="3" t="s">
        <v>2383</v>
      </c>
      <c r="C2437" s="3" t="str">
        <f>IFERROR(__xludf.DUMMYFUNCTION("GOOGLETRANSLATE(B2437,""id"",""en"")"),"['Network', 'Severe', 'Pay', 'Expensive', 'Good', 'Move', 'Network', 'Biznet']")</f>
        <v>['Network', 'Severe', 'Pay', 'Expensive', 'Good', 'Move', 'Network', 'Biznet']</v>
      </c>
      <c r="D2437" s="3">
        <v>1.0</v>
      </c>
    </row>
    <row r="2438" ht="15.75" customHeight="1">
      <c r="A2438" s="1">
        <v>2561.0</v>
      </c>
      <c r="B2438" s="3" t="s">
        <v>2384</v>
      </c>
      <c r="C2438" s="3" t="str">
        <f>IFERROR(__xludf.DUMMYFUNCTION("GOOGLETRANSLATE(B2438,""id"",""en"")"),"['Indihome', 'world', 'virtual', 'grasp']")</f>
        <v>['Indihome', 'world', 'virtual', 'grasp']</v>
      </c>
      <c r="D2438" s="3">
        <v>5.0</v>
      </c>
    </row>
    <row r="2439" ht="15.75" customHeight="1">
      <c r="A2439" s="1">
        <v>2562.0</v>
      </c>
      <c r="B2439" s="3" t="s">
        <v>2385</v>
      </c>
      <c r="C2439" s="3" t="str">
        <f>IFERROR(__xludf.DUMMYFUNCTION("GOOGLETRANSLATE(B2439,""id"",""en"")"),"['Application', 'ugly', 'Bener', 'intention', 'application', 'see', 'use', 'slow', 'really', 'muter', 'network', 'full']")</f>
        <v>['Application', 'ugly', 'Bener', 'intention', 'application', 'see', 'use', 'slow', 'really', 'muter', 'network', 'full']</v>
      </c>
      <c r="D2439" s="3">
        <v>2.0</v>
      </c>
    </row>
    <row r="2440" ht="15.75" customHeight="1">
      <c r="A2440" s="1">
        <v>2563.0</v>
      </c>
      <c r="B2440" s="3" t="s">
        <v>2386</v>
      </c>
      <c r="C2440" s="3" t="str">
        <f>IFERROR(__xludf.DUMMYFUNCTION("GOOGLETRANSLATE(B2440,""id"",""en"")"),"['Shame', 'You', 'Telkom']")</f>
        <v>['Shame', 'You', 'Telkom']</v>
      </c>
      <c r="D2440" s="3">
        <v>1.0</v>
      </c>
    </row>
    <row r="2441" ht="15.75" customHeight="1">
      <c r="A2441" s="1">
        <v>2564.0</v>
      </c>
      <c r="B2441" s="3" t="s">
        <v>2387</v>
      </c>
      <c r="C2441" s="3" t="str">
        <f>IFERROR(__xludf.DUMMYFUNCTION("GOOGLETRANSLATE(B2441,""id"",""en"")"),"['Liat', 'comment', 'Install', 'ugly', 'App', '']")</f>
        <v>['Liat', 'comment', 'Install', 'ugly', 'App', '']</v>
      </c>
      <c r="D2441" s="3">
        <v>1.0</v>
      </c>
    </row>
    <row r="2442" ht="15.75" customHeight="1">
      <c r="A2442" s="1">
        <v>2565.0</v>
      </c>
      <c r="B2442" s="3" t="s">
        <v>2388</v>
      </c>
      <c r="C2442" s="3" t="str">
        <f>IFERROR(__xludf.DUMMYFUNCTION("GOOGLETRANSLATE(B2442,""id"",""en"")"),"['Indihome', 'garbage']")</f>
        <v>['Indihome', 'garbage']</v>
      </c>
      <c r="D2442" s="3">
        <v>1.0</v>
      </c>
    </row>
    <row r="2443" ht="15.75" customHeight="1">
      <c r="A2443" s="1">
        <v>2566.0</v>
      </c>
      <c r="B2443" s="3" t="s">
        <v>2389</v>
      </c>
      <c r="C2443" s="3" t="str">
        <f>IFERROR(__xludf.DUMMYFUNCTION("GOOGLETRANSLATE(B2443,""id"",""en"")"),"['Good', 'fill', 'balance', 'application', 'Indihome', '']")</f>
        <v>['Good', 'fill', 'balance', 'application', 'Indihome', '']</v>
      </c>
      <c r="D2443" s="3">
        <v>5.0</v>
      </c>
    </row>
    <row r="2444" ht="15.75" customHeight="1">
      <c r="A2444" s="1">
        <v>2567.0</v>
      </c>
      <c r="B2444" s="3" t="s">
        <v>2390</v>
      </c>
      <c r="C2444" s="3" t="str">
        <f>IFERROR(__xludf.DUMMYFUNCTION("GOOGLETRANSLATE(B2444,""id"",""en"")"),"['skrg', 'application', 'Loading', 'Severe', 'Since', 'Change', 'Display', 'Light', 'Display', ""]")</f>
        <v>['skrg', 'application', 'Loading', 'Severe', 'Since', 'Change', 'Display', 'Light', 'Display', "]</v>
      </c>
      <c r="D2444" s="3">
        <v>1.0</v>
      </c>
    </row>
    <row r="2445" ht="15.75" customHeight="1">
      <c r="A2445" s="1">
        <v>2568.0</v>
      </c>
      <c r="B2445" s="3" t="s">
        <v>2391</v>
      </c>
      <c r="C2445" s="3" t="str">
        <f>IFERROR(__xludf.DUMMYFUNCTION("GOOGLETRANSLATE(B2445,""id"",""en"")"),"['update', 'the latest', 'good', 'threat', 'slow', 'open', 'profile', 'need', 'minute', 'see', 'number', 'bill', ' payment ',' open ',' provider ',' enter ',' sense ',' loading ',' open ',' network ',' slow ',' dead ',' what ',' company ',' plate ' , 'red"&amp;"', 'improvement']")</f>
        <v>['update', 'the latest', 'good', 'threat', 'slow', 'open', 'profile', 'need', 'minute', 'see', 'number', 'bill', ' payment ',' open ',' provider ',' enter ',' sense ',' loading ',' open ',' network ',' slow ',' dead ',' what ',' company ',' plate ' , 'red', 'improvement']</v>
      </c>
      <c r="D2445" s="3">
        <v>1.0</v>
      </c>
    </row>
    <row r="2446" ht="15.75" customHeight="1">
      <c r="A2446" s="1">
        <v>2569.0</v>
      </c>
      <c r="B2446" s="3" t="s">
        <v>2392</v>
      </c>
      <c r="C2446" s="3" t="str">
        <f>IFERROR(__xludf.DUMMYFUNCTION("GOOGLETRANSLATE(B2446,""id"",""en"")"),"['Install', 'network', 'lag', 'severe', 'cave', 'guarantee', 'indihome', 'network', 'lag', 'nature', 'universe']")</f>
        <v>['Install', 'network', 'lag', 'severe', 'cave', 'guarantee', 'indihome', 'network', 'lag', 'nature', 'universe']</v>
      </c>
      <c r="D2446" s="3">
        <v>1.0</v>
      </c>
    </row>
    <row r="2447" ht="15.75" customHeight="1">
      <c r="A2447" s="1">
        <v>2570.0</v>
      </c>
      <c r="B2447" s="3" t="s">
        <v>2393</v>
      </c>
      <c r="C2447" s="3" t="str">
        <f>IFERROR(__xludf.DUMMYFUNCTION("GOOGLETRANSLATE(B2447,""id"",""en"")"),"['slow', 'slow', 'slow', '']")</f>
        <v>['slow', 'slow', 'slow', '']</v>
      </c>
      <c r="D2447" s="3">
        <v>1.0</v>
      </c>
    </row>
    <row r="2448" ht="15.75" customHeight="1">
      <c r="A2448" s="1">
        <v>2571.0</v>
      </c>
      <c r="B2448" s="3" t="s">
        <v>2394</v>
      </c>
      <c r="C2448" s="3" t="str">
        <f>IFERROR(__xludf.DUMMYFUNCTION("GOOGLETRANSLATE(B2448,""id"",""en"")"),"['Login', 'Wrong', 'Code', 'OTP', 'Please', 'Solution']")</f>
        <v>['Login', 'Wrong', 'Code', 'OTP', 'Please', 'Solution']</v>
      </c>
      <c r="D2448" s="3">
        <v>1.0</v>
      </c>
    </row>
    <row r="2449" ht="15.75" customHeight="1">
      <c r="A2449" s="1">
        <v>2572.0</v>
      </c>
      <c r="B2449" s="3" t="s">
        <v>2395</v>
      </c>
      <c r="C2449" s="3" t="str">
        <f>IFERROR(__xludf.DUMMYFUNCTION("GOOGLETRANSLATE(B2449,""id"",""en"")"),"['Register', 'Info', 'Application', 'Bersebuio']")</f>
        <v>['Register', 'Info', 'Application', 'Bersebuio']</v>
      </c>
      <c r="D2449" s="3">
        <v>5.0</v>
      </c>
    </row>
    <row r="2450" ht="15.75" customHeight="1">
      <c r="A2450" s="1">
        <v>2573.0</v>
      </c>
      <c r="B2450" s="3" t="s">
        <v>2396</v>
      </c>
      <c r="C2450" s="3" t="str">
        <f>IFERROR(__xludf.DUMMYFUNCTION("GOOGLETRANSLATE(B2450,""id"",""en"")"),"['customer', 'Indihome', 'Indihome', 'thought', 'internet', 'disorder', 'pay', 'package', 'indihome', 'cheap', 'loss']")</f>
        <v>['customer', 'Indihome', 'Indihome', 'thought', 'internet', 'disorder', 'pay', 'package', 'indihome', 'cheap', 'loss']</v>
      </c>
      <c r="D2450" s="3">
        <v>1.0</v>
      </c>
    </row>
    <row r="2451" ht="15.75" customHeight="1">
      <c r="A2451" s="1">
        <v>2574.0</v>
      </c>
      <c r="B2451" s="3" t="s">
        <v>2397</v>
      </c>
      <c r="C2451" s="3" t="str">
        <f>IFERROR(__xludf.DUMMYFUNCTION("GOOGLETRANSLATE(B2451,""id"",""en"")"),"['Login', 'Application', 'Lemot', 'Mentally']")</f>
        <v>['Login', 'Application', 'Lemot', 'Mentally']</v>
      </c>
      <c r="D2451" s="3">
        <v>1.0</v>
      </c>
    </row>
    <row r="2452" ht="15.75" customHeight="1">
      <c r="A2452" s="1">
        <v>2575.0</v>
      </c>
      <c r="B2452" s="3" t="s">
        <v>2398</v>
      </c>
      <c r="C2452" s="3" t="str">
        <f>IFERROR(__xludf.DUMMYFUNCTION("GOOGLETRANSLATE(B2452,""id"",""en"")"),"['Lemoooooot', 'my APK']")</f>
        <v>['Lemoooooot', 'my APK']</v>
      </c>
      <c r="D2452" s="3">
        <v>1.0</v>
      </c>
    </row>
    <row r="2453" ht="15.75" customHeight="1">
      <c r="A2453" s="1">
        <v>2576.0</v>
      </c>
      <c r="B2453" s="3" t="s">
        <v>2399</v>
      </c>
      <c r="C2453" s="3" t="str">
        <f>IFERROR(__xludf.DUMMYFUNCTION("GOOGLETRANSLATE(B2453,""id"",""en"")"),"['expensive', 'quality', 'disappointing']")</f>
        <v>['expensive', 'quality', 'disappointing']</v>
      </c>
      <c r="D2453" s="3">
        <v>1.0</v>
      </c>
    </row>
    <row r="2454" ht="15.75" customHeight="1">
      <c r="A2454" s="1">
        <v>2577.0</v>
      </c>
      <c r="B2454" s="3" t="s">
        <v>2400</v>
      </c>
      <c r="C2454" s="3" t="str">
        <f>IFERROR(__xludf.DUMMYFUNCTION("GOOGLETRANSLATE(B2454,""id"",""en"")"),"['Application', 'Severe', 'Doang', 'Good', 'Lemot', 'Severe', 'Features',' Features', 'Mending', 'Version', 'Even', 'Box', ' box ',' smooth ',' test ',' release ',' chase ',' show ',' hadeh ',' application ',' belom ',' hold ']")</f>
        <v>['Application', 'Severe', 'Doang', 'Good', 'Lemot', 'Severe', 'Features',' Features', 'Mending', 'Version', 'Even', 'Box', ' box ',' smooth ',' test ',' release ',' chase ',' show ',' hadeh ',' application ',' belom ',' hold ']</v>
      </c>
      <c r="D2454" s="3">
        <v>1.0</v>
      </c>
    </row>
    <row r="2455" ht="15.75" customHeight="1">
      <c r="A2455" s="1">
        <v>2578.0</v>
      </c>
      <c r="B2455" s="3" t="s">
        <v>2401</v>
      </c>
      <c r="C2455" s="3" t="str">
        <f>IFERROR(__xludf.DUMMYFUNCTION("GOOGLETRANSLATE(B2455,""id"",""en"")"),"['ugly', 'network', 'disorder', 'report', 'slow', 'response']")</f>
        <v>['ugly', 'network', 'disorder', 'report', 'slow', 'response']</v>
      </c>
      <c r="D2455" s="3">
        <v>1.0</v>
      </c>
    </row>
    <row r="2456" ht="15.75" customHeight="1">
      <c r="A2456" s="1">
        <v>2579.0</v>
      </c>
      <c r="B2456" s="3" t="s">
        <v>2402</v>
      </c>
      <c r="C2456" s="3" t="str">
        <f>IFERROR(__xludf.DUMMYFUNCTION("GOOGLETRANSLATE(B2456,""id"",""en"")"),"['Error', 'LTH', 'usage']")</f>
        <v>['Error', 'LTH', 'usage']</v>
      </c>
      <c r="D2456" s="3">
        <v>1.0</v>
      </c>
    </row>
    <row r="2457" ht="15.75" customHeight="1">
      <c r="A2457" s="1">
        <v>2580.0</v>
      </c>
      <c r="B2457" s="3" t="s">
        <v>2403</v>
      </c>
      <c r="C2457" s="3" t="str">
        <f>IFERROR(__xludf.DUMMYFUNCTION("GOOGLETRANSLATE(B2457,""id"",""en"")"),"['Honest', 'comfortable', 'really', 'indiehome', 'already', 'subscription', 'until', 'since' home ',' make ',' indiehome ',' the network ',' slow ',' bnget ',' please ',' jngan ',' fortunately ',' nikmatin ',' TPI ',' enjoyment ',' network ',' user ',' pa"&amp;"y ',' expensive ',' please ' , 'Increase', 'Quality', 'Network', 'Move', 'Network', 'User', '']")</f>
        <v>['Honest', 'comfortable', 'really', 'indiehome', 'already', 'subscription', 'until', 'since' home ',' make ',' indiehome ',' the network ',' slow ',' bnget ',' please ',' jngan ',' fortunately ',' nikmatin ',' TPI ',' enjoyment ',' network ',' user ',' pay ',' expensive ',' please ' , 'Increase', 'Quality', 'Network', 'Move', 'Network', 'User', '']</v>
      </c>
      <c r="D2457" s="3">
        <v>2.0</v>
      </c>
    </row>
    <row r="2458" ht="15.75" customHeight="1">
      <c r="A2458" s="1">
        <v>2581.0</v>
      </c>
      <c r="B2458" s="3" t="s">
        <v>2404</v>
      </c>
      <c r="C2458" s="3" t="str">
        <f>IFERROR(__xludf.DUMMYFUNCTION("GOOGLETRANSLATE(B2458,""id"",""en"")"),"['Tcaakkeeppp']")</f>
        <v>['Tcaakkeeppp']</v>
      </c>
      <c r="D2458" s="3">
        <v>5.0</v>
      </c>
    </row>
    <row r="2459" ht="15.75" customHeight="1">
      <c r="A2459" s="1">
        <v>2582.0</v>
      </c>
      <c r="B2459" s="3" t="s">
        <v>2405</v>
      </c>
      <c r="C2459" s="3" t="str">
        <f>IFERROR(__xludf.DUMMYFUNCTION("GOOGLETRANSLATE(B2459,""id"",""en"")"),"['application', 'bug']")</f>
        <v>['application', 'bug']</v>
      </c>
      <c r="D2459" s="3">
        <v>1.0</v>
      </c>
    </row>
    <row r="2460" ht="15.75" customHeight="1">
      <c r="A2460" s="1">
        <v>2583.0</v>
      </c>
      <c r="B2460" s="3" t="s">
        <v>2406</v>
      </c>
      <c r="C2460" s="3" t="str">
        <f>IFERROR(__xludf.DUMMYFUNCTION("GOOGLETRANSLATE(B2460,""id"",""en"")"),"['', 'lazy', 'loves', 'product', 'product', 'country', '']")</f>
        <v>['', 'lazy', 'loves', 'product', 'product', 'country', '']</v>
      </c>
      <c r="D2460" s="3">
        <v>1.0</v>
      </c>
    </row>
    <row r="2461" ht="15.75" customHeight="1">
      <c r="A2461" s="1">
        <v>2584.0</v>
      </c>
      <c r="B2461" s="3" t="s">
        <v>2407</v>
      </c>
      <c r="C2461" s="3" t="str">
        <f>IFERROR(__xludf.DUMMYFUNCTION("GOOGLETRANSLATE(B2461,""id"",""en"")"),"['siip']")</f>
        <v>['siip']</v>
      </c>
      <c r="D2461" s="3">
        <v>5.0</v>
      </c>
    </row>
    <row r="2462" ht="15.75" customHeight="1">
      <c r="A2462" s="1">
        <v>2585.0</v>
      </c>
      <c r="B2462" s="3" t="s">
        <v>2408</v>
      </c>
      <c r="C2462" s="3" t="str">
        <f>IFERROR(__xludf.DUMMYFUNCTION("GOOGLETRANSLATE(B2462,""id"",""en"")"),"['repair']")</f>
        <v>['repair']</v>
      </c>
      <c r="D2462" s="3">
        <v>1.0</v>
      </c>
    </row>
    <row r="2463" ht="15.75" customHeight="1">
      <c r="A2463" s="1">
        <v>2587.0</v>
      </c>
      <c r="B2463" s="3" t="s">
        <v>2409</v>
      </c>
      <c r="C2463" s="3" t="str">
        <f>IFERROR(__xludf.DUMMYFUNCTION("GOOGLETRANSLATE(B2463,""id"",""en"")"),"['gimanasi', 'already', 'mbps', 'slow', 'indihome', 'at home']")</f>
        <v>['gimanasi', 'already', 'mbps', 'slow', 'indihome', 'at home']</v>
      </c>
      <c r="D2463" s="3">
        <v>1.0</v>
      </c>
    </row>
    <row r="2464" ht="15.75" customHeight="1">
      <c r="A2464" s="1">
        <v>2588.0</v>
      </c>
      <c r="B2464" s="3" t="s">
        <v>2410</v>
      </c>
      <c r="C2464" s="3" t="str">
        <f>IFERROR(__xludf.DUMMYFUNCTION("GOOGLETRANSLATE(B2464,""id"",""en"")"),"['Upgrade', 'Application', 'Troubled', 'Segini', 'Skill', 'Ability', 'Employee', 'Ovo', 'Fund', 'Fast', 'Eye', 'Catching', ' Responsive ',' Please ',' Change ',' Drastic ',' Ability ',' BUMN ',' Valued ']")</f>
        <v>['Upgrade', 'Application', 'Troubled', 'Segini', 'Skill', 'Ability', 'Employee', 'Ovo', 'Fund', 'Fast', 'Eye', 'Catching', ' Responsive ',' Please ',' Change ',' Drastic ',' Ability ',' BUMN ',' Valued ']</v>
      </c>
      <c r="D2464" s="3">
        <v>1.0</v>
      </c>
    </row>
    <row r="2465" ht="15.75" customHeight="1">
      <c r="A2465" s="1">
        <v>2589.0</v>
      </c>
      <c r="B2465" s="3" t="s">
        <v>2411</v>
      </c>
      <c r="C2465" s="3" t="str">
        <f>IFERROR(__xludf.DUMMYFUNCTION("GOOGLETRANSLATE(B2465,""id"",""en"")"),"['Indihome', 'ganguan', 'cable', 'break up', 'Alesan', 'eaten', 'mouse', 'mulu', 'please', 'service', 'free', 'pulses',' Complaints', 'a month', 'ganguan', 'hrs',' telephone ',' hit ',' pulse ',' hbis', 'rb', 'telephone', 'sdngkan', 'via', 'email' , 'LAMQ"&amp;"', 'responded', 'provider', 'expensive', 'faiders',' fall ',' tempo ',' date ',' network ',' directly ',' turn it off ',' get ',' fines', 'HRS', 'getting', 'fine', 'fine', 'Didupus',' Anyway ',' Severe ',' Indihome ',' Mending ',' Tide ',' Byk ',' Murh ' "&amp;"]")</f>
        <v>['Indihome', 'ganguan', 'cable', 'break up', 'Alesan', 'eaten', 'mouse', 'mulu', 'please', 'service', 'free', 'pulses',' Complaints', 'a month', 'ganguan', 'hrs',' telephone ',' hit ',' pulse ',' hbis', 'rb', 'telephone', 'sdngkan', 'via', 'email' , 'LAMQ', 'responded', 'provider', 'expensive', 'faiders',' fall ',' tempo ',' date ',' network ',' directly ',' turn it off ',' get ',' fines', 'HRS', 'getting', 'fine', 'fine', 'Didupus',' Anyway ',' Severe ',' Indihome ',' Mending ',' Tide ',' Byk ',' Murh ' ]</v>
      </c>
      <c r="D2465" s="3">
        <v>1.0</v>
      </c>
    </row>
    <row r="2466" ht="15.75" customHeight="1">
      <c r="A2466" s="1">
        <v>2590.0</v>
      </c>
      <c r="B2466" s="3" t="s">
        <v>2412</v>
      </c>
      <c r="C2466" s="3" t="str">
        <f>IFERROR(__xludf.DUMMYFUNCTION("GOOGLETRANSLATE(B2466,""id"",""en"")"),"['Internet', 'slow', 'speed', 'Ajah', 'according to', 'hope', 'according to', 'request', 'MNTA', 'MB', 'SPEDTES', 'MB', ' Customers', 'suits',' requests', 'suar', 'hrs',' TPT ',' late ',' dates', 'internet', 'get', 'fine', 'mmng', 'people' , 'SLLU', 'Lost"&amp;"']")</f>
        <v>['Internet', 'slow', 'speed', 'Ajah', 'according to', 'hope', 'according to', 'request', 'MNTA', 'MB', 'SPEDTES', 'MB', ' Customers', 'suits',' requests', 'suar', 'hrs',' TPT ',' late ',' dates', 'internet', 'get', 'fine', 'mmng', 'people' , 'SLLU', 'Lost']</v>
      </c>
      <c r="D2466" s="3">
        <v>1.0</v>
      </c>
    </row>
    <row r="2467" ht="15.75" customHeight="1">
      <c r="A2467" s="1">
        <v>2591.0</v>
      </c>
      <c r="B2467" s="3" t="s">
        <v>2413</v>
      </c>
      <c r="C2467" s="3" t="str">
        <f>IFERROR(__xludf.DUMMYFUNCTION("GOOGLETRANSLATE(B2467,""id"",""en"")"),"['application', 'garbage', 'enter', 'really']")</f>
        <v>['application', 'garbage', 'enter', 'really']</v>
      </c>
      <c r="D2467" s="3">
        <v>1.0</v>
      </c>
    </row>
    <row r="2468" ht="15.75" customHeight="1">
      <c r="A2468" s="1">
        <v>2592.0</v>
      </c>
      <c r="B2468" s="3" t="s">
        <v>2414</v>
      </c>
      <c r="C2468" s="3" t="str">
        <f>IFERROR(__xludf.DUMMYFUNCTION("GOOGLETRANSLATE(B2468,""id"",""en"")"),"['', 'Login', 'Indihome', 'Myindihome', 'Msak', 'Number', 'UDH', 'Ketara', 'Registered', 'Profile', 'Beraba', 'High School', 'System ',' APP ',' Hadehh ',' gmna ']")</f>
        <v>['', 'Login', 'Indihome', 'Myindihome', 'Msak', 'Number', 'UDH', 'Ketara', 'Registered', 'Profile', 'Beraba', 'High School', 'System ',' APP ',' Hadehh ',' gmna ']</v>
      </c>
      <c r="D2468" s="3">
        <v>1.0</v>
      </c>
    </row>
    <row r="2469" ht="15.75" customHeight="1">
      <c r="A2469" s="1">
        <v>2593.0</v>
      </c>
      <c r="B2469" s="3" t="s">
        <v>2415</v>
      </c>
      <c r="C2469" s="3" t="str">
        <f>IFERROR(__xludf.DUMMYFUNCTION("GOOGLETRANSLATE(B2469,""id"",""en"")"),"['Disappointed', 'See', 'Network', 'Telkom', 'Caikata', 'Region', 'Already', 'Network', 'Internet', 'Move', 'Indihome', ""]")</f>
        <v>['Disappointed', 'See', 'Network', 'Telkom', 'Caikata', 'Region', 'Already', 'Network', 'Internet', 'Move', 'Indihome', "]</v>
      </c>
      <c r="D2469" s="3">
        <v>1.0</v>
      </c>
    </row>
    <row r="2470" ht="15.75" customHeight="1">
      <c r="A2470" s="1">
        <v>2594.0</v>
      </c>
      <c r="B2470" s="3" t="s">
        <v>2416</v>
      </c>
      <c r="C2470" s="3" t="str">
        <f>IFERROR(__xludf.DUMMYFUNCTION("GOOGLETRANSLATE(B2470,""id"",""en"")"),"['update', 'slow', 'application', 'Please', 'repaired', 'trims']")</f>
        <v>['update', 'slow', 'application', 'Please', 'repaired', 'trims']</v>
      </c>
      <c r="D2470" s="3">
        <v>1.0</v>
      </c>
    </row>
    <row r="2471" ht="15.75" customHeight="1">
      <c r="A2471" s="1">
        <v>2595.0</v>
      </c>
      <c r="B2471" s="3" t="s">
        <v>2417</v>
      </c>
      <c r="C2471" s="3" t="str">
        <f>IFERROR(__xludf.DUMMYFUNCTION("GOOGLETRANSLATE(B2471,""id"",""en"")"),"['Network', 'bad', 'service', 'disorder', 'application', 'handy']")</f>
        <v>['Network', 'bad', 'service', 'disorder', 'application', 'handy']</v>
      </c>
      <c r="D2471" s="3">
        <v>1.0</v>
      </c>
    </row>
    <row r="2472" ht="15.75" customHeight="1">
      <c r="A2472" s="1">
        <v>2596.0</v>
      </c>
      <c r="B2472" s="3" t="s">
        <v>2418</v>
      </c>
      <c r="C2472" s="3" t="str">
        <f>IFERROR(__xludf.DUMMYFUNCTION("GOOGLETRANSLATE(B2472,""id"",""en"")"),"['Please', 'repaired', 'made easier', 'enter', 'the application', 'how', 'enter', 'difficult', 'complicated', ""]")</f>
        <v>['Please', 'repaired', 'made easier', 'enter', 'the application', 'how', 'enter', 'difficult', 'complicated', "]</v>
      </c>
      <c r="D2472" s="3">
        <v>1.0</v>
      </c>
    </row>
    <row r="2473" ht="15.75" customHeight="1">
      <c r="A2473" s="1">
        <v>2597.0</v>
      </c>
      <c r="B2473" s="3" t="s">
        <v>2419</v>
      </c>
      <c r="C2473" s="3" t="str">
        <f>IFERROR(__xludf.DUMMYFUNCTION("GOOGLETRANSLATE(B2473,""id"",""en"")"),"['wadahhh', 'severe', 'really', 'apk', 'login', 'hard', 'forgiveness', 'easy', 'difficult', '']")</f>
        <v>['wadahhh', 'severe', 'really', 'apk', 'login', 'hard', 'forgiveness', 'easy', 'difficult', '']</v>
      </c>
      <c r="D2473" s="3">
        <v>1.0</v>
      </c>
    </row>
    <row r="2474" ht="15.75" customHeight="1">
      <c r="A2474" s="1">
        <v>2598.0</v>
      </c>
      <c r="B2474" s="3" t="s">
        <v>2420</v>
      </c>
      <c r="C2474" s="3" t="str">
        <f>IFERROR(__xludf.DUMMYFUNCTION("GOOGLETRANSLATE(B2474,""id"",""en"")"),"['application', 'garbage', 'updated', 'login', 'reset', 'times', 'thank', 'love', 'myindihome']")</f>
        <v>['application', 'garbage', 'updated', 'login', 'reset', 'times', 'thank', 'love', 'myindihome']</v>
      </c>
      <c r="D2474" s="3">
        <v>1.0</v>
      </c>
    </row>
    <row r="2475" ht="15.75" customHeight="1">
      <c r="A2475" s="1">
        <v>2599.0</v>
      </c>
      <c r="B2475" s="3" t="s">
        <v>2421</v>
      </c>
      <c r="C2475" s="3" t="str">
        <f>IFERROR(__xludf.DUMMYFUNCTION("GOOGLETRANSLATE(B2475,""id"",""en"")"),"['Application', 'Gaguna', '']")</f>
        <v>['Application', 'Gaguna', '']</v>
      </c>
      <c r="D2475" s="3">
        <v>1.0</v>
      </c>
    </row>
    <row r="2476" ht="15.75" customHeight="1">
      <c r="A2476" s="1">
        <v>2600.0</v>
      </c>
      <c r="B2476" s="3" t="s">
        <v>2422</v>
      </c>
      <c r="C2476" s="3" t="str">
        <f>IFERROR(__xludf.DUMMYFUNCTION("GOOGLETRANSLATE(B2476,""id"",""en"")"),"['Capedeh', 'appears', 'color', 'red', 'disorder', 'keep', 'yaa', '']")</f>
        <v>['Capedeh', 'appears', 'color', 'red', 'disorder', 'keep', 'yaa', '']</v>
      </c>
      <c r="D2476" s="3">
        <v>1.0</v>
      </c>
    </row>
    <row r="2477" ht="15.75" customHeight="1">
      <c r="A2477" s="1">
        <v>2601.0</v>
      </c>
      <c r="B2477" s="3" t="s">
        <v>2423</v>
      </c>
      <c r="C2477" s="3" t="str">
        <f>IFERROR(__xludf.DUMMYFUNCTION("GOOGLETRANSLATE(B2477,""id"",""en"")"),"['update', 'the application', 'opened', 'difficult', 'super', 'slow']")</f>
        <v>['update', 'the application', 'opened', 'difficult', 'super', 'slow']</v>
      </c>
      <c r="D2477" s="3">
        <v>1.0</v>
      </c>
    </row>
    <row r="2478" ht="15.75" customHeight="1">
      <c r="A2478" s="1">
        <v>2602.0</v>
      </c>
      <c r="B2478" s="3" t="s">
        <v>2424</v>
      </c>
      <c r="C2478" s="3" t="str">
        <f>IFERROR(__xludf.DUMMYFUNCTION("GOOGLETRANSLATE(B2478,""id"",""en"")"),"['Login', 'difficult']")</f>
        <v>['Login', 'difficult']</v>
      </c>
      <c r="D2478" s="3">
        <v>1.0</v>
      </c>
    </row>
    <row r="2479" ht="15.75" customHeight="1">
      <c r="A2479" s="1">
        <v>2603.0</v>
      </c>
      <c r="B2479" s="3" t="s">
        <v>2425</v>
      </c>
      <c r="C2479" s="3" t="str">
        <f>IFERROR(__xludf.DUMMYFUNCTION("GOOGLETRANSLATE(B2479,""id"",""en"")"),"['How', 'Login', 'Kgak', '']")</f>
        <v>['How', 'Login', 'Kgak', '']</v>
      </c>
      <c r="D2479" s="3">
        <v>1.0</v>
      </c>
    </row>
    <row r="2480" ht="15.75" customHeight="1">
      <c r="A2480" s="1">
        <v>2604.0</v>
      </c>
      <c r="B2480" s="3" t="s">
        <v>2426</v>
      </c>
      <c r="C2480" s="3" t="str">
        <f>IFERROR(__xludf.DUMMYFUNCTION("GOOGLETRANSLATE(B2480,""id"",""en"")"),"['crazy', 'oath', 'update', 'application', 'heavy', 'really', 'RAM', 'drop', 'fps', '']")</f>
        <v>['crazy', 'oath', 'update', 'application', 'heavy', 'really', 'RAM', 'drop', 'fps', '']</v>
      </c>
      <c r="D2480" s="3">
        <v>1.0</v>
      </c>
    </row>
    <row r="2481" ht="15.75" customHeight="1">
      <c r="A2481" s="1">
        <v>2605.0</v>
      </c>
      <c r="B2481" s="3" t="s">
        <v>2427</v>
      </c>
      <c r="C2481" s="3" t="str">
        <f>IFERROR(__xludf.DUMMYFUNCTION("GOOGLETRANSLATE(B2481,""id"",""en"")"),"['Class', 'Telkom', 'Application', 'Rich', 'Gini', 'Center', 'Complaint', 'Ngadu', 'Writing', 'Improved', 'Quality', 'Forgiveness']")</f>
        <v>['Class', 'Telkom', 'Application', 'Rich', 'Gini', 'Center', 'Complaint', 'Ngadu', 'Writing', 'Improved', 'Quality', 'Forgiveness']</v>
      </c>
      <c r="D2481" s="3">
        <v>1.0</v>
      </c>
    </row>
    <row r="2482" ht="15.75" customHeight="1">
      <c r="A2482" s="1">
        <v>2606.0</v>
      </c>
      <c r="B2482" s="3" t="s">
        <v>2428</v>
      </c>
      <c r="C2482" s="3" t="str">
        <f>IFERROR(__xludf.DUMMYFUNCTION("GOOGLETRANSLATE(B2482,""id"",""en"")"),"['Application', 'silent', 'entered', 'doang', 'run out', 'jammed', 'total', '']")</f>
        <v>['Application', 'silent', 'entered', 'doang', 'run out', 'jammed', 'total', '']</v>
      </c>
      <c r="D2482" s="3">
        <v>4.0</v>
      </c>
    </row>
    <row r="2483" ht="15.75" customHeight="1">
      <c r="A2483" s="1">
        <v>2607.0</v>
      </c>
      <c r="B2483" s="3" t="s">
        <v>2429</v>
      </c>
      <c r="C2483" s="3" t="str">
        <f>IFERROR(__xludf.DUMMYFUNCTION("GOOGLETRANSLATE(B2483,""id"",""en"")"),"['Please', 'Indihome', 'Paying', 'Jarangn', 'Ngk', 'As', 'Pay', 'Please', 'Indihome', 'Dragus', 'Network', 'Thank you']")</f>
        <v>['Please', 'Indihome', 'Paying', 'Jarangn', 'Ngk', 'As', 'Pay', 'Please', 'Indihome', 'Dragus', 'Network', 'Thank you']</v>
      </c>
      <c r="D2483" s="3">
        <v>1.0</v>
      </c>
    </row>
    <row r="2484" ht="15.75" customHeight="1">
      <c r="A2484" s="1">
        <v>2608.0</v>
      </c>
      <c r="B2484" s="3" t="s">
        <v>2430</v>
      </c>
      <c r="C2484" s="3" t="str">
        <f>IFERROR(__xludf.DUMMYFUNCTION("GOOGLETRANSLATE(B2484,""id"",""en"")"),"['Hallo', 'Indihome', 'update', 'difficult', 'entered', 'Please', 'fixed', 'the application']")</f>
        <v>['Hallo', 'Indihome', 'update', 'difficult', 'entered', 'Please', 'fixed', 'the application']</v>
      </c>
      <c r="D2484" s="3">
        <v>1.0</v>
      </c>
    </row>
    <row r="2485" ht="15.75" customHeight="1">
      <c r="A2485" s="1">
        <v>2609.0</v>
      </c>
      <c r="B2485" s="3" t="s">
        <v>2431</v>
      </c>
      <c r="C2485" s="3" t="str">
        <f>IFERROR(__xludf.DUMMYFUNCTION("GOOGLETRANSLATE(B2485,""id"",""en"")"),"['GMNA', 'BSA', 'Hubungkn', 'Internet']")</f>
        <v>['GMNA', 'BSA', 'Hubungkn', 'Internet']</v>
      </c>
      <c r="D2485" s="3">
        <v>1.0</v>
      </c>
    </row>
    <row r="2486" ht="15.75" customHeight="1">
      <c r="A2486" s="1">
        <v>2610.0</v>
      </c>
      <c r="B2486" s="3" t="s">
        <v>2432</v>
      </c>
      <c r="C2486" s="3" t="str">
        <f>IFERROR(__xludf.DUMMYFUNCTION("GOOGLETRANSLATE(B2486,""id"",""en"")"),"['disappointed', '']")</f>
        <v>['disappointed', '']</v>
      </c>
      <c r="D2486" s="3">
        <v>1.0</v>
      </c>
    </row>
    <row r="2487" ht="15.75" customHeight="1">
      <c r="A2487" s="1">
        <v>2611.0</v>
      </c>
      <c r="B2487" s="3" t="s">
        <v>2433</v>
      </c>
      <c r="C2487" s="3" t="str">
        <f>IFERROR(__xludf.DUMMYFUNCTION("GOOGLETRANSLATE(B2487,""id"",""en"")"),"['application', '']")</f>
        <v>['application', '']</v>
      </c>
      <c r="D2487" s="3">
        <v>1.0</v>
      </c>
    </row>
    <row r="2488" ht="15.75" customHeight="1">
      <c r="A2488" s="1">
        <v>2613.0</v>
      </c>
      <c r="B2488" s="3" t="s">
        <v>2434</v>
      </c>
      <c r="C2488" s="3" t="str">
        <f>IFERROR(__xludf.DUMMYFUNCTION("GOOGLETRANSLATE(B2488,""id"",""en"")"),"['Failed', 'Login', 'Failed', 'Failed', 'Failed', 'Failed', 'Code', 'OTP', 'Gara', 'Gara', 'Gabisa', ' Enter ',' Code ',' OTP ',' Ajja ',' Gaada ',' Enter ',' Mantap ',' Indihomo ']")</f>
        <v>['Failed', 'Login', 'Failed', 'Failed', 'Failed', 'Failed', 'Code', 'OTP', 'Gara', 'Gara', 'Gabisa', ' Enter ',' Code ',' OTP ',' Ajja ',' Gaada ',' Enter ',' Mantap ',' Indihomo ']</v>
      </c>
      <c r="D2488" s="3">
        <v>1.0</v>
      </c>
    </row>
    <row r="2489" ht="15.75" customHeight="1">
      <c r="A2489" s="1">
        <v>2614.0</v>
      </c>
      <c r="B2489" s="3" t="s">
        <v>2435</v>
      </c>
      <c r="C2489" s="3" t="str">
        <f>IFERROR(__xludf.DUMMYFUNCTION("GOOGLETRANSLATE(B2489,""id"",""en"")"),"['Update', 'Features', 'Use', 'Application', 'Different', 'Features', 'Lemot', 'Open', 'Menu', 'Menu', ""]")</f>
        <v>['Update', 'Features', 'Use', 'Application', 'Different', 'Features', 'Lemot', 'Open', 'Menu', 'Menu', "]</v>
      </c>
      <c r="D2489" s="3">
        <v>1.0</v>
      </c>
    </row>
    <row r="2490" ht="15.75" customHeight="1">
      <c r="A2490" s="1">
        <v>2615.0</v>
      </c>
      <c r="B2490" s="3" t="s">
        <v>2436</v>
      </c>
      <c r="C2490" s="3" t="str">
        <f>IFERROR(__xludf.DUMMYFUNCTION("GOOGLETRANSLATE(B2490,""id"",""en"")"),"['add', 'speed', 'internet', 'approval', 'consumers',' bills', 'add', 'pdhl', 'speed', 'complain', 'response', 'bad', ' disappointing', '']")</f>
        <v>['add', 'speed', 'internet', 'approval', 'consumers',' bills', 'add', 'pdhl', 'speed', 'complain', 'response', 'bad', ' disappointing', '']</v>
      </c>
      <c r="D2490" s="3">
        <v>1.0</v>
      </c>
    </row>
    <row r="2491" ht="15.75" customHeight="1">
      <c r="A2491" s="1">
        <v>2616.0</v>
      </c>
      <c r="B2491" s="3" t="s">
        <v>2437</v>
      </c>
      <c r="C2491" s="3" t="str">
        <f>IFERROR(__xludf.DUMMYFUNCTION("GOOGLETRANSLATE(B2491,""id"",""en"")"),"['update', 'tmbh', 'enter', 'strange', 'bin', 'magical']")</f>
        <v>['update', 'tmbh', 'enter', 'strange', 'bin', 'magical']</v>
      </c>
      <c r="D2491" s="3">
        <v>1.0</v>
      </c>
    </row>
    <row r="2492" ht="15.75" customHeight="1">
      <c r="A2492" s="1">
        <v>2617.0</v>
      </c>
      <c r="B2492" s="3" t="s">
        <v>2438</v>
      </c>
      <c r="C2492" s="3" t="str">
        <f>IFERROR(__xludf.DUMMYFUNCTION("GOOGLETRANSLATE(B2492,""id"",""en"")"),"['Ornament', 'complaint', 'APK', '']")</f>
        <v>['Ornament', 'complaint', 'APK', '']</v>
      </c>
      <c r="D2492" s="3">
        <v>1.0</v>
      </c>
    </row>
    <row r="2493" ht="15.75" customHeight="1">
      <c r="A2493" s="1">
        <v>2618.0</v>
      </c>
      <c r="B2493" s="3" t="s">
        <v>2439</v>
      </c>
      <c r="C2493" s="3" t="str">
        <f>IFERROR(__xludf.DUMMYFUNCTION("GOOGLETRANSLATE(B2493,""id"",""en"")"),"['APK', 'ugly', 'chaotic']")</f>
        <v>['APK', 'ugly', 'chaotic']</v>
      </c>
      <c r="D2493" s="3">
        <v>1.0</v>
      </c>
    </row>
    <row r="2494" ht="15.75" customHeight="1">
      <c r="A2494" s="1">
        <v>2619.0</v>
      </c>
      <c r="B2494" s="3" t="s">
        <v>2440</v>
      </c>
      <c r="C2494" s="3" t="str">
        <f>IFERROR(__xludf.DUMMYFUNCTION("GOOGLETRANSLATE(B2494,""id"",""en"")"),"['work on', 'report', 'Do it', 'trimakasih']")</f>
        <v>['work on', 'report', 'Do it', 'trimakasih']</v>
      </c>
      <c r="D2494" s="3">
        <v>5.0</v>
      </c>
    </row>
    <row r="2495" ht="15.75" customHeight="1">
      <c r="A2495" s="1">
        <v>2620.0</v>
      </c>
      <c r="B2495" s="3" t="s">
        <v>2441</v>
      </c>
      <c r="C2495" s="3" t="str">
        <f>IFERROR(__xludf.DUMMYFUNCTION("GOOGLETRANSLATE(B2495,""id"",""en"")"),"['gmna', 'update', 'difficult', 'login', 'enter', 'nombr', 'oake', 'password', 'email', 'difficult', 'gmna', 'please', ' mah ',' fix ']")</f>
        <v>['gmna', 'update', 'difficult', 'login', 'enter', 'nombr', 'oake', 'password', 'email', 'difficult', 'gmna', 'please', ' mah ',' fix ']</v>
      </c>
      <c r="D2495" s="3">
        <v>1.0</v>
      </c>
    </row>
    <row r="2496" ht="15.75" customHeight="1">
      <c r="A2496" s="1">
        <v>2621.0</v>
      </c>
      <c r="B2496" s="3" t="s">
        <v>2442</v>
      </c>
      <c r="C2496" s="3" t="str">
        <f>IFERROR(__xludf.DUMMYFUNCTION("GOOGLETRANSLATE(B2496,""id"",""en"")"),"['complement', 'bills',' servant ',' November ',' smpai ',' skrg ',' blm ',' response ',' isoir ',' tgih ',' full ',' phone ',' GDA ',' Confirm ',' PDAH ',' Sya ',' proof ',' History ',' TLPN ']")</f>
        <v>['complement', 'bills',' servant ',' November ',' smpai ',' skrg ',' blm ',' response ',' isoir ',' tgih ',' full ',' phone ',' GDA ',' Confirm ',' PDAH ',' Sya ',' proof ',' History ',' TLPN ']</v>
      </c>
      <c r="D2496" s="3">
        <v>1.0</v>
      </c>
    </row>
    <row r="2497" ht="15.75" customHeight="1">
      <c r="A2497" s="1">
        <v>2622.0</v>
      </c>
      <c r="B2497" s="3" t="s">
        <v>2443</v>
      </c>
      <c r="C2497" s="3" t="str">
        <f>IFERROR(__xludf.DUMMYFUNCTION("GOOGLETRANSLATE(B2497,""id"",""en"")"),"['application', 'slow', 'kirain', 'signal', 'apply', ""]")</f>
        <v>['application', 'slow', 'kirain', 'signal', 'apply', "]</v>
      </c>
      <c r="D2497" s="3">
        <v>1.0</v>
      </c>
    </row>
    <row r="2498" ht="15.75" customHeight="1">
      <c r="A2498" s="1">
        <v>2623.0</v>
      </c>
      <c r="B2498" s="3" t="s">
        <v>2444</v>
      </c>
      <c r="C2498" s="3" t="str">
        <f>IFERROR(__xludf.DUMMYFUNCTION("GOOGLETRANSLATE(B2498,""id"",""en"")"),"['update', 'account', 'logging out', 'login', 'description', 'number', 'belom', 'registered', 'try', 'login', 'make', 'email', ' Loading ',' Doang ',' Try ',' Register ',' Account ',' Tetep ',' Loading ',' Already ',' Uninstall ',' Install ',' Tetep ',' O"&amp;"ath ',' Pulp ' , 'really', 'devnya', 'ngacacoooo']")</f>
        <v>['update', 'account', 'logging out', 'login', 'description', 'number', 'belom', 'registered', 'try', 'login', 'make', 'email', ' Loading ',' Doang ',' Try ',' Register ',' Account ',' Tetep ',' Loading ',' Already ',' Uninstall ',' Install ',' Tetep ',' Oath ',' Pulp ' , 'really', 'devnya', 'ngacacoooo']</v>
      </c>
      <c r="D2498" s="3">
        <v>1.0</v>
      </c>
    </row>
    <row r="2499" ht="15.75" customHeight="1">
      <c r="A2499" s="1">
        <v>2624.0</v>
      </c>
      <c r="B2499" s="3" t="s">
        <v>2445</v>
      </c>
      <c r="C2499" s="3" t="str">
        <f>IFERROR(__xludf.DUMMYFUNCTION("GOOGLETRANSLATE(B2499,""id"",""en"")"),"['Application', 'Sampaah', 'no']")</f>
        <v>['Application', 'Sampaah', 'no']</v>
      </c>
      <c r="D2499" s="3">
        <v>1.0</v>
      </c>
    </row>
    <row r="2500" ht="15.75" customHeight="1">
      <c r="A2500" s="1">
        <v>2625.0</v>
      </c>
      <c r="B2500" s="3" t="s">
        <v>2446</v>
      </c>
      <c r="C2500" s="3" t="str">
        <f>IFERROR(__xludf.DUMMYFUNCTION("GOOGLETRANSLATE(B2500,""id"",""en"")"),"['Application', 'rotten', 'update', 'slow', 'kek', 'conch']")</f>
        <v>['Application', 'rotten', 'update', 'slow', 'kek', 'conch']</v>
      </c>
      <c r="D2500" s="3">
        <v>1.0</v>
      </c>
    </row>
    <row r="2501" ht="15.75" customHeight="1">
      <c r="A2501" s="1">
        <v>2626.0</v>
      </c>
      <c r="B2501" s="3" t="s">
        <v>2447</v>
      </c>
      <c r="C2501" s="3" t="str">
        <f>IFERROR(__xludf.DUMMYFUNCTION("GOOGLETRANSLATE(B2501,""id"",""en"")"),"['Forgiveness', 'Application', 'Login', 'Update', 'Data', 'Login', 'Sorry', 'Service', 'Increase', 'Increase', 'What', '']")</f>
        <v>['Forgiveness', 'Application', 'Login', 'Update', 'Data', 'Login', 'Sorry', 'Service', 'Increase', 'Increase', 'What', '']</v>
      </c>
      <c r="D2501" s="3">
        <v>1.0</v>
      </c>
    </row>
    <row r="2502" ht="15.75" customHeight="1">
      <c r="A2502" s="1">
        <v>2627.0</v>
      </c>
      <c r="B2502" s="3" t="s">
        <v>2448</v>
      </c>
      <c r="C2502" s="3" t="str">
        <f>IFERROR(__xludf.DUMMYFUNCTION("GOOGLETRANSLATE(B2502,""id"",""en"")"),"['difficult', 'Bangat', 'usage', 'version', 'the latest', 'Nggk', 'comfortable', 'really', 'boring', 'Person', 'disappointedaaaaaaaaaaaaaaaaaaaaaaaaaaaaaaaaaaaaaaaaaaaaaaaaaaaa")</f>
        <v>['difficult', 'Bangat', 'usage', 'version', 'the latest', 'Nggk', 'comfortable', 'really', 'boring', 'Person', 'disappointedaaaaaaaaaaaaaaaaaaaaaaaaaaaaaaaaaaaaaaaaaaaaaaaaaaaa</v>
      </c>
      <c r="D2502" s="3">
        <v>2.0</v>
      </c>
    </row>
    <row r="2503" ht="15.75" customHeight="1">
      <c r="A2503" s="1">
        <v>2628.0</v>
      </c>
      <c r="B2503" s="3" t="s">
        <v>2449</v>
      </c>
      <c r="C2503" s="3" t="str">
        <f>IFERROR(__xludf.DUMMYFUNCTION("GOOGLETRANSLATE(B2503,""id"",""en"")"),"['Application', 'updated', 'good', 'bug', 'disorder', 'Sintang', 'kalbar', 'compensation', 'flood', 'Handehh']")</f>
        <v>['Application', 'updated', 'good', 'bug', 'disorder', 'Sintang', 'kalbar', 'compensation', 'flood', 'Handehh']</v>
      </c>
      <c r="D2503" s="3">
        <v>1.0</v>
      </c>
    </row>
    <row r="2504" ht="15.75" customHeight="1">
      <c r="A2504" s="1">
        <v>2629.0</v>
      </c>
      <c r="B2504" s="3" t="s">
        <v>2450</v>
      </c>
      <c r="C2504" s="3" t="str">
        <f>IFERROR(__xludf.DUMMYFUNCTION("GOOGLETRANSLATE(B2504,""id"",""en"")"),"['Service', 'Service', 'Satisfied', 'Disruption', 'Mitigation', 'Disappointed']")</f>
        <v>['Service', 'Service', 'Satisfied', 'Disruption', 'Mitigation', 'Disappointed']</v>
      </c>
      <c r="D2504" s="3">
        <v>1.0</v>
      </c>
    </row>
    <row r="2505" ht="15.75" customHeight="1">
      <c r="A2505" s="1">
        <v>2630.0</v>
      </c>
      <c r="B2505" s="3" t="s">
        <v>2451</v>
      </c>
      <c r="C2505" s="3" t="str">
        <f>IFERROR(__xludf.DUMMYFUNCTION("GOOGLETRANSLATE(B2505,""id"",""en"")"),"['difficult', 'log', 'update', 'sersru', 'if', 'money', 'state', 'money', 'tax', 'people', 'honest', 'BUMN', ' Officials', 'Quality', 'Telkom', 'Kek', 'Gini', ""]")</f>
        <v>['difficult', 'log', 'update', 'sersru', 'if', 'money', 'state', 'money', 'tax', 'people', 'honest', 'BUMN', ' Officials', 'Quality', 'Telkom', 'Kek', 'Gini', "]</v>
      </c>
      <c r="D2505" s="3">
        <v>1.0</v>
      </c>
    </row>
    <row r="2506" ht="15.75" customHeight="1">
      <c r="A2506" s="1">
        <v>2631.0</v>
      </c>
      <c r="B2506" s="3" t="s">
        <v>2452</v>
      </c>
      <c r="C2506" s="3" t="str">
        <f>IFERROR(__xludf.DUMMYFUNCTION("GOOGLETRANSLATE(B2506,""id"",""en"")"),"['Since', 'Update', 'Gabisa', 'Login']")</f>
        <v>['Since', 'Update', 'Gabisa', 'Login']</v>
      </c>
      <c r="D2506" s="3">
        <v>1.0</v>
      </c>
    </row>
    <row r="2507" ht="15.75" customHeight="1">
      <c r="A2507" s="1">
        <v>2632.0</v>
      </c>
      <c r="B2507" s="3" t="s">
        <v>2453</v>
      </c>
      <c r="C2507" s="3" t="str">
        <f>IFERROR(__xludf.DUMMYFUNCTION("GOOGLETRANSLATE(B2507,""id"",""en"")"),"['application', 'since', 'update', 'difficult', 'login']")</f>
        <v>['application', 'since', 'update', 'difficult', 'login']</v>
      </c>
      <c r="D2507" s="3">
        <v>1.0</v>
      </c>
    </row>
    <row r="2508" ht="15.75" customHeight="1">
      <c r="A2508" s="1">
        <v>2633.0</v>
      </c>
      <c r="B2508" s="3" t="s">
        <v>2454</v>
      </c>
      <c r="C2508" s="3" t="str">
        <f>IFERROR(__xludf.DUMMYFUNCTION("GOOGLETRANSLATE(B2508,""id"",""en"")"),"['application', 'the latest', 'ngak', 'login', 'said', 'registered', '']")</f>
        <v>['application', 'the latest', 'ngak', 'login', 'said', 'registered', '']</v>
      </c>
      <c r="D2508" s="3">
        <v>1.0</v>
      </c>
    </row>
    <row r="2509" ht="15.75" customHeight="1">
      <c r="A2509" s="1">
        <v>2634.0</v>
      </c>
      <c r="B2509" s="3" t="s">
        <v>2455</v>
      </c>
      <c r="C2509" s="3" t="str">
        <f>IFERROR(__xludf.DUMMYFUNCTION("GOOGLETRANSLATE(B2509,""id"",""en"")"),"['FUP', 'Mending', 'Application', '']")</f>
        <v>['FUP', 'Mending', 'Application', '']</v>
      </c>
      <c r="D2509" s="3">
        <v>2.0</v>
      </c>
    </row>
    <row r="2510" ht="15.75" customHeight="1">
      <c r="A2510" s="1">
        <v>2636.0</v>
      </c>
      <c r="B2510" s="3" t="s">
        <v>2456</v>
      </c>
      <c r="C2510" s="3" t="str">
        <f>IFERROR(__xludf.DUMMYFUNCTION("GOOGLETRANSLATE(B2510,""id"",""en"")"),"['Application', 'Myindihome', 'Weighs',' Mnta ',' Forgiveness', 'Update', 'RAM', 'ROM', 'Masi', 'Lega', 'Nge', 'Bug', ' please ',' repaired ',' Cape ',' wait for ',' ']")</f>
        <v>['Application', 'Myindihome', 'Weighs',' Mnta ',' Forgiveness', 'Update', 'RAM', 'ROM', 'Masi', 'Lega', 'Nge', 'Bug', ' please ',' repaired ',' Cape ',' wait for ',' ']</v>
      </c>
      <c r="D2510" s="3">
        <v>2.0</v>
      </c>
    </row>
    <row r="2511" ht="15.75" customHeight="1">
      <c r="A2511" s="1">
        <v>2637.0</v>
      </c>
      <c r="B2511" s="3" t="s">
        <v>2457</v>
      </c>
      <c r="C2511" s="3" t="str">
        <f>IFERROR(__xludf.DUMMYFUNCTION("GOOGLETRANSLATE(B2511,""id"",""en"")"),"['oiiii', 'telkom', 'application', 'slow', 'complaint', 'no', '']")</f>
        <v>['oiiii', 'telkom', 'application', 'slow', 'complaint', 'no', '']</v>
      </c>
      <c r="D2511" s="3">
        <v>1.0</v>
      </c>
    </row>
    <row r="2512" ht="15.75" customHeight="1">
      <c r="A2512" s="1">
        <v>2638.0</v>
      </c>
      <c r="B2512" s="3" t="s">
        <v>2458</v>
      </c>
      <c r="C2512" s="3" t="str">
        <f>IFERROR(__xludf.DUMMYFUNCTION("GOOGLETRANSLATE(B2512,""id"",""en"")"),"['Playnan', 'satisfying', 'Sharus',' tlpnn ',' then ',' miss', 'plsa', 'tlpn', 'blik', 'dongg', 'finished', 'thousand', ' Hazilnya ',' Zong ',' Man ',' internet ',' Los', 'Red', 'then']")</f>
        <v>['Playnan', 'satisfying', 'Sharus',' tlpnn ',' then ',' miss', 'plsa', 'tlpn', 'blik', 'dongg', 'finished', 'thousand', ' Hazilnya ',' Zong ',' Man ',' internet ',' Los', 'Red', 'then']</v>
      </c>
      <c r="D2512" s="3">
        <v>1.0</v>
      </c>
    </row>
    <row r="2513" ht="15.75" customHeight="1">
      <c r="A2513" s="1">
        <v>2639.0</v>
      </c>
      <c r="B2513" s="3" t="s">
        <v>2459</v>
      </c>
      <c r="C2513" s="3" t="str">
        <f>IFERROR(__xludf.DUMMYFUNCTION("GOOGLETRANSLATE(B2513,""id"",""en"")"),"['enter', 'number', 'customer', 'difficult', 'limit', 'blm', 'inserted', 'number', 'application', 'dri', '']")</f>
        <v>['enter', 'number', 'customer', 'difficult', 'limit', 'blm', 'inserted', 'number', 'application', 'dri', '']</v>
      </c>
      <c r="D2513" s="3">
        <v>1.0</v>
      </c>
    </row>
    <row r="2514" ht="15.75" customHeight="1">
      <c r="A2514" s="1">
        <v>2640.0</v>
      </c>
      <c r="B2514" s="3" t="s">
        <v>2460</v>
      </c>
      <c r="C2514" s="3" t="str">
        <f>IFERROR(__xludf.DUMMYFUNCTION("GOOGLETRANSLATE(B2514,""id"",""en"")"),"['gabisa', 'enter', 'application', 'UDH', 'changed', 'enter', 'enter', 'email', 'ajah', 'gabisa', ""]")</f>
        <v>['gabisa', 'enter', 'application', 'UDH', 'changed', 'enter', 'enter', 'email', 'ajah', 'gabisa', "]</v>
      </c>
      <c r="D2514" s="3">
        <v>1.0</v>
      </c>
    </row>
    <row r="2515" ht="15.75" customHeight="1">
      <c r="A2515" s="1">
        <v>2641.0</v>
      </c>
      <c r="B2515" s="3" t="s">
        <v>2461</v>
      </c>
      <c r="C2515" s="3" t="str">
        <f>IFERROR(__xludf.DUMMYFUNCTION("GOOGLETRANSLATE(B2515,""id"",""en"")"),"['KSNI', 'steady']")</f>
        <v>['KSNI', 'steady']</v>
      </c>
      <c r="D2515" s="3">
        <v>5.0</v>
      </c>
    </row>
    <row r="2516" ht="15.75" customHeight="1">
      <c r="A2516" s="1">
        <v>2642.0</v>
      </c>
      <c r="B2516" s="3" t="s">
        <v>2462</v>
      </c>
      <c r="C2516" s="3" t="str">
        <f>IFERROR(__xludf.DUMMYFUNCTION("GOOGLETRANSLATE(B2516,""id"",""en"")"),"['Service', 'Indihome', 'Professional', 'LEG']")</f>
        <v>['Service', 'Indihome', 'Professional', 'LEG']</v>
      </c>
      <c r="D2516" s="3">
        <v>1.0</v>
      </c>
    </row>
    <row r="2517" ht="15.75" customHeight="1">
      <c r="A2517" s="1">
        <v>2643.0</v>
      </c>
      <c r="B2517" s="3" t="s">
        <v>2463</v>
      </c>
      <c r="C2517" s="3" t="str">
        <f>IFERROR(__xludf.DUMMYFUNCTION("GOOGLETRANSLATE(B2517,""id"",""en"")"),"['Internet', 'Disruption', 'Lapoan', 'Via', 'Application', 'Difficult', 'Disruption']")</f>
        <v>['Internet', 'Disruption', 'Lapoan', 'Via', 'Application', 'Difficult', 'Disruption']</v>
      </c>
      <c r="D2517" s="3">
        <v>1.0</v>
      </c>
    </row>
    <row r="2518" ht="15.75" customHeight="1">
      <c r="A2518" s="1">
        <v>2644.0</v>
      </c>
      <c r="B2518" s="3" t="s">
        <v>2464</v>
      </c>
      <c r="C2518" s="3" t="str">
        <f>IFERROR(__xludf.DUMMYFUNCTION("GOOGLETRANSLATE(B2518,""id"",""en"")"),"['menu', 'menu', 'urgent', 'customer', 'renewapeed', 'speed', 'demand', 'failed', 'access']")</f>
        <v>['menu', 'menu', 'urgent', 'customer', 'renewapeed', 'speed', 'demand', 'failed', 'access']</v>
      </c>
      <c r="D2518" s="3">
        <v>1.0</v>
      </c>
    </row>
    <row r="2519" ht="15.75" customHeight="1">
      <c r="A2519" s="1">
        <v>2645.0</v>
      </c>
      <c r="B2519" s="3" t="s">
        <v>2465</v>
      </c>
      <c r="C2519" s="3" t="str">
        <f>IFERROR(__xludf.DUMMYFUNCTION("GOOGLETRANSLATE(B2519,""id"",""en"")"),"['', 'Snail', 'Pace', 'knp']")</f>
        <v>['', 'Snail', 'Pace', 'knp']</v>
      </c>
      <c r="D2519" s="3">
        <v>5.0</v>
      </c>
    </row>
    <row r="2520" ht="15.75" customHeight="1">
      <c r="A2520" s="1">
        <v>2646.0</v>
      </c>
      <c r="B2520" s="3" t="s">
        <v>2466</v>
      </c>
      <c r="C2520" s="3" t="str">
        <f>IFERROR(__xludf.DUMMYFUNCTION("GOOGLETRANSLATE(B2520,""id"",""en"")"),"['Promise', 'Visit', 'BLM', 'Need', 'Activities',' Loss', 'Machine', 'Use', 'Inet', 'HRS', 'BYR', 'Waiting', ' disappointed']")</f>
        <v>['Promise', 'Visit', 'BLM', 'Need', 'Activities',' Loss', 'Machine', 'Use', 'Inet', 'HRS', 'BYR', 'Waiting', ' disappointed']</v>
      </c>
      <c r="D2520" s="3">
        <v>1.0</v>
      </c>
    </row>
    <row r="2521" ht="15.75" customHeight="1">
      <c r="A2521" s="1">
        <v>2647.0</v>
      </c>
      <c r="B2521" s="3" t="s">
        <v>2467</v>
      </c>
      <c r="C2521" s="3" t="str">
        <f>IFERROR(__xludf.DUMMYFUNCTION("GOOGLETRANSLATE(B2521,""id"",""en"")"),"['Bagusan', 'Loading', 'really']")</f>
        <v>['Bagusan', 'Loading', 'really']</v>
      </c>
      <c r="D2521" s="3">
        <v>2.0</v>
      </c>
    </row>
    <row r="2522" ht="15.75" customHeight="1">
      <c r="A2522" s="1">
        <v>2648.0</v>
      </c>
      <c r="B2522" s="3" t="s">
        <v>2468</v>
      </c>
      <c r="C2522" s="3" t="str">
        <f>IFERROR(__xludf.DUMMYFUNCTION("GOOGLETRANSLATE(B2522,""id"",""en"")"),"['easy', 'use', 'recommended', 'really', 'the application']")</f>
        <v>['easy', 'use', 'recommended', 'really', 'the application']</v>
      </c>
      <c r="D2522" s="3">
        <v>5.0</v>
      </c>
    </row>
    <row r="2523" ht="15.75" customHeight="1">
      <c r="A2523" s="1">
        <v>2649.0</v>
      </c>
      <c r="B2523" s="3" t="s">
        <v>2469</v>
      </c>
      <c r="C2523" s="3" t="str">
        <f>IFERROR(__xludf.DUMMYFUNCTION("GOOGLETRANSLATE(B2523,""id"",""en"")"),"['already', 'try', 'laen', 'emang', 'indihome', 'debes']")</f>
        <v>['already', 'try', 'laen', 'emang', 'indihome', 'debes']</v>
      </c>
      <c r="D2523" s="3">
        <v>5.0</v>
      </c>
    </row>
    <row r="2524" ht="15.75" customHeight="1">
      <c r="A2524" s="1">
        <v>2650.0</v>
      </c>
      <c r="B2524" s="3" t="s">
        <v>2470</v>
      </c>
      <c r="C2524" s="3" t="str">
        <f>IFERROR(__xludf.DUMMYFUNCTION("GOOGLETRANSLATE(B2524,""id"",""en"")"),"['subscription', 'already', 'far', 'good']")</f>
        <v>['subscription', 'already', 'far', 'good']</v>
      </c>
      <c r="D2524" s="3">
        <v>5.0</v>
      </c>
    </row>
    <row r="2525" ht="15.75" customHeight="1">
      <c r="A2525" s="1">
        <v>2651.0</v>
      </c>
      <c r="B2525" s="3" t="s">
        <v>2471</v>
      </c>
      <c r="C2525" s="3" t="str">
        <f>IFERROR(__xludf.DUMMYFUNCTION("GOOGLETRANSLATE(B2525,""id"",""en"")"),"['Service', 'Indihome', 'home', 'manjiw', 'hope', 'smooth']")</f>
        <v>['Service', 'Indihome', 'home', 'manjiw', 'hope', 'smooth']</v>
      </c>
      <c r="D2525" s="3">
        <v>5.0</v>
      </c>
    </row>
    <row r="2526" ht="15.75" customHeight="1">
      <c r="A2526" s="1">
        <v>2652.0</v>
      </c>
      <c r="B2526" s="3" t="s">
        <v>2472</v>
      </c>
      <c r="C2526" s="3" t="str">
        <f>IFERROR(__xludf.DUMMYFUNCTION("GOOGLETRANSLATE(B2526,""id"",""en"")"),"['Products', 'Telkom', 'Quality', 'Emang', 'Telkomsel', 'Indihome']")</f>
        <v>['Products', 'Telkom', 'Quality', 'Emang', 'Telkomsel', 'Indihome']</v>
      </c>
      <c r="D2526" s="3">
        <v>5.0</v>
      </c>
    </row>
    <row r="2527" ht="15.75" customHeight="1">
      <c r="A2527" s="1">
        <v>2653.0</v>
      </c>
      <c r="B2527" s="3" t="s">
        <v>2473</v>
      </c>
      <c r="C2527" s="3" t="str">
        <f>IFERROR(__xludf.DUMMYFUNCTION("GOOGLETRANSLATE(B2527,""id"",""en"")"),"['Better', 'Lack', 'Performance', 'Enhanced', 'Guys']")</f>
        <v>['Better', 'Lack', 'Performance', 'Enhanced', 'Guys']</v>
      </c>
      <c r="D2527" s="3">
        <v>5.0</v>
      </c>
    </row>
    <row r="2528" ht="15.75" customHeight="1">
      <c r="A2528" s="1">
        <v>2654.0</v>
      </c>
      <c r="B2528" s="3" t="s">
        <v>2474</v>
      </c>
      <c r="C2528" s="3" t="str">
        <f>IFERROR(__xludf.DUMMYFUNCTION("GOOGLETRANSLATE(B2528,""id"",""en"")"),"['Enhanced', 'Service', 'Customer', 'Service']")</f>
        <v>['Enhanced', 'Service', 'Customer', 'Service']</v>
      </c>
      <c r="D2528" s="3">
        <v>5.0</v>
      </c>
    </row>
    <row r="2529" ht="15.75" customHeight="1">
      <c r="A2529" s="1">
        <v>2655.0</v>
      </c>
      <c r="B2529" s="3" t="s">
        <v>2475</v>
      </c>
      <c r="C2529" s="3" t="str">
        <f>IFERROR(__xludf.DUMMYFUNCTION("GOOGLETRANSLATE(B2529,""id"",""en"")"),"['Cool', 'deh', 'manteb', 'emang', 'update']")</f>
        <v>['Cool', 'deh', 'manteb', 'emang', 'update']</v>
      </c>
      <c r="D2529" s="3">
        <v>5.0</v>
      </c>
    </row>
    <row r="2530" ht="15.75" customHeight="1">
      <c r="A2530" s="1">
        <v>2656.0</v>
      </c>
      <c r="B2530" s="3" t="s">
        <v>2476</v>
      </c>
      <c r="C2530" s="3" t="str">
        <f>IFERROR(__xludf.DUMMYFUNCTION("GOOGLETRANSLATE(B2530,""id"",""en"")"),"['already', 'good', 'so', 'wkwkwk']")</f>
        <v>['already', 'good', 'so', 'wkwkwk']</v>
      </c>
      <c r="D2530" s="3">
        <v>5.0</v>
      </c>
    </row>
    <row r="2531" ht="15.75" customHeight="1">
      <c r="A2531" s="1">
        <v>2657.0</v>
      </c>
      <c r="B2531" s="3" t="s">
        <v>2477</v>
      </c>
      <c r="C2531" s="3" t="str">
        <f>IFERROR(__xludf.DUMMYFUNCTION("GOOGLETRANSLATE(B2531,""id"",""en"")"),"['Fast', 'Fast', 'Response', 'Proactive', 'Kabarin', 'Notif', 'Via', 'Application']")</f>
        <v>['Fast', 'Fast', 'Response', 'Proactive', 'Kabarin', 'Notif', 'Via', 'Application']</v>
      </c>
      <c r="D2531" s="3">
        <v>5.0</v>
      </c>
    </row>
    <row r="2532" ht="15.75" customHeight="1">
      <c r="A2532" s="1">
        <v>2658.0</v>
      </c>
      <c r="B2532" s="3" t="s">
        <v>2478</v>
      </c>
      <c r="C2532" s="3" t="str">
        <f>IFERROR(__xludf.DUMMYFUNCTION("GOOGLETRANSLATE(B2532,""id"",""en"")"),"['hope', 'front', 'promo', 'customer', 'loyal']")</f>
        <v>['hope', 'front', 'promo', 'customer', 'loyal']</v>
      </c>
      <c r="D2532" s="3">
        <v>5.0</v>
      </c>
    </row>
    <row r="2533" ht="15.75" customHeight="1">
      <c r="A2533" s="1">
        <v>2659.0</v>
      </c>
      <c r="B2533" s="3" t="s">
        <v>2479</v>
      </c>
      <c r="C2533" s="3" t="str">
        <f>IFERROR(__xludf.DUMMYFUNCTION("GOOGLETRANSLATE(B2533,""id"",""en"")"),"['choice', 'best', 'service', 'internet', 'home']")</f>
        <v>['choice', 'best', 'service', 'internet', 'home']</v>
      </c>
      <c r="D2533" s="3">
        <v>5.0</v>
      </c>
    </row>
    <row r="2534" ht="15.75" customHeight="1">
      <c r="A2534" s="1">
        <v>2660.0</v>
      </c>
      <c r="B2534" s="3" t="s">
        <v>2480</v>
      </c>
      <c r="C2534" s="3" t="str">
        <f>IFERROR(__xludf.DUMMYFUNCTION("GOOGLETRANSLATE(B2534,""id"",""en"")"),"['failed', 'enter', 'wrong', 'password', '']")</f>
        <v>['failed', 'enter', 'wrong', 'password', '']</v>
      </c>
      <c r="D2534" s="3">
        <v>1.0</v>
      </c>
    </row>
    <row r="2535" ht="15.75" customHeight="1">
      <c r="A2535" s="1">
        <v>2661.0</v>
      </c>
      <c r="B2535" s="3" t="s">
        <v>2481</v>
      </c>
      <c r="C2535" s="3" t="str">
        <f>IFERROR(__xludf.DUMMYFUNCTION("GOOGLETRANSLATE(B2535,""id"",""en"")"),"['See', 'status',' subscription ',' before ',' Different ',' See ',' Status', 'Subscription', 'Package', 'etc.', 'Application', 'Lemot', ' Loading ',' Information ',' Home ',' Full ',' Advertising ',' Promo ',' Application ',' Heavy ',' Move ',' Menu ']")</f>
        <v>['See', 'status',' subscription ',' before ',' Different ',' See ',' Status', 'Subscription', 'Package', 'etc.', 'Application', 'Lemot', ' Loading ',' Information ',' Home ',' Full ',' Advertising ',' Promo ',' Application ',' Heavy ',' Move ',' Menu ']</v>
      </c>
      <c r="D2535" s="3">
        <v>1.0</v>
      </c>
    </row>
    <row r="2536" ht="15.75" customHeight="1">
      <c r="A2536" s="1">
        <v>2662.0</v>
      </c>
      <c r="B2536" s="3" t="s">
        <v>2482</v>
      </c>
      <c r="C2536" s="3" t="str">
        <f>IFERROR(__xludf.DUMMYFUNCTION("GOOGLETRANSLATE(B2536,""id"",""en"")"),"['updated', 'confused', 'features', 'complaint', 'service', 'like', '']")</f>
        <v>['updated', 'confused', 'features', 'complaint', 'service', 'like', '']</v>
      </c>
      <c r="D2536" s="3">
        <v>2.0</v>
      </c>
    </row>
    <row r="2537" ht="15.75" customHeight="1">
      <c r="A2537" s="1">
        <v>2663.0</v>
      </c>
      <c r="B2537" s="3" t="s">
        <v>2483</v>
      </c>
      <c r="C2537" s="3" t="str">
        <f>IFERROR(__xludf.DUMMYFUNCTION("GOOGLETRANSLATE(B2537,""id"",""en"")"),"['App', 'fix', 'heavy', 'verification', 'location', 'wifi', 'his writing', 'connected', 'connected', 'network', 'smooth', 'smooth' App ',' jdi ',' slow ',' muter ',' open ',' app ',' smooth ']")</f>
        <v>['App', 'fix', 'heavy', 'verification', 'location', 'wifi', 'his writing', 'connected', 'connected', 'network', 'smooth', 'smooth' App ',' jdi ',' slow ',' muter ',' open ',' app ',' smooth ']</v>
      </c>
      <c r="D2537" s="3">
        <v>1.0</v>
      </c>
    </row>
    <row r="2538" ht="15.75" customHeight="1">
      <c r="A2538" s="1">
        <v>2664.0</v>
      </c>
      <c r="B2538" s="3" t="s">
        <v>2484</v>
      </c>
      <c r="C2538" s="3" t="str">
        <f>IFERROR(__xludf.DUMMYFUNCTION("GOOGLETRANSLATE(B2538,""id"",""en"")"),"['Bill', 'TRZ', 'Service', 'USA', 'Bad', '']")</f>
        <v>['Bill', 'TRZ', 'Service', 'USA', 'Bad', '']</v>
      </c>
      <c r="D2538" s="3">
        <v>1.0</v>
      </c>
    </row>
    <row r="2539" ht="15.75" customHeight="1">
      <c r="A2539" s="1">
        <v>2665.0</v>
      </c>
      <c r="B2539" s="3" t="s">
        <v>2485</v>
      </c>
      <c r="C2539" s="3" t="str">
        <f>IFERROR(__xludf.DUMMYFUNCTION("GOOGLETRANSLATE(B2539,""id"",""en"")"),"['update', 'Login', 'told', 'input', 'password', 'forget', 'password', 'enter', 'code', 'valid', 'pond', 'bad', ' Application ',' forced ',' Uninstall ',' ']")</f>
        <v>['update', 'Login', 'told', 'input', 'password', 'forget', 'password', 'enter', 'code', 'valid', 'pond', 'bad', ' Application ',' forced ',' Uninstall ',' ']</v>
      </c>
      <c r="D2539" s="3">
        <v>1.0</v>
      </c>
    </row>
    <row r="2540" ht="15.75" customHeight="1">
      <c r="A2540" s="1">
        <v>2666.0</v>
      </c>
      <c r="B2540" s="3" t="s">
        <v>2486</v>
      </c>
      <c r="C2540" s="3" t="str">
        <f>IFERROR(__xludf.DUMMYFUNCTION("GOOGLETRANSLATE(B2540,""id"",""en"")"),"['Loading', 'used', 'report', 'GGN']")</f>
        <v>['Loading', 'used', 'report', 'GGN']</v>
      </c>
      <c r="D2540" s="3">
        <v>1.0</v>
      </c>
    </row>
    <row r="2541" ht="15.75" customHeight="1">
      <c r="A2541" s="1">
        <v>2667.0</v>
      </c>
      <c r="B2541" s="3" t="s">
        <v>2487</v>
      </c>
      <c r="C2541" s="3" t="str">
        <f>IFERROR(__xludf.DUMMYFUNCTION("GOOGLETRANSLATE(B2541,""id"",""en"")"),"['Alikasi', 'Download', '']")</f>
        <v>['Alikasi', 'Download', '']</v>
      </c>
      <c r="D2541" s="3">
        <v>1.0</v>
      </c>
    </row>
    <row r="2542" ht="15.75" customHeight="1">
      <c r="A2542" s="1">
        <v>2668.0</v>
      </c>
      <c r="B2542" s="3" t="s">
        <v>2488</v>
      </c>
      <c r="C2542" s="3" t="str">
        <f>IFERROR(__xludf.DUMMYFUNCTION("GOOGLETRANSLATE(B2542,""id"",""en"")"),"['', 'Change', 'star', 'wifi', 'internet', 'turn', 'report', 'myindihome', 'account', 'kluar', 'turn', 'enter', 'email' ',' Registered ',' How ',' ']")</f>
        <v>['', 'Change', 'star', 'wifi', 'internet', 'turn', 'report', 'myindihome', 'account', 'kluar', 'turn', 'enter', 'email' ',' Registered ',' How ',' ']</v>
      </c>
      <c r="D2542" s="3">
        <v>1.0</v>
      </c>
    </row>
    <row r="2543" ht="15.75" customHeight="1">
      <c r="A2543" s="1">
        <v>2669.0</v>
      </c>
      <c r="B2543" s="3" t="s">
        <v>2489</v>
      </c>
      <c r="C2543" s="3" t="str">
        <f>IFERROR(__xludf.DUMMYFUNCTION("GOOGLETRANSLATE(B2543,""id"",""en"")"),"['Ribet', 'Updated', 'Dego', '']")</f>
        <v>['Ribet', 'Updated', 'Dego', '']</v>
      </c>
      <c r="D2543" s="3">
        <v>1.0</v>
      </c>
    </row>
    <row r="2544" ht="15.75" customHeight="1">
      <c r="A2544" s="1">
        <v>2670.0</v>
      </c>
      <c r="B2544" s="3" t="s">
        <v>1148</v>
      </c>
      <c r="C2544" s="3" t="str">
        <f>IFERROR(__xludf.DUMMYFUNCTION("GOOGLETRANSLATE(B2544,""id"",""en"")"),"['good']")</f>
        <v>['good']</v>
      </c>
      <c r="D2544" s="3">
        <v>1.0</v>
      </c>
    </row>
    <row r="2545" ht="15.75" customHeight="1">
      <c r="A2545" s="1">
        <v>2671.0</v>
      </c>
      <c r="B2545" s="3" t="s">
        <v>2490</v>
      </c>
      <c r="C2545" s="3" t="str">
        <f>IFERROR(__xludf.DUMMYFUNCTION("GOOGLETRANSLATE(B2545,""id"",""en"")"),"['Register', 'Internet', 'Telfon', 'WKTU', 'Check', 'Internet', ""]")</f>
        <v>['Register', 'Internet', 'Telfon', 'WKTU', 'Check', 'Internet', "]</v>
      </c>
      <c r="D2545" s="3">
        <v>1.0</v>
      </c>
    </row>
    <row r="2546" ht="15.75" customHeight="1">
      <c r="A2546" s="1">
        <v>2672.0</v>
      </c>
      <c r="B2546" s="3" t="s">
        <v>2491</v>
      </c>
      <c r="C2546" s="3" t="str">
        <f>IFERROR(__xludf.DUMMYFUNCTION("GOOGLETRANSLATE(B2546,""id"",""en"")"),"['update', 'APK', 'ugly', 'improvement', 'dilapidated', 'see', 'byk', 'user', 'no', 'klw', 'complicated', 'no', ' Ngerni ',' Consequences', 'Krajan', 'Elo', 'Nignain', 'Services',' HRS ',' Professional ',' Aaaaassss', '']")</f>
        <v>['update', 'APK', 'ugly', 'improvement', 'dilapidated', 'see', 'byk', 'user', 'no', 'klw', 'complicated', 'no', ' Ngerni ',' Consequences', 'Krajan', 'Elo', 'Nignain', 'Services',' HRS ',' Professional ',' Aaaaassss', '']</v>
      </c>
      <c r="D2546" s="3">
        <v>1.0</v>
      </c>
    </row>
    <row r="2547" ht="15.75" customHeight="1">
      <c r="A2547" s="1">
        <v>2673.0</v>
      </c>
      <c r="B2547" s="3" t="s">
        <v>2492</v>
      </c>
      <c r="C2547" s="3" t="str">
        <f>IFERROR(__xludf.DUMMYFUNCTION("GOOGLETRANSLATE(B2547,""id"",""en"")"),"['Jngn', 'wifi', 'ugly', 'slow', 'broke', ""]")</f>
        <v>['Jngn', 'wifi', 'ugly', 'slow', 'broke', "]</v>
      </c>
      <c r="D2547" s="3">
        <v>2.0</v>
      </c>
    </row>
    <row r="2548" ht="15.75" customHeight="1">
      <c r="A2548" s="1">
        <v>2674.0</v>
      </c>
      <c r="B2548" s="3" t="s">
        <v>2493</v>
      </c>
      <c r="C2548" s="3" t="str">
        <f>IFERROR(__xludf.DUMMYFUNCTION("GOOGLETRANSLATE(B2548,""id"",""en"")"),"['already', 'times',' wifi ',' internet ',' modem ',' LOS ',' technician ',' network ',' field ',' should ',' fix ',' wrong ',' problematic ',' please ',' like ',' plug ',' pull out ',' conextor ',' box ',' network ',' konex ',' follow ',' konex ',' inter"&amp;"net ',' gara ' , 'Gara', 'wrong', 'problematic', 'thank', 'love', ""]")</f>
        <v>['already', 'times',' wifi ',' internet ',' modem ',' LOS ',' technician ',' network ',' field ',' should ',' fix ',' wrong ',' problematic ',' please ',' like ',' plug ',' pull out ',' conextor ',' box ',' network ',' konex ',' follow ',' konex ',' internet ',' gara ' , 'Gara', 'wrong', 'problematic', 'thank', 'love', "]</v>
      </c>
      <c r="D2548" s="3">
        <v>1.0</v>
      </c>
    </row>
    <row r="2549" ht="15.75" customHeight="1">
      <c r="A2549" s="1">
        <v>2675.0</v>
      </c>
      <c r="B2549" s="3" t="s">
        <v>2494</v>
      </c>
      <c r="C2549" s="3" t="str">
        <f>IFERROR(__xludf.DUMMYFUNCTION("GOOGLETRANSLATE(B2549,""id"",""en"")"),"['Please', 'pay', 'cheap', 'knp', 'signal', 'ugly', 'break up', 'break up', 'please', 'fix']")</f>
        <v>['Please', 'pay', 'cheap', 'knp', 'signal', 'ugly', 'break up', 'break up', 'please', 'fix']</v>
      </c>
      <c r="D2549" s="3">
        <v>1.0</v>
      </c>
    </row>
    <row r="2550" ht="15.75" customHeight="1">
      <c r="A2550" s="1">
        <v>2676.0</v>
      </c>
      <c r="B2550" s="3" t="s">
        <v>2495</v>
      </c>
      <c r="C2550" s="3" t="str">
        <f>IFERROR(__xludf.DUMMYFUNCTION("GOOGLETRANSLATE(B2550,""id"",""en"")"),"['rotten', 'network']")</f>
        <v>['rotten', 'network']</v>
      </c>
      <c r="D2550" s="3">
        <v>1.0</v>
      </c>
    </row>
    <row r="2551" ht="15.75" customHeight="1">
      <c r="A2551" s="1">
        <v>2678.0</v>
      </c>
      <c r="B2551" s="3" t="s">
        <v>2496</v>
      </c>
      <c r="C2551" s="3" t="str">
        <f>IFERROR(__xludf.DUMMYFUNCTION("GOOGLETRANSLATE(B2551,""id"",""en"")"),"['yas']")</f>
        <v>['yas']</v>
      </c>
      <c r="D2551" s="3">
        <v>3.0</v>
      </c>
    </row>
    <row r="2552" ht="15.75" customHeight="1">
      <c r="A2552" s="1">
        <v>2679.0</v>
      </c>
      <c r="B2552" s="3" t="s">
        <v>2497</v>
      </c>
      <c r="C2552" s="3" t="str">
        <f>IFERROR(__xludf.DUMMYFUNCTION("GOOGLETRANSLATE(B2552,""id"",""en"")"),"['company', 'state', 'application', 'slow', 'error', 'loading', '']")</f>
        <v>['company', 'state', 'application', 'slow', 'error', 'loading', '']</v>
      </c>
      <c r="D2552" s="3">
        <v>1.0</v>
      </c>
    </row>
    <row r="2553" ht="15.75" customHeight="1">
      <c r="A2553" s="1">
        <v>2680.0</v>
      </c>
      <c r="B2553" s="3" t="s">
        <v>2498</v>
      </c>
      <c r="C2553" s="3" t="str">
        <f>IFERROR(__xludf.DUMMYFUNCTION("GOOGLETRANSLATE(B2553,""id"",""en"")"),"['garbage', 'application', 'ngelag', 'mulu', 'emang', 'internet', 'indihome', 'garbage', 'already', 'pay', 'that's',' speed ',' FUP ',' UDH ',' was resetted ',' That's', 'Speed', 'Setengaj', 'Dri', 'Package', 'Weve', 'Plate', 'Red', 'Becus',' Welling ' , "&amp;"'People', 'Plat', 'Red', 'on duty', ""]")</f>
        <v>['garbage', 'application', 'ngelag', 'mulu', 'emang', 'internet', 'indihome', 'garbage', 'already', 'pay', 'that's',' speed ',' FUP ',' UDH ',' was resetted ',' That's', 'Speed', 'Setengaj', 'Dri', 'Package', 'Weve', 'Plate', 'Red', 'Becus',' Welling ' , 'People', 'Plat', 'Red', 'on duty', "]</v>
      </c>
      <c r="D2553" s="3">
        <v>1.0</v>
      </c>
    </row>
    <row r="2554" ht="15.75" customHeight="1">
      <c r="A2554" s="1">
        <v>2681.0</v>
      </c>
      <c r="B2554" s="3" t="s">
        <v>2499</v>
      </c>
      <c r="C2554" s="3" t="str">
        <f>IFERROR(__xludf.DUMMYFUNCTION("GOOGLETRANSLATE(B2554,""id"",""en"")"),"['Since', 'Update', 'Version', 'Application', 'Error', 'Crash', 'Forced', 'Downgrade', 'Version', 'Dispenition', 'Simple', 'Stable', ' Sincerely ',' Please ',' Developer ',' Application ',' Team ',' Designer ',' Please ',' Improve ',' Display ',' User ','"&amp;" Application ',' Need ',' Display ' , 'Muluk', 'Muluk', 'Crowded', 'Need', 'Application', 'Simple', 'Stable', 'Review', 'Complains',' Display ',' Crash ',' Application ',' ']")</f>
        <v>['Since', 'Update', 'Version', 'Application', 'Error', 'Crash', 'Forced', 'Downgrade', 'Version', 'Dispenition', 'Simple', 'Stable', ' Sincerely ',' Please ',' Developer ',' Application ',' Team ',' Designer ',' Please ',' Improve ',' Display ',' User ',' Application ',' Need ',' Display ' , 'Muluk', 'Muluk', 'Crowded', 'Need', 'Application', 'Simple', 'Stable', 'Review', 'Complains',' Display ',' Crash ',' Application ',' ']</v>
      </c>
      <c r="D2554" s="3">
        <v>1.0</v>
      </c>
    </row>
    <row r="2555" ht="15.75" customHeight="1">
      <c r="A2555" s="1">
        <v>2682.0</v>
      </c>
      <c r="B2555" s="3" t="s">
        <v>2500</v>
      </c>
      <c r="C2555" s="3" t="str">
        <f>IFERROR(__xludf.DUMMYFUNCTION("GOOGLETRANSLATE(B2555,""id"",""en"")"),"['difficult', 'enter', 'bales']")</f>
        <v>['difficult', 'enter', 'bales']</v>
      </c>
      <c r="D2555" s="3">
        <v>1.0</v>
      </c>
    </row>
    <row r="2556" ht="15.75" customHeight="1">
      <c r="A2556" s="1">
        <v>2683.0</v>
      </c>
      <c r="B2556" s="3" t="s">
        <v>2501</v>
      </c>
      <c r="C2556" s="3" t="str">
        <f>IFERROR(__xludf.DUMMYFUNCTION("GOOGLETRANSLATE(B2556,""id"",""en"")"),"['Disappointed', 'App', 'Indihome', 'updated', 'account', 'number', 'telephone', 'no', 'missing', 'try', 'not', 'changed', ' Delicious', 'See', 'Points',' Date ',' Pay ',' Pay ']")</f>
        <v>['Disappointed', 'App', 'Indihome', 'updated', 'account', 'number', 'telephone', 'no', 'missing', 'try', 'not', 'changed', ' Delicious', 'See', 'Points',' Date ',' Pay ',' Pay ']</v>
      </c>
      <c r="D2556" s="3">
        <v>1.0</v>
      </c>
    </row>
    <row r="2557" ht="15.75" customHeight="1">
      <c r="A2557" s="1">
        <v>2684.0</v>
      </c>
      <c r="B2557" s="3" t="s">
        <v>2502</v>
      </c>
      <c r="C2557" s="3" t="str">
        <f>IFERROR(__xludf.DUMMYFUNCTION("GOOGLETRANSLATE(B2557,""id"",""en"")"),"['Application', 'weird']")</f>
        <v>['Application', 'weird']</v>
      </c>
      <c r="D2557" s="3">
        <v>1.0</v>
      </c>
    </row>
    <row r="2558" ht="15.75" customHeight="1">
      <c r="A2558" s="1">
        <v>2685.0</v>
      </c>
      <c r="B2558" s="3" t="s">
        <v>2503</v>
      </c>
      <c r="C2558" s="3" t="str">
        <f>IFERROR(__xludf.DUMMYFUNCTION("GOOGLETRANSLATE(B2558,""id"",""en"")"),"['Download', 'Application', 'directed', 'Registration', 'Data', 'Update', 'Application', 'Registration', 'Appear', 'Application', 'Walking', 'Heavy', ' Slow ',' update ', ""]")</f>
        <v>['Download', 'Application', 'directed', 'Registration', 'Data', 'Update', 'Application', 'Registration', 'Appear', 'Application', 'Walking', 'Heavy', ' Slow ',' update ', "]</v>
      </c>
      <c r="D2558" s="3">
        <v>2.0</v>
      </c>
    </row>
    <row r="2559" ht="15.75" customHeight="1">
      <c r="A2559" s="1">
        <v>2686.0</v>
      </c>
      <c r="B2559" s="3" t="s">
        <v>2504</v>
      </c>
      <c r="C2559" s="3" t="str">
        <f>IFERROR(__xludf.DUMMYFUNCTION("GOOGLETRANSLATE(B2559,""id"",""en"")"),"['disruption', 'until', 'date', 'Nov', 'until', 'skrang', 'date', 'reason', 'disorder', 'mass',' yes', 'disorder', ' Mass', '']")</f>
        <v>['disruption', 'until', 'date', 'Nov', 'until', 'skrang', 'date', 'reason', 'disorder', 'mass',' yes', 'disorder', ' Mass', '']</v>
      </c>
      <c r="D2559" s="3">
        <v>1.0</v>
      </c>
    </row>
    <row r="2560" ht="15.75" customHeight="1">
      <c r="A2560" s="1">
        <v>2687.0</v>
      </c>
      <c r="B2560" s="3" t="s">
        <v>2505</v>
      </c>
      <c r="C2560" s="3" t="str">
        <f>IFERROR(__xludf.DUMMYFUNCTION("GOOGLETRANSLATE(B2560,""id"",""en"")"),"['signal', 'slow', 'appligi', 'ujan', 'ilang', 'ngumpet', 'nth', 'kmn']")</f>
        <v>['signal', 'slow', 'appligi', 'ujan', 'ilang', 'ngumpet', 'nth', 'kmn']</v>
      </c>
      <c r="D2560" s="3">
        <v>1.0</v>
      </c>
    </row>
    <row r="2561" ht="15.75" customHeight="1">
      <c r="A2561" s="1">
        <v>2688.0</v>
      </c>
      <c r="B2561" s="3" t="s">
        <v>2506</v>
      </c>
      <c r="C2561" s="3" t="str">
        <f>IFERROR(__xludf.DUMMYFUNCTION("GOOGLETRANSLATE(B2561,""id"",""en"")"),"['Increase', 'jaringgannya', 'difficult', 'enter', 'application', '']")</f>
        <v>['Increase', 'jaringgannya', 'difficult', 'enter', 'application', '']</v>
      </c>
      <c r="D2561" s="3">
        <v>5.0</v>
      </c>
    </row>
    <row r="2562" ht="15.75" customHeight="1">
      <c r="A2562" s="1">
        <v>2689.0</v>
      </c>
      <c r="B2562" s="3" t="s">
        <v>2507</v>
      </c>
      <c r="C2562" s="3" t="str">
        <f>IFERROR(__xludf.DUMMYFUNCTION("GOOGLETRANSLATE(B2562,""id"",""en"")"),"['application', 'bad', 'log', 'out']")</f>
        <v>['application', 'bad', 'log', 'out']</v>
      </c>
      <c r="D2562" s="3">
        <v>1.0</v>
      </c>
    </row>
    <row r="2563" ht="15.75" customHeight="1">
      <c r="A2563" s="1">
        <v>2690.0</v>
      </c>
      <c r="B2563" s="3" t="s">
        <v>2508</v>
      </c>
      <c r="C2563" s="3" t="str">
        <f>IFERROR(__xludf.DUMMYFUNCTION("GOOGLETRANSLATE(B2563,""id"",""en"")"),"['Delicious', 'Application', 'Easy', 'Understand', 'Delicious', 'Using', 'Ribet']")</f>
        <v>['Delicious', 'Application', 'Easy', 'Understand', 'Delicious', 'Using', 'Ribet']</v>
      </c>
      <c r="D2563" s="3">
        <v>1.0</v>
      </c>
    </row>
    <row r="2564" ht="15.75" customHeight="1">
      <c r="A2564" s="1">
        <v>2691.0</v>
      </c>
      <c r="B2564" s="3" t="s">
        <v>2509</v>
      </c>
      <c r="C2564" s="3" t="str">
        <f>IFERROR(__xludf.DUMMYFUNCTION("GOOGLETRANSLATE(B2564,""id"",""en"")"),"['Update', 'Login', 'Login', 'Point', 'Reset', 'Password']")</f>
        <v>['Update', 'Login', 'Login', 'Point', 'Reset', 'Password']</v>
      </c>
      <c r="D2564" s="3">
        <v>1.0</v>
      </c>
    </row>
    <row r="2565" ht="15.75" customHeight="1">
      <c r="A2565" s="1">
        <v>2692.0</v>
      </c>
      <c r="B2565" s="3" t="s">
        <v>2510</v>
      </c>
      <c r="C2565" s="3" t="str">
        <f>IFERROR(__xludf.DUMMYFUNCTION("GOOGLETRANSLATE(B2565,""id"",""en"")"),"['Lemot', 'really', 'his land', 'network', 'Indihome', 'access']")</f>
        <v>['Lemot', 'really', 'his land', 'network', 'Indihome', 'access']</v>
      </c>
      <c r="D2565" s="3">
        <v>1.0</v>
      </c>
    </row>
    <row r="2566" ht="15.75" customHeight="1">
      <c r="A2566" s="1">
        <v>2694.0</v>
      </c>
      <c r="B2566" s="3" t="s">
        <v>2511</v>
      </c>
      <c r="C2566" s="3" t="str">
        <f>IFERROR(__xludf.DUMMYFUNCTION("GOOGLETRANSLATE(B2566,""id"",""en"")"),"['', 'Login', 'Pekah', '']")</f>
        <v>['', 'Login', 'Pekah', '']</v>
      </c>
      <c r="D2566" s="3">
        <v>1.0</v>
      </c>
    </row>
    <row r="2567" ht="15.75" customHeight="1">
      <c r="A2567" s="1">
        <v>2695.0</v>
      </c>
      <c r="B2567" s="3" t="s">
        <v>2512</v>
      </c>
      <c r="C2567" s="3" t="str">
        <f>IFERROR(__xludf.DUMMYFUNCTION("GOOGLETRANSLATE(B2567,""id"",""en"")"),"['The application', 'KOQ', 'Slide', 'Silence', 'Stack', 'Response', 'Please', 'Repair']")</f>
        <v>['The application', 'KOQ', 'Slide', 'Silence', 'Stack', 'Response', 'Please', 'Repair']</v>
      </c>
      <c r="D2567" s="3">
        <v>1.0</v>
      </c>
    </row>
    <row r="2568" ht="15.75" customHeight="1">
      <c r="A2568" s="1">
        <v>2696.0</v>
      </c>
      <c r="B2568" s="3" t="s">
        <v>2513</v>
      </c>
      <c r="C2568" s="3" t="str">
        <f>IFERROR(__xludf.DUMMYFUNCTION("GOOGLETRANSLATE(B2568,""id"",""en"")"),"['easy', 'complicated', 'application', 'login', 'difficult', 'reset', 'password', 'customer', 'difficult', 'application', 'makes it easier', ' ']")</f>
        <v>['easy', 'complicated', 'application', 'login', 'difficult', 'reset', 'password', 'customer', 'difficult', 'application', 'makes it easier', ' ']</v>
      </c>
      <c r="D2568" s="3">
        <v>1.0</v>
      </c>
    </row>
    <row r="2569" ht="15.75" customHeight="1">
      <c r="A2569" s="1">
        <v>2697.0</v>
      </c>
      <c r="B2569" s="3" t="s">
        <v>2514</v>
      </c>
      <c r="C2569" s="3" t="str">
        <f>IFERROR(__xludf.DUMMYFUNCTION("GOOGLETRANSLATE(B2569,""id"",""en"")"),"['GWS', 'Indihome', 'Application', 'Duration', 'Register', 'Try', 'Register', 'Sometimes', 'Sometimes', 'Error']")</f>
        <v>['GWS', 'Indihome', 'Application', 'Duration', 'Register', 'Try', 'Register', 'Sometimes', 'Sometimes', 'Error']</v>
      </c>
      <c r="D2569" s="3">
        <v>1.0</v>
      </c>
    </row>
    <row r="2570" ht="15.75" customHeight="1">
      <c r="A2570" s="1">
        <v>2698.0</v>
      </c>
      <c r="B2570" s="3" t="s">
        <v>2515</v>
      </c>
      <c r="C2570" s="3" t="str">
        <f>IFERROR(__xludf.DUMMYFUNCTION("GOOGLETRANSLATE(B2570,""id"",""en"")"),"['Professional', 'serving', 'Customers',' Promise ',' Promise ',' Network ',' Loss', 'Disconnect', 'Connect', 'Pay', 'expensive', 'late', ' Pay ',' Direct ',' Disconnect ', ""]")</f>
        <v>['Professional', 'serving', 'Customers',' Promise ',' Promise ',' Network ',' Loss', 'Disconnect', 'Connect', 'Pay', 'expensive', 'late', ' Pay ',' Direct ',' Disconnect ', "]</v>
      </c>
      <c r="D2570" s="3">
        <v>1.0</v>
      </c>
    </row>
    <row r="2571" ht="15.75" customHeight="1">
      <c r="A2571" s="1">
        <v>2699.0</v>
      </c>
      <c r="B2571" s="3" t="s">
        <v>2516</v>
      </c>
      <c r="C2571" s="3" t="str">
        <f>IFERROR(__xludf.DUMMYFUNCTION("GOOGLETRANSLATE(B2571,""id"",""en"")"),"['complaints',' user ',' indihome ',' slow ',' smooth ',' installation ',' pay ',' wifi ',' expensive ',' lose ',' ama ',' package ',' Data ',' Rb ',' ']")</f>
        <v>['complaints',' user ',' indihome ',' slow ',' smooth ',' installation ',' pay ',' wifi ',' expensive ',' lose ',' ama ',' package ',' Data ',' Rb ',' ']</v>
      </c>
      <c r="D2571" s="3">
        <v>2.0</v>
      </c>
    </row>
    <row r="2572" ht="15.75" customHeight="1">
      <c r="A2572" s="1">
        <v>2700.0</v>
      </c>
      <c r="B2572" s="3" t="s">
        <v>2517</v>
      </c>
      <c r="C2572" s="3" t="str">
        <f>IFERROR(__xludf.DUMMYFUNCTION("GOOGLETRANSLATE(B2572,""id"",""en"")"),"['update', 'difficult', 'enter', 'slow']")</f>
        <v>['update', 'difficult', 'enter', 'slow']</v>
      </c>
      <c r="D2572" s="3">
        <v>3.0</v>
      </c>
    </row>
    <row r="2573" ht="15.75" customHeight="1">
      <c r="A2573" s="1">
        <v>2701.0</v>
      </c>
      <c r="B2573" s="3" t="s">
        <v>2518</v>
      </c>
      <c r="C2573" s="3" t="str">
        <f>IFERROR(__xludf.DUMMYFUNCTION("GOOGLETRANSLATE(B2573,""id"",""en"")"),"['updated', 'Difficult', 'Connection', 'Server', 'Application', 'Lola']")</f>
        <v>['updated', 'Difficult', 'Connection', 'Server', 'Application', 'Lola']</v>
      </c>
      <c r="D2573" s="3">
        <v>1.0</v>
      </c>
    </row>
    <row r="2574" ht="15.75" customHeight="1">
      <c r="A2574" s="1">
        <v>2702.0</v>
      </c>
      <c r="B2574" s="3" t="s">
        <v>1282</v>
      </c>
      <c r="C2574" s="3" t="str">
        <f>IFERROR(__xludf.DUMMYFUNCTION("GOOGLETRANSLATE(B2574,""id"",""en"")"),"['slow', 'loading']")</f>
        <v>['slow', 'loading']</v>
      </c>
      <c r="D2574" s="3">
        <v>1.0</v>
      </c>
    </row>
    <row r="2575" ht="15.75" customHeight="1">
      <c r="A2575" s="1">
        <v>2703.0</v>
      </c>
      <c r="B2575" s="3" t="s">
        <v>2519</v>
      </c>
      <c r="C2575" s="3" t="str">
        <f>IFERROR(__xludf.DUMMYFUNCTION("GOOGLETRANSLATE(B2575,""id"",""en"")"),"['Sorry', 'love', 'star', 'the application', 'informative', 'dear', 'slow', 'information', 'shown', 'need', 'good', 'version', ' Feme ',' version ',' device ',' connected ',' Feature ',' please ',' repaired ',' enhanced ',' the application ']")</f>
        <v>['Sorry', 'love', 'star', 'the application', 'informative', 'dear', 'slow', 'information', 'shown', 'need', 'good', 'version', ' Feme ',' version ',' device ',' connected ',' Feature ',' please ',' repaired ',' enhanced ',' the application ']</v>
      </c>
      <c r="D2575" s="3">
        <v>1.0</v>
      </c>
    </row>
    <row r="2576" ht="15.75" customHeight="1">
      <c r="A2576" s="1">
        <v>2704.0</v>
      </c>
      <c r="B2576" s="3" t="s">
        <v>2520</v>
      </c>
      <c r="C2576" s="3" t="str">
        <f>IFERROR(__xludf.DUMMYFUNCTION("GOOGLETRANSLATE(B2576,""id"",""en"")"),"['error', 'bug', 'download', 'list', 'account', 'imdihom', 'imil', 'sudsh', 'finished', 'turn', 'enter', 'indihome', ' Internet ',' TELPUN ',' FAILUR ',' GAKTAU ',' Error ',' Where ']")</f>
        <v>['error', 'bug', 'download', 'list', 'account', 'imdihom', 'imil', 'sudsh', 'finished', 'turn', 'enter', 'indihome', ' Internet ',' TELPUN ',' FAILUR ',' GAKTAU ',' Error ',' Where ']</v>
      </c>
      <c r="D2576" s="3">
        <v>1.0</v>
      </c>
    </row>
    <row r="2577" ht="15.75" customHeight="1">
      <c r="A2577" s="1">
        <v>2705.0</v>
      </c>
      <c r="B2577" s="3" t="s">
        <v>2521</v>
      </c>
      <c r="C2577" s="3" t="str">
        <f>IFERROR(__xludf.DUMMYFUNCTION("GOOGLETRANSLATE(B2577,""id"",""en"")"),"['updated', 'slow', 'open', 'feature', 'menu', 'menu', 'report', '']")</f>
        <v>['updated', 'slow', 'open', 'feature', 'menu', 'menu', 'report', '']</v>
      </c>
      <c r="D2577" s="3">
        <v>1.0</v>
      </c>
    </row>
    <row r="2578" ht="15.75" customHeight="1">
      <c r="A2578" s="1">
        <v>2707.0</v>
      </c>
      <c r="B2578" s="3" t="s">
        <v>2522</v>
      </c>
      <c r="C2578" s="3" t="str">
        <f>IFERROR(__xludf.DUMMYFUNCTION("GOOGLETRANSLATE(B2578,""id"",""en"")"),"['application', 'slow', 'menu', 'check', 'bill', 'missing', 'login', 'number', 'subscription', 'indihome', 'broken']")</f>
        <v>['application', 'slow', 'menu', 'check', 'bill', 'missing', 'login', 'number', 'subscription', 'indihome', 'broken']</v>
      </c>
      <c r="D2578" s="3">
        <v>1.0</v>
      </c>
    </row>
    <row r="2579" ht="15.75" customHeight="1">
      <c r="A2579" s="1">
        <v>2708.0</v>
      </c>
      <c r="B2579" s="3" t="s">
        <v>2523</v>
      </c>
      <c r="C2579" s="3" t="str">
        <f>IFERROR(__xludf.DUMMYFUNCTION("GOOGLETRANSLATE(B2579,""id"",""en"")"),"['Input', 'Indihome', 'Sorry', 'input', 'Failed', 'Wrong', 'Click', 'Complaint', 'Click', 'Help', 'Loading', 'then' Huffff ',' Happy ',' Please ',' Marketing ',' Please ',' Honest ',' Aunt ',' get ',' Costs', 'TLP', 'Call', 'Center', 'Keceptitan' , 'Dinin"&amp;"ikin', 'Mbps',' Severe ',' Marketing ',' Tlp ',' Lift ',' Aunt ',' Pay ',' That Sege ',' Child ',' Yatim ',' Zolimin ',' ']")</f>
        <v>['Input', 'Indihome', 'Sorry', 'input', 'Failed', 'Wrong', 'Click', 'Complaint', 'Click', 'Help', 'Loading', 'then' Huffff ',' Happy ',' Please ',' Marketing ',' Please ',' Honest ',' Aunt ',' get ',' Costs', 'TLP', 'Call', 'Center', 'Keceptitan' , 'Dininikin', 'Mbps',' Severe ',' Marketing ',' Tlp ',' Lift ',' Aunt ',' Pay ',' That Sege ',' Child ',' Yatim ',' Zolimin ',' ']</v>
      </c>
      <c r="D2579" s="3">
        <v>2.0</v>
      </c>
    </row>
    <row r="2580" ht="15.75" customHeight="1">
      <c r="A2580" s="1">
        <v>2709.0</v>
      </c>
      <c r="B2580" s="3" t="s">
        <v>2524</v>
      </c>
      <c r="C2580" s="3" t="str">
        <f>IFERROR(__xludf.DUMMYFUNCTION("GOOGLETRANSLATE(B2580,""id"",""en"")"),"['Disappointed', 'update', 'data', 'reset']")</f>
        <v>['Disappointed', 'update', 'data', 'reset']</v>
      </c>
      <c r="D2580" s="3">
        <v>1.0</v>
      </c>
    </row>
    <row r="2581" ht="15.75" customHeight="1">
      <c r="A2581" s="1">
        <v>2710.0</v>
      </c>
      <c r="B2581" s="3" t="s">
        <v>2525</v>
      </c>
      <c r="C2581" s="3" t="str">
        <f>IFERROR(__xludf.DUMMYFUNCTION("GOOGLETRANSLATE(B2581,""id"",""en"")"),"['The application', 'heavy', 'sitign', 'okay', 'loading', 'me', 'application', 'smooth', 'slow', 'try', 'fix']")</f>
        <v>['The application', 'heavy', 'sitign', 'okay', 'loading', 'me', 'application', 'smooth', 'slow', 'try', 'fix']</v>
      </c>
      <c r="D2581" s="3">
        <v>1.0</v>
      </c>
    </row>
    <row r="2582" ht="15.75" customHeight="1">
      <c r="A2582" s="1">
        <v>2711.0</v>
      </c>
      <c r="B2582" s="3" t="s">
        <v>2526</v>
      </c>
      <c r="C2582" s="3" t="str">
        <f>IFERROR(__xludf.DUMMYFUNCTION("GOOGLETRANSLATE(B2582,""id"",""en"")"),"['Service', 'disappointed', 'proof', 'termination', 'told', 'Pay', 'Full', 'Disconnect', 'device', 'work', 'slow']")</f>
        <v>['Service', 'disappointed', 'proof', 'termination', 'told', 'Pay', 'Full', 'Disconnect', 'device', 'work', 'slow']</v>
      </c>
      <c r="D2582" s="3">
        <v>1.0</v>
      </c>
    </row>
    <row r="2583" ht="15.75" customHeight="1">
      <c r="A2583" s="1">
        <v>2712.0</v>
      </c>
      <c r="B2583" s="3" t="s">
        <v>2527</v>
      </c>
      <c r="C2583" s="3" t="str">
        <f>IFERROR(__xludf.DUMMYFUNCTION("GOOGLETRANSLATE(B2583,""id"",""en"")"),"['Good', 'Internet', 'problematic', 'application', 'open']")</f>
        <v>['Good', 'Internet', 'problematic', 'application', 'open']</v>
      </c>
      <c r="D2583" s="3">
        <v>1.0</v>
      </c>
    </row>
    <row r="2584" ht="15.75" customHeight="1">
      <c r="A2584" s="1">
        <v>2713.0</v>
      </c>
      <c r="B2584" s="3" t="s">
        <v>2528</v>
      </c>
      <c r="C2584" s="3" t="str">
        <f>IFERROR(__xludf.DUMMYFUNCTION("GOOGLETRANSLATE(B2584,""id"",""en"")"),"['dilapidated']")</f>
        <v>['dilapidated']</v>
      </c>
      <c r="D2584" s="3">
        <v>1.0</v>
      </c>
    </row>
    <row r="2585" ht="15.75" customHeight="1">
      <c r="A2585" s="1">
        <v>2714.0</v>
      </c>
      <c r="B2585" s="3" t="s">
        <v>2529</v>
      </c>
      <c r="C2585" s="3" t="str">
        <f>IFERROR(__xludf.DUMMYFUNCTION("GOOGLETRANSLATE(B2585,""id"",""en"")"),"['relogin', 'reset', 'application', 'completed', 'fox', 'star', 'yesterday', 'UDH', 'send', 'report', 'number', 'cellphone', ' replace ',' try ',' relogation ',' use ',' number ',' robot ',' person ', ""]")</f>
        <v>['relogin', 'reset', 'application', 'completed', 'fox', 'star', 'yesterday', 'UDH', 'send', 'report', 'number', 'cellphone', ' replace ',' try ',' relogation ',' use ',' number ',' robot ',' person ', "]</v>
      </c>
      <c r="D2585" s="3">
        <v>1.0</v>
      </c>
    </row>
    <row r="2586" ht="15.75" customHeight="1">
      <c r="A2586" s="1">
        <v>2715.0</v>
      </c>
      <c r="B2586" s="3" t="s">
        <v>2530</v>
      </c>
      <c r="C2586" s="3" t="str">
        <f>IFERROR(__xludf.DUMMYFUNCTION("GOOGLETRANSLATE(B2586,""id"",""en"")"),"['Enter', 'Application', 'Enter', 'Interact', 'App', 'Update', 'Latest', 'Enter', 'Sweet', 'Email', 'Try', 'Try', ' App ',' direct ',' closed ']")</f>
        <v>['Enter', 'Application', 'Enter', 'Interact', 'App', 'Update', 'Latest', 'Enter', 'Sweet', 'Email', 'Try', 'Try', ' App ',' direct ',' closed ']</v>
      </c>
      <c r="D2586" s="3">
        <v>1.0</v>
      </c>
    </row>
    <row r="2587" ht="15.75" customHeight="1">
      <c r="A2587" s="1">
        <v>2716.0</v>
      </c>
      <c r="B2587" s="3" t="s">
        <v>2531</v>
      </c>
      <c r="C2587" s="3" t="str">
        <f>IFERROR(__xludf.DUMMYFUNCTION("GOOGLETRANSLATE(B2587,""id"",""en"")"),"['Update', 'Perlalah', 'erot', 'ngak', 'opened', 'slow', 'slow', 'RAM', ""]")</f>
        <v>['Update', 'Perlalah', 'erot', 'ngak', 'opened', 'slow', 'slow', 'RAM', "]</v>
      </c>
      <c r="D2587" s="3">
        <v>1.0</v>
      </c>
    </row>
    <row r="2588" ht="15.75" customHeight="1">
      <c r="A2588" s="1">
        <v>2717.0</v>
      </c>
      <c r="B2588" s="3" t="s">
        <v>2532</v>
      </c>
      <c r="C2588" s="3" t="str">
        <f>IFERROR(__xludf.DUMMYFUNCTION("GOOGLETRANSLATE(B2588,""id"",""en"")"),"['', 'Update', 'MLH', 'MUTER', 'TRS', 'Application', 'Benerin', 'Cook', 'class',' BUMN ',' No ',' Croschek ',' Leak ',' Update ',' System ',' ndak ']")</f>
        <v>['', 'Update', 'MLH', 'MUTER', 'TRS', 'Application', 'Benerin', 'Cook', 'class',' BUMN ',' No ',' Croschek ',' Leak ',' Update ',' System ',' ndak ']</v>
      </c>
      <c r="D2588" s="3">
        <v>1.0</v>
      </c>
    </row>
    <row r="2589" ht="15.75" customHeight="1">
      <c r="A2589" s="1">
        <v>2718.0</v>
      </c>
      <c r="B2589" s="3" t="s">
        <v>2533</v>
      </c>
      <c r="C2589" s="3" t="str">
        <f>IFERROR(__xludf.DUMMYFUNCTION("GOOGLETRANSLATE(B2589,""id"",""en"")"),"['application', 'tell', 'login', 'login', 'please', 'repaired', 'login', 'difficult', ""]")</f>
        <v>['application', 'tell', 'login', 'login', 'please', 'repaired', 'login', 'difficult', "]</v>
      </c>
      <c r="D2589" s="3">
        <v>1.0</v>
      </c>
    </row>
    <row r="2590" ht="15.75" customHeight="1">
      <c r="A2590" s="1">
        <v>2719.0</v>
      </c>
      <c r="B2590" s="3" t="s">
        <v>2534</v>
      </c>
      <c r="C2590" s="3" t="str">
        <f>IFERROR(__xludf.DUMMYFUNCTION("GOOGLETRANSLATE(B2590,""id"",""en"")"),"['response', 'App', 'New', 'update', 'slow', 'good', 'version']")</f>
        <v>['response', 'App', 'New', 'update', 'slow', 'good', 'version']</v>
      </c>
      <c r="D2590" s="3">
        <v>1.0</v>
      </c>
    </row>
    <row r="2591" ht="15.75" customHeight="1">
      <c r="A2591" s="1">
        <v>2720.0</v>
      </c>
      <c r="B2591" s="3" t="s">
        <v>2535</v>
      </c>
      <c r="C2591" s="3" t="str">
        <f>IFERROR(__xludf.DUMMYFUNCTION("GOOGLETRANSLATE(B2591,""id"",""en"")"),"['Please', 'Link', 'ZTE', 'Fix', 'Remove', 'Permit', 'Mac', 'Address',' Admin ',' Dead ',' Log ',' Out ',' Option ',' name ',' device ',' Copas', 'filled', 'alternating', 'Search', 'Mac', 'Addres',' Delete ',' pity ',' Pay ',' bill ' , 'bln', 'free', 'sec"&amp;"urity', 'minimal', 'bangat', 'use', 'application', 'external', 'bug', 'bangat', 'user', 'difficulty', ' Blocking ',' Thieves', 'Mac', 'Address',' Random ',' ']")</f>
        <v>['Please', 'Link', 'ZTE', 'Fix', 'Remove', 'Permit', 'Mac', 'Address',' Admin ',' Dead ',' Log ',' Out ',' Option ',' name ',' device ',' Copas', 'filled', 'alternating', 'Search', 'Mac', 'Addres',' Delete ',' pity ',' Pay ',' bill ' , 'bln', 'free', 'security', 'minimal', 'bangat', 'use', 'application', 'external', 'bug', 'bangat', 'user', 'difficulty', ' Blocking ',' Thieves', 'Mac', 'Address',' Random ',' ']</v>
      </c>
      <c r="D2591" s="3">
        <v>1.0</v>
      </c>
    </row>
    <row r="2592" ht="15.75" customHeight="1">
      <c r="A2592" s="1">
        <v>2721.0</v>
      </c>
      <c r="B2592" s="3" t="s">
        <v>2536</v>
      </c>
      <c r="C2592" s="3" t="str">
        <f>IFERROR(__xludf.DUMMYFUNCTION("GOOGLETRANSLATE(B2592,""id"",""en"")"),"['App', 'slow', 'Loading', 'Change']")</f>
        <v>['App', 'slow', 'Loading', 'Change']</v>
      </c>
      <c r="D2592" s="3">
        <v>1.0</v>
      </c>
    </row>
    <row r="2593" ht="15.75" customHeight="1">
      <c r="A2593" s="1">
        <v>2722.0</v>
      </c>
      <c r="B2593" s="3" t="s">
        <v>2537</v>
      </c>
      <c r="C2593" s="3" t="str">
        <f>IFERROR(__xludf.DUMMYFUNCTION("GOOGLETRANSLATE(B2593,""id"",""en"")"),"['Service', 'ugly', 'Disconnect', 'CSO', 'technicians', 'pitempha', 'task', 'assigned', 'internet', 'Bojonegoro', 'replace', ""]")</f>
        <v>['Service', 'ugly', 'Disconnect', 'CSO', 'technicians', 'pitempha', 'task', 'assigned', 'internet', 'Bojonegoro', 'replace', "]</v>
      </c>
      <c r="D2593" s="3">
        <v>2.0</v>
      </c>
    </row>
    <row r="2594" ht="15.75" customHeight="1">
      <c r="A2594" s="1">
        <v>2723.0</v>
      </c>
      <c r="B2594" s="3" t="s">
        <v>2538</v>
      </c>
      <c r="C2594" s="3" t="str">
        <f>IFERROR(__xludf.DUMMYFUNCTION("GOOGLETRANSLATE(B2594,""id"",""en"")"),"['Install', 'Indihome', 'package', 'internet', 'call', 'pay', 'thousand', 'fees',' pairs', 'as',' payment ',' November ',' Date ',' Pay ',' Check ',' Application ',' Indihome ',' Shocked ',' Deposit ',' Enter ',' Money ',' thousand ',' KPDA ',' Wrong ',' "&amp;"Employee ' , 'INDIHOME', 'MONEY', 'Pay', 'Scorched', 'Think', 'Aspect', 'Lies',' Fun ',' Star ',' Indihome ',' Karna ',' Description ',' Selayka ',' JLASNY ']")</f>
        <v>['Install', 'Indihome', 'package', 'internet', 'call', 'pay', 'thousand', 'fees',' pairs', 'as',' payment ',' November ',' Date ',' Pay ',' Check ',' Application ',' Indihome ',' Shocked ',' Deposit ',' Enter ',' Money ',' thousand ',' KPDA ',' Wrong ',' Employee ' , 'INDIHOME', 'MONEY', 'Pay', 'Scorched', 'Think', 'Aspect', 'Lies',' Fun ',' Star ',' Indihome ',' Karna ',' Description ',' Selayka ',' JLASNY ']</v>
      </c>
      <c r="D2594" s="3">
        <v>1.0</v>
      </c>
    </row>
    <row r="2595" ht="15.75" customHeight="1">
      <c r="A2595" s="1">
        <v>2724.0</v>
      </c>
      <c r="B2595" s="3" t="s">
        <v>2539</v>
      </c>
      <c r="C2595" s="3" t="str">
        <f>IFERROR(__xludf.DUMMYFUNCTION("GOOGLETRANSLATE(B2595,""id"",""en"")"),"['Application', 'responsive', 'crash', 'good', 'version']")</f>
        <v>['Application', 'responsive', 'crash', 'good', 'version']</v>
      </c>
      <c r="D2595" s="3">
        <v>2.0</v>
      </c>
    </row>
    <row r="2596" ht="15.75" customHeight="1">
      <c r="A2596" s="1">
        <v>2725.0</v>
      </c>
      <c r="B2596" s="3" t="s">
        <v>2540</v>
      </c>
      <c r="C2596" s="3" t="str">
        <f>IFERROR(__xludf.DUMMYFUNCTION("GOOGLETRANSLATE(B2596,""id"",""en"")"),"['update', 'difficult', 'login', 'app', 'slow']")</f>
        <v>['update', 'difficult', 'login', 'app', 'slow']</v>
      </c>
      <c r="D2596" s="3">
        <v>1.0</v>
      </c>
    </row>
    <row r="2597" ht="15.75" customHeight="1">
      <c r="A2597" s="1">
        <v>2726.0</v>
      </c>
      <c r="B2597" s="3" t="s">
        <v>2541</v>
      </c>
      <c r="C2597" s="3" t="str">
        <f>IFERROR(__xludf.DUMMYFUNCTION("GOOGLETRANSLATE(B2597,""id"",""en"")"),"['Bad', 'a month', 'times',' disorder ',' repairs', 'Lamma', 'Bannget', 'already', 'Bloom', 'Beres',' pay ',' road ',' Auto ',' Change ',' Next to ',' ']")</f>
        <v>['Bad', 'a month', 'times',' disorder ',' repairs', 'Lamma', 'Bannget', 'already', 'Bloom', 'Beres',' pay ',' road ',' Auto ',' Change ',' Next to ',' ']</v>
      </c>
      <c r="D2597" s="3">
        <v>1.0</v>
      </c>
    </row>
    <row r="2598" ht="15.75" customHeight="1">
      <c r="A2598" s="1">
        <v>2727.0</v>
      </c>
      <c r="B2598" s="3" t="s">
        <v>2542</v>
      </c>
      <c r="C2598" s="3" t="str">
        <f>IFERROR(__xludf.DUMMYFUNCTION("GOOGLETRANSLATE(B2598,""id"",""en"")"),"['Application', 'Latest', 'Different', 'Display', 'Decrease', 'Quality']")</f>
        <v>['Application', 'Latest', 'Different', 'Display', 'Decrease', 'Quality']</v>
      </c>
      <c r="D2598" s="3">
        <v>1.0</v>
      </c>
    </row>
    <row r="2599" ht="15.75" customHeight="1">
      <c r="A2599" s="1">
        <v>2728.0</v>
      </c>
      <c r="B2599" s="3" t="s">
        <v>2543</v>
      </c>
      <c r="C2599" s="3" t="str">
        <f>IFERROR(__xludf.DUMMYFUNCTION("GOOGLETRANSLATE(B2599,""id"",""en"")"),"['Update', 'MP', 'Application', 'company', 'Country', 'capital', 'Gede', 'Application', 'Yahya', 'Money', 'Costs',' Installation ',' Pegged ',' plus', 'PPN', 'package', 'expensive', 'Mbps',' price ',' PPN ',' Teparted ',' phone ',' spam ',' network ',' pr"&amp;"oblematic ' , 'Handinnya', '']")</f>
        <v>['Update', 'MP', 'Application', 'company', 'Country', 'capital', 'Gede', 'Application', 'Yahya', 'Money', 'Costs',' Installation ',' Pegged ',' plus', 'PPN', 'package', 'expensive', 'Mbps',' price ',' PPN ',' Teparted ',' phone ',' spam ',' network ',' problematic ' , 'Handinnya', '']</v>
      </c>
      <c r="D2599" s="3">
        <v>1.0</v>
      </c>
    </row>
    <row r="2600" ht="15.75" customHeight="1">
      <c r="A2600" s="1">
        <v>2729.0</v>
      </c>
      <c r="B2600" s="3" t="s">
        <v>2544</v>
      </c>
      <c r="C2600" s="3" t="str">
        <f>IFERROR(__xludf.DUMMYFUNCTION("GOOGLETRANSLATE(B2600,""id"",""en"")"),"['Fast', 'fast']")</f>
        <v>['Fast', 'fast']</v>
      </c>
      <c r="D2600" s="3">
        <v>5.0</v>
      </c>
    </row>
    <row r="2601" ht="15.75" customHeight="1">
      <c r="A2601" s="1">
        <v>2730.0</v>
      </c>
      <c r="B2601" s="3" t="s">
        <v>2545</v>
      </c>
      <c r="C2601" s="3" t="str">
        <f>IFERROR(__xludf.DUMMYFUNCTION("GOOGLETRANSLATE(B2601,""id"",""en"")"),"['Lemot', 'delay', 'Signal', 'Jumping', 'Solution', 'Pay', 'Indihome', 'Silly', '']")</f>
        <v>['Lemot', 'delay', 'Signal', 'Jumping', 'Solution', 'Pay', 'Indihome', 'Silly', '']</v>
      </c>
      <c r="D2601" s="3">
        <v>1.0</v>
      </c>
    </row>
    <row r="2602" ht="15.75" customHeight="1">
      <c r="A2602" s="1">
        <v>2731.0</v>
      </c>
      <c r="B2602" s="3" t="s">
        <v>2546</v>
      </c>
      <c r="C2602" s="3" t="str">
        <f>IFERROR(__xludf.DUMMYFUNCTION("GOOGLETRANSLATE(B2602,""id"",""en"")"),"['destroyed', '']")</f>
        <v>['destroyed', '']</v>
      </c>
      <c r="D2602" s="3">
        <v>1.0</v>
      </c>
    </row>
    <row r="2603" ht="15.75" customHeight="1">
      <c r="A2603" s="1">
        <v>2732.0</v>
      </c>
      <c r="B2603" s="3" t="s">
        <v>2547</v>
      </c>
      <c r="C2603" s="3" t="str">
        <f>IFERROR(__xludf.DUMMYFUNCTION("GOOGLETRANSLATE(B2603,""id"",""en"")"),"['Hadeh', 'cool', 'mass', 'wifi']")</f>
        <v>['Hadeh', 'cool', 'mass', 'wifi']</v>
      </c>
      <c r="D2603" s="3">
        <v>1.0</v>
      </c>
    </row>
    <row r="2604" ht="15.75" customHeight="1">
      <c r="A2604" s="1">
        <v>2733.0</v>
      </c>
      <c r="B2604" s="3" t="s">
        <v>2548</v>
      </c>
      <c r="C2604" s="3" t="str">
        <f>IFERROR(__xludf.DUMMYFUNCTION("GOOGLETRANSLATE(B2604,""id"",""en"")"),"['Application', 'repaired', 'feature', 'menu', 'main', 'package', 'internet', 'use', 'open']")</f>
        <v>['Application', 'repaired', 'feature', 'menu', 'main', 'package', 'internet', 'use', 'open']</v>
      </c>
      <c r="D2604" s="3">
        <v>1.0</v>
      </c>
    </row>
    <row r="2605" ht="15.75" customHeight="1">
      <c r="A2605" s="1">
        <v>2734.0</v>
      </c>
      <c r="B2605" s="3" t="s">
        <v>2549</v>
      </c>
      <c r="C2605" s="3" t="str">
        <f>IFERROR(__xludf.DUMMYFUNCTION("GOOGLETRANSLATE(B2605,""id"",""en"")"),"['It seems', 'contacted', '']")</f>
        <v>['It seems', 'contacted', '']</v>
      </c>
      <c r="D2605" s="3">
        <v>2.0</v>
      </c>
    </row>
    <row r="2606" ht="15.75" customHeight="1">
      <c r="A2606" s="1">
        <v>2735.0</v>
      </c>
      <c r="B2606" s="3" t="s">
        <v>2550</v>
      </c>
      <c r="C2606" s="3" t="str">
        <f>IFERROR(__xludf.DUMMYFUNCTION("GOOGLETRANSLATE(B2606,""id"",""en"")"),"['Update', 'Bad', 'Loading', 'then', '']")</f>
        <v>['Update', 'Bad', 'Loading', 'then', '']</v>
      </c>
      <c r="D2606" s="3">
        <v>1.0</v>
      </c>
    </row>
    <row r="2607" ht="15.75" customHeight="1">
      <c r="A2607" s="1">
        <v>2737.0</v>
      </c>
      <c r="B2607" s="3" t="s">
        <v>2551</v>
      </c>
      <c r="C2607" s="3" t="str">
        <f>IFERROR(__xludf.DUMMYFUNCTION("GOOGLETRANSLATE(B2607,""id"",""en"")"),"['ugly', 'application', 'update', 'purchase', 'renew', 'application', 'safe', 'safe']")</f>
        <v>['ugly', 'application', 'update', 'purchase', 'renew', 'application', 'safe', 'safe']</v>
      </c>
      <c r="D2607" s="3">
        <v>1.0</v>
      </c>
    </row>
    <row r="2608" ht="15.75" customHeight="1">
      <c r="A2608" s="1">
        <v>2738.0</v>
      </c>
      <c r="B2608" s="3" t="s">
        <v>2552</v>
      </c>
      <c r="C2608" s="3" t="str">
        <f>IFERROR(__xludf.DUMMYFUNCTION("GOOGLETRANSLATE(B2608,""id"",""en"")"),"['application', 'upgrade', 'difficult', 'gerinin', 'service', 'complaint', 'difficult', 'login', 'hope', 'fast', 'action', 'indihome']")</f>
        <v>['application', 'upgrade', 'difficult', 'gerinin', 'service', 'complaint', 'difficult', 'login', 'hope', 'fast', 'action', 'indihome']</v>
      </c>
      <c r="D2608" s="3">
        <v>1.0</v>
      </c>
    </row>
    <row r="2609" ht="15.75" customHeight="1">
      <c r="A2609" s="1">
        <v>2739.0</v>
      </c>
      <c r="B2609" s="3" t="s">
        <v>2553</v>
      </c>
      <c r="C2609" s="3" t="str">
        <f>IFERROR(__xludf.DUMMYFUNCTION("GOOGLETRANSLATE(B2609,""id"",""en"")"),"['heavy', 'application', 'newest', '']")</f>
        <v>['heavy', 'application', 'newest', '']</v>
      </c>
      <c r="D2609" s="3">
        <v>3.0</v>
      </c>
    </row>
    <row r="2610" ht="15.75" customHeight="1">
      <c r="A2610" s="1">
        <v>2740.0</v>
      </c>
      <c r="B2610" s="3" t="s">
        <v>2554</v>
      </c>
      <c r="C2610" s="3" t="str">
        <f>IFERROR(__xludf.DUMMYFUNCTION("GOOGLETRANSLATE(B2610,""id"",""en"")"),"['lag', 'Gini', 'Open', 'Application', 'Ribet']")</f>
        <v>['lag', 'Gini', 'Open', 'Application', 'Ribet']</v>
      </c>
      <c r="D2610" s="3">
        <v>1.0</v>
      </c>
    </row>
    <row r="2611" ht="15.75" customHeight="1">
      <c r="A2611" s="1">
        <v>2741.0</v>
      </c>
      <c r="B2611" s="3" t="s">
        <v>2555</v>
      </c>
      <c r="C2611" s="3" t="str">
        <f>IFERROR(__xludf.DUMMYFUNCTION("GOOGLETRANSLATE(B2611,""id"",""en"")"),"['improvement', 'system', 'mulu', 'application', 'poor', 'cave', 'download', 'ngelike', 'checked', 'use', 'lazy', 'download', ' Signal ',' Slow ',' Severe ',' Bill ',' Fast ',' Quality ',' WiFi ',' Bad ',' Deposit ',' Cave ',' Where ',' Woy ',' Check ' , "&amp;"'balance', 'empty', 'prition', 'pairs',' cave ',' pay ',' guarantee ',' skrng ',' guarantee ',' bln ',' kmna ',' entry ',' Pouches', 'trap', 'Batman', 'Application', 'Heart', 'Click', 'Wrong', 'Certified', 'Subscribe', 'Additional', ""]")</f>
        <v>['improvement', 'system', 'mulu', 'application', 'poor', 'cave', 'download', 'ngelike', 'checked', 'use', 'lazy', 'download', ' Signal ',' Slow ',' Severe ',' Bill ',' Fast ',' Quality ',' WiFi ',' Bad ',' Deposit ',' Cave ',' Where ',' Woy ',' Check ' , 'balance', 'empty', 'prition', 'pairs',' cave ',' pay ',' guarantee ',' skrng ',' guarantee ',' bln ',' kmna ',' entry ',' Pouches', 'trap', 'Batman', 'Application', 'Heart', 'Click', 'Wrong', 'Certified', 'Subscribe', 'Additional', "]</v>
      </c>
      <c r="D2611" s="3">
        <v>1.0</v>
      </c>
    </row>
    <row r="2612" ht="15.75" customHeight="1">
      <c r="A2612" s="1">
        <v>2742.0</v>
      </c>
      <c r="B2612" s="3" t="s">
        <v>2556</v>
      </c>
      <c r="C2612" s="3" t="str">
        <f>IFERROR(__xludf.DUMMYFUNCTION("GOOGLETRANSLATE(B2612,""id"",""en"")"),"['Application', 'Useful', 'Report', 'FAIL']")</f>
        <v>['Application', 'Useful', 'Report', 'FAIL']</v>
      </c>
      <c r="D2612" s="3">
        <v>1.0</v>
      </c>
    </row>
    <row r="2613" ht="15.75" customHeight="1">
      <c r="A2613" s="1">
        <v>2744.0</v>
      </c>
      <c r="B2613" s="3" t="s">
        <v>2557</v>
      </c>
      <c r="C2613" s="3" t="str">
        <f>IFERROR(__xludf.DUMMYFUNCTION("GOOGLETRANSLATE(B2613,""id"",""en"")"),"['rubbish']")</f>
        <v>['rubbish']</v>
      </c>
      <c r="D2613" s="3">
        <v>1.0</v>
      </c>
    </row>
    <row r="2614" ht="15.75" customHeight="1">
      <c r="A2614" s="1">
        <v>2745.0</v>
      </c>
      <c r="B2614" s="3" t="s">
        <v>2558</v>
      </c>
      <c r="C2614" s="3" t="str">
        <f>IFERROR(__xludf.DUMMYFUNCTION("GOOGLETRANSLATE(B2614,""id"",""en"")"),"['version', 'update', 'Bener', 'bug', 'slow', 'internet', 'slow', 'anjirrr']")</f>
        <v>['version', 'update', 'Bener', 'bug', 'slow', 'internet', 'slow', 'anjirrr']</v>
      </c>
      <c r="D2614" s="3">
        <v>1.0</v>
      </c>
    </row>
    <row r="2615" ht="15.75" customHeight="1">
      <c r="A2615" s="1">
        <v>2746.0</v>
      </c>
      <c r="B2615" s="3" t="s">
        <v>2559</v>
      </c>
      <c r="C2615" s="3" t="str">
        <f>IFERROR(__xludf.DUMMYFUNCTION("GOOGLETRANSLATE(B2615,""id"",""en"")"),"['Login', 'Boss', 'Update', 'Leet', 'Cemana', 'Boss', ""]")</f>
        <v>['Login', 'Boss', 'Update', 'Leet', 'Cemana', 'Boss', "]</v>
      </c>
      <c r="D2615" s="3">
        <v>1.0</v>
      </c>
    </row>
    <row r="2616" ht="15.75" customHeight="1">
      <c r="A2616" s="1">
        <v>2747.0</v>
      </c>
      <c r="B2616" s="3" t="s">
        <v>2560</v>
      </c>
      <c r="C2616" s="3" t="str">
        <f>IFERROR(__xludf.DUMMYFUNCTION("GOOGLETRANSLATE(B2616,""id"",""en"")"),"['How', 'KOQ', 'ilang', 'complain', 'already', 'disorder', 'signal', 'nyensat', 'download', 'picture', 'application', 'gag', ' YouTube ',' Smart ',' Troubled ',' ']")</f>
        <v>['How', 'KOQ', 'ilang', 'complain', 'already', 'disorder', 'signal', 'nyensat', 'download', 'picture', 'application', 'gag', ' YouTube ',' Smart ',' Troubled ',' ']</v>
      </c>
      <c r="D2616" s="3">
        <v>1.0</v>
      </c>
    </row>
    <row r="2617" ht="15.75" customHeight="1">
      <c r="A2617" s="1">
        <v>2748.0</v>
      </c>
      <c r="B2617" s="3" t="s">
        <v>2561</v>
      </c>
      <c r="C2617" s="3" t="str">
        <f>IFERROR(__xludf.DUMMYFUNCTION("GOOGLETRANSLATE(B2617,""id"",""en"")"),"['application', 'verification', 'account', 'complicated', 'speech', 'muter', 'help', 'complicated', '']")</f>
        <v>['application', 'verification', 'account', 'complicated', 'speech', 'muter', 'help', 'complicated', '']</v>
      </c>
      <c r="D2617" s="3">
        <v>1.0</v>
      </c>
    </row>
    <row r="2618" ht="15.75" customHeight="1">
      <c r="A2618" s="1">
        <v>2749.0</v>
      </c>
      <c r="B2618" s="3" t="s">
        <v>2562</v>
      </c>
      <c r="C2618" s="3" t="str">
        <f>IFERROR(__xludf.DUMMYFUNCTION("GOOGLETRANSLATE(B2618,""id"",""en"")"),"['Sorry', 'myindihome', 'please', 'wifi', 'repay', 'smooth', 'decent', 'wifi', 'hopefully', 'myindihome', 'fix', 'as good', ' wifi ',' smooth ']")</f>
        <v>['Sorry', 'myindihome', 'please', 'wifi', 'repay', 'smooth', 'decent', 'wifi', 'hopefully', 'myindihome', 'fix', 'as good', ' wifi ',' smooth ']</v>
      </c>
      <c r="D2618" s="3">
        <v>5.0</v>
      </c>
    </row>
    <row r="2619" ht="15.75" customHeight="1">
      <c r="A2619" s="1">
        <v>2750.0</v>
      </c>
      <c r="B2619" s="3" t="s">
        <v>2563</v>
      </c>
      <c r="C2619" s="3" t="str">
        <f>IFERROR(__xludf.DUMMYFUNCTION("GOOGLETRANSLATE(B2619,""id"",""en"")"),"['late', 'pay', 'fine', 'turn', 'network', 'NGK', 'fix', 'say it', 'sorry', 'tasty', 'bett', 'anjg', ' router ',' delay ',' until ',' ms', 'bngstt', 'trash', 'really']")</f>
        <v>['late', 'pay', 'fine', 'turn', 'network', 'NGK', 'fix', 'say it', 'sorry', 'tasty', 'bett', 'anjg', ' router ',' delay ',' until ',' ms', 'bngstt', 'trash', 'really']</v>
      </c>
      <c r="D2619" s="3">
        <v>1.0</v>
      </c>
    </row>
    <row r="2620" ht="15.75" customHeight="1">
      <c r="A2620" s="1">
        <v>2752.0</v>
      </c>
      <c r="B2620" s="3" t="s">
        <v>2564</v>
      </c>
      <c r="C2620" s="3" t="str">
        <f>IFERROR(__xludf.DUMMYFUNCTION("GOOGLETRANSLATE(B2620,""id"",""en"")"),"['Loading', 'really', 'wifi', 'fix', '']")</f>
        <v>['Loading', 'really', 'wifi', 'fix', '']</v>
      </c>
      <c r="D2620" s="3">
        <v>3.0</v>
      </c>
    </row>
    <row r="2621" ht="15.75" customHeight="1">
      <c r="A2621" s="1">
        <v>2753.0</v>
      </c>
      <c r="B2621" s="3" t="s">
        <v>2295</v>
      </c>
      <c r="C2621" s="3" t="str">
        <f>IFERROR(__xludf.DUMMYFUNCTION("GOOGLETRANSLATE(B2621,""id"",""en"")"),"['Ampas']")</f>
        <v>['Ampas']</v>
      </c>
      <c r="D2621" s="3">
        <v>1.0</v>
      </c>
    </row>
    <row r="2622" ht="15.75" customHeight="1">
      <c r="A2622" s="1">
        <v>2754.0</v>
      </c>
      <c r="B2622" s="3" t="s">
        <v>2565</v>
      </c>
      <c r="C2622" s="3" t="str">
        <f>IFERROR(__xludf.DUMMYFUNCTION("GOOGLETRANSLATE(B2622,""id"",""en"")"),"['application', 'uodate', 'newest', 'good', 'choose', 'number', 'indiehome', 'active', 'failed', 'veranda', 'home', 'check Bug ',' ']")</f>
        <v>['application', 'uodate', 'newest', 'good', 'choose', 'number', 'indiehome', 'active', 'failed', 'veranda', 'home', 'check Bug ',' ']</v>
      </c>
      <c r="D2622" s="3">
        <v>4.0</v>
      </c>
    </row>
    <row r="2623" ht="15.75" customHeight="1">
      <c r="A2623" s="1">
        <v>2755.0</v>
      </c>
      <c r="B2623" s="3" t="s">
        <v>2566</v>
      </c>
      <c r="C2623" s="3" t="str">
        <f>IFERROR(__xludf.DUMMYFUNCTION("GOOGLETRANSLATE(B2623,""id"",""en"")"),"['application', 'garbage', 'bangse', 'money']")</f>
        <v>['application', 'garbage', 'bangse', 'money']</v>
      </c>
      <c r="D2623" s="3">
        <v>1.0</v>
      </c>
    </row>
    <row r="2624" ht="15.75" customHeight="1">
      <c r="A2624" s="1">
        <v>2756.0</v>
      </c>
      <c r="B2624" s="3" t="s">
        <v>2567</v>
      </c>
      <c r="C2624" s="3" t="str">
        <f>IFERROR(__xludf.DUMMYFUNCTION("GOOGLETRANSLATE(B2624,""id"",""en"")"),"['ugly', 'indihome', 'slow', 'low', 'response', 'reason', 'repairs',' network ',' bramg ',' daily ',' indihome ',' connects', ' Easy ',' Provider ',' Move ',' ']")</f>
        <v>['ugly', 'indihome', 'slow', 'low', 'response', 'reason', 'repairs',' network ',' bramg ',' daily ',' indihome ',' connects', ' Easy ',' Provider ',' Move ',' ']</v>
      </c>
      <c r="D2624" s="3">
        <v>1.0</v>
      </c>
    </row>
    <row r="2625" ht="15.75" customHeight="1">
      <c r="A2625" s="1">
        <v>2757.0</v>
      </c>
      <c r="B2625" s="3" t="s">
        <v>2568</v>
      </c>
      <c r="C2625" s="3" t="str">
        <f>IFERROR(__xludf.DUMMYFUNCTION("GOOGLETRANSLATE(B2625,""id"",""en"")"),"['Application', 'Enter', 'Email', 'Registered', 'Severe', 'It']")</f>
        <v>['Application', 'Enter', 'Email', 'Registered', 'Severe', 'It']</v>
      </c>
      <c r="D2625" s="3">
        <v>1.0</v>
      </c>
    </row>
    <row r="2626" ht="15.75" customHeight="1">
      <c r="A2626" s="1">
        <v>2758.0</v>
      </c>
      <c r="B2626" s="3" t="s">
        <v>2569</v>
      </c>
      <c r="C2626" s="3" t="str">
        <f>IFERROR(__xludf.DUMMYFUNCTION("GOOGLETRANSLATE(B2626,""id"",""en"")"),"['Admin', 'friendly']")</f>
        <v>['Admin', 'friendly']</v>
      </c>
      <c r="D2626" s="3">
        <v>5.0</v>
      </c>
    </row>
    <row r="2627" ht="15.75" customHeight="1">
      <c r="A2627" s="1">
        <v>2759.0</v>
      </c>
      <c r="B2627" s="3" t="s">
        <v>2570</v>
      </c>
      <c r="C2627" s="3" t="str">
        <f>IFERROR(__xludf.DUMMYFUNCTION("GOOGLETRANSLATE(B2627,""id"",""en"")"),"['Bener', 'comment', 'quality']")</f>
        <v>['Bener', 'comment', 'quality']</v>
      </c>
      <c r="D2627" s="3">
        <v>1.0</v>
      </c>
    </row>
    <row r="2628" ht="15.75" customHeight="1">
      <c r="A2628" s="1">
        <v>2760.0</v>
      </c>
      <c r="B2628" s="3" t="s">
        <v>2571</v>
      </c>
      <c r="C2628" s="3" t="str">
        <f>IFERROR(__xludf.DUMMYFUNCTION("GOOGLETRANSLATE(B2628,""id"",""en"")"),"['application', 'already', 'update', 'smooth', 'slow', 'really', 'use', 'update', ""]")</f>
        <v>['application', 'already', 'update', 'smooth', 'slow', 'really', 'use', 'update', "]</v>
      </c>
      <c r="D2628" s="3">
        <v>1.0</v>
      </c>
    </row>
    <row r="2629" ht="15.75" customHeight="1">
      <c r="A2629" s="1">
        <v>2761.0</v>
      </c>
      <c r="B2629" s="3" t="s">
        <v>2572</v>
      </c>
      <c r="C2629" s="3" t="str">
        <f>IFERROR(__xludf.DUMMYFUNCTION("GOOGLETRANSLATE(B2629,""id"",""en"")"),"['Bagusan', 'version', 'Yesterday']")</f>
        <v>['Bagusan', 'version', 'Yesterday']</v>
      </c>
      <c r="D2629" s="3">
        <v>1.0</v>
      </c>
    </row>
    <row r="2630" ht="15.75" customHeight="1">
      <c r="A2630" s="1">
        <v>2762.0</v>
      </c>
      <c r="B2630" s="3" t="s">
        <v>2573</v>
      </c>
      <c r="C2630" s="3" t="str">
        <f>IFERROR(__xludf.DUMMYFUNCTION("GOOGLETRANSLATE(B2630,""id"",""en"")"),"['The application', 'update', 'slow', 'bangett', 'stupid', 'the application']")</f>
        <v>['The application', 'update', 'slow', 'bangett', 'stupid', 'the application']</v>
      </c>
      <c r="D2630" s="3">
        <v>1.0</v>
      </c>
    </row>
    <row r="2631" ht="15.75" customHeight="1">
      <c r="A2631" s="1">
        <v>2763.0</v>
      </c>
      <c r="B2631" s="3" t="s">
        <v>2574</v>
      </c>
      <c r="C2631" s="3" t="str">
        <f>IFERROR(__xludf.DUMMYFUNCTION("GOOGLETRANSLATE(B2631,""id"",""en"")"),"['Tide', 'wifi', 'order', 'application', 'package', 'just', '']")</f>
        <v>['Tide', 'wifi', 'order', 'application', 'package', 'just', '']</v>
      </c>
      <c r="D2631" s="3">
        <v>1.0</v>
      </c>
    </row>
    <row r="2632" ht="15.75" customHeight="1">
      <c r="A2632" s="1">
        <v>2764.0</v>
      </c>
      <c r="B2632" s="3" t="s">
        <v>2575</v>
      </c>
      <c r="C2632" s="3" t="str">
        <f>IFERROR(__xludf.DUMMYFUNCTION("GOOGLETRANSLATE(B2632,""id"",""en"")"),"['Update', 'The application', 'slow', 'comfortable']")</f>
        <v>['Update', 'The application', 'slow', 'comfortable']</v>
      </c>
      <c r="D2632" s="3">
        <v>3.0</v>
      </c>
    </row>
    <row r="2633" ht="15.75" customHeight="1">
      <c r="A2633" s="1">
        <v>2765.0</v>
      </c>
      <c r="B2633" s="3" t="s">
        <v>2576</v>
      </c>
      <c r="C2633" s="3" t="str">
        <f>IFERROR(__xludf.DUMMYFUNCTION("GOOGLETRANSLATE(B2633,""id"",""en"")"),"['Bad', 'Signal']")</f>
        <v>['Bad', 'Signal']</v>
      </c>
      <c r="D2633" s="3">
        <v>1.0</v>
      </c>
    </row>
    <row r="2634" ht="15.75" customHeight="1">
      <c r="A2634" s="1">
        <v>2766.0</v>
      </c>
      <c r="B2634" s="3" t="s">
        <v>2577</v>
      </c>
      <c r="C2634" s="3" t="str">
        <f>IFERROR(__xludf.DUMMYFUNCTION("GOOGLETRANSLATE(B2634,""id"",""en"")"),"['Indihome', 'Bad', 'Mending', 'Search', 'Provider']")</f>
        <v>['Indihome', 'Bad', 'Mending', 'Search', 'Provider']</v>
      </c>
      <c r="D2634" s="3">
        <v>1.0</v>
      </c>
    </row>
    <row r="2635" ht="15.75" customHeight="1">
      <c r="A2635" s="1">
        <v>2767.0</v>
      </c>
      <c r="B2635" s="3" t="s">
        <v>1737</v>
      </c>
      <c r="C2635" s="3" t="str">
        <f>IFERROR(__xludf.DUMMYFUNCTION("GOOGLETRANSLATE(B2635,""id"",""en"")"),"['application']")</f>
        <v>['application']</v>
      </c>
      <c r="D2635" s="3">
        <v>1.0</v>
      </c>
    </row>
    <row r="2636" ht="15.75" customHeight="1">
      <c r="A2636" s="1">
        <v>2768.0</v>
      </c>
      <c r="B2636" s="3" t="s">
        <v>2578</v>
      </c>
      <c r="C2636" s="3" t="str">
        <f>IFERROR(__xludf.DUMMYFUNCTION("GOOGLETRANSLATE(B2636,""id"",""en"")"),"['Parahhhhhh']")</f>
        <v>['Parahhhhhh']</v>
      </c>
      <c r="D2636" s="3">
        <v>1.0</v>
      </c>
    </row>
    <row r="2637" ht="15.75" customHeight="1">
      <c r="A2637" s="1">
        <v>2769.0</v>
      </c>
      <c r="B2637" s="3" t="s">
        <v>2579</v>
      </c>
      <c r="C2637" s="3" t="str">
        <f>IFERROR(__xludf.DUMMYFUNCTION("GOOGLETRANSLATE(B2637,""id"",""en"")"),"['Internet', 'Ngelag']")</f>
        <v>['Internet', 'Ngelag']</v>
      </c>
      <c r="D2637" s="3">
        <v>1.0</v>
      </c>
    </row>
    <row r="2638" ht="15.75" customHeight="1">
      <c r="A2638" s="1">
        <v>2770.0</v>
      </c>
      <c r="B2638" s="3" t="s">
        <v>2580</v>
      </c>
      <c r="C2638" s="3" t="str">
        <f>IFERROR(__xludf.DUMMYFUNCTION("GOOGLETRANSLATE(B2638,""id"",""en"")"),"['Signal', 'Severe', 'Sya', 'Mbps', 'Update', 'Application', 'MAH', 'Signal', 'Fix']")</f>
        <v>['Signal', 'Severe', 'Sya', 'Mbps', 'Update', 'Application', 'MAH', 'Signal', 'Fix']</v>
      </c>
      <c r="D2638" s="3">
        <v>1.0</v>
      </c>
    </row>
    <row r="2639" ht="15.75" customHeight="1">
      <c r="A2639" s="1">
        <v>2771.0</v>
      </c>
      <c r="B2639" s="3" t="s">
        <v>2581</v>
      </c>
      <c r="C2639" s="3" t="str">
        <f>IFERROR(__xludf.DUMMYFUNCTION("GOOGLETRANSLATE(B2639,""id"",""en"")"),"['disorder', 'poor', 'pay', 'expensive', '']")</f>
        <v>['disorder', 'poor', 'pay', 'expensive', '']</v>
      </c>
      <c r="D2639" s="3">
        <v>1.0</v>
      </c>
    </row>
    <row r="2640" ht="15.75" customHeight="1">
      <c r="A2640" s="1">
        <v>2772.0</v>
      </c>
      <c r="B2640" s="3" t="s">
        <v>2582</v>
      </c>
      <c r="C2640" s="3" t="str">
        <f>IFERROR(__xludf.DUMMYFUNCTION("GOOGLETRANSLATE(B2640,""id"",""en"")"),"['out', 'update', 'ugly', 'see', 'tault', 'ease', '']")</f>
        <v>['out', 'update', 'ugly', 'see', 'tault', 'ease', '']</v>
      </c>
      <c r="D2640" s="3">
        <v>1.0</v>
      </c>
    </row>
    <row r="2641" ht="15.75" customHeight="1">
      <c r="A2641" s="1">
        <v>2773.0</v>
      </c>
      <c r="B2641" s="3" t="s">
        <v>1911</v>
      </c>
      <c r="C2641" s="3" t="str">
        <f>IFERROR(__xludf.DUMMYFUNCTION("GOOGLETRANSLATE(B2641,""id"",""en"")"),"['Leet']")</f>
        <v>['Leet']</v>
      </c>
      <c r="D2641" s="3">
        <v>5.0</v>
      </c>
    </row>
    <row r="2642" ht="15.75" customHeight="1">
      <c r="A2642" s="1">
        <v>2774.0</v>
      </c>
      <c r="B2642" s="3" t="s">
        <v>2583</v>
      </c>
      <c r="C2642" s="3" t="str">
        <f>IFERROR(__xludf.DUMMYFUNCTION("GOOGLETRANSLATE(B2642,""id"",""en"")"),"['The application', 'repaired', 'subscribe', 'wrong', 'add', 'it's easy', 'really', 'click', 'subscription', 'directly', 'active', 'stop', ' Subscribe ',' complicated ',' failed ',' menu ',' Profile ',' told ',' enter ',' KTP ',' Verified ',' according to"&amp;" ',' request ',' update ',' times' , 'Severe', 'Application', 'Super', 'Leet', 'Wonder', 'class', 'Indihome', 'Application', 'Kek', 'Gini', ""]")</f>
        <v>['The application', 'repaired', 'subscribe', 'wrong', 'add', 'it's easy', 'really', 'click', 'subscription', 'directly', 'active', 'stop', ' Subscribe ',' complicated ',' failed ',' menu ',' Profile ',' told ',' enter ',' KTP ',' Verified ',' according to ',' request ',' update ',' times' , 'Severe', 'Application', 'Super', 'Leet', 'Wonder', 'class', 'Indihome', 'Application', 'Kek', 'Gini', "]</v>
      </c>
      <c r="D2642" s="3">
        <v>1.0</v>
      </c>
    </row>
    <row r="2643" ht="15.75" customHeight="1">
      <c r="A2643" s="1">
        <v>2775.0</v>
      </c>
      <c r="B2643" s="3" t="s">
        <v>2584</v>
      </c>
      <c r="C2643" s="3" t="str">
        <f>IFERROR(__xludf.DUMMYFUNCTION("GOOGLETRANSLATE(B2643,""id"",""en"")"),"['Error', 'Claim', 'Voucher', 'Cashier', 'Error', 'Disappointing']")</f>
        <v>['Error', 'Claim', 'Voucher', 'Cashier', 'Error', 'Disappointing']</v>
      </c>
      <c r="D2643" s="3">
        <v>1.0</v>
      </c>
    </row>
    <row r="2644" ht="15.75" customHeight="1">
      <c r="A2644" s="1">
        <v>2776.0</v>
      </c>
      <c r="B2644" s="3" t="s">
        <v>2585</v>
      </c>
      <c r="C2644" s="3" t="str">
        <f>IFERROR(__xludf.DUMMYFUNCTION("GOOGLETRANSLATE(B2644,""id"",""en"")"),"['Disruption', 'Mulu', 'Bosss', 'Pay', 'expensive', 'expensive', 'disorder', 'basic', 'indigay']")</f>
        <v>['Disruption', 'Mulu', 'Bosss', 'Pay', 'expensive', 'expensive', 'disorder', 'basic', 'indigay']</v>
      </c>
      <c r="D2644" s="3">
        <v>1.0</v>
      </c>
    </row>
    <row r="2645" ht="15.75" customHeight="1">
      <c r="A2645" s="1">
        <v>2777.0</v>
      </c>
      <c r="B2645" s="3" t="s">
        <v>2586</v>
      </c>
      <c r="C2645" s="3" t="str">
        <f>IFERROR(__xludf.DUMMYFUNCTION("GOOGLETRANSLATE(B2645,""id"",""en"")"),"['Knap', 'Login', 'Posts', 'Sorry', 'Improved', 'Service']")</f>
        <v>['Knap', 'Login', 'Posts', 'Sorry', 'Improved', 'Service']</v>
      </c>
      <c r="D2645" s="3">
        <v>1.0</v>
      </c>
    </row>
    <row r="2646" ht="15.75" customHeight="1">
      <c r="A2646" s="1">
        <v>2778.0</v>
      </c>
      <c r="B2646" s="3" t="s">
        <v>2587</v>
      </c>
      <c r="C2646" s="3" t="str">
        <f>IFERROR(__xludf.DUMMYFUNCTION("GOOGLETRANSLATE(B2646,""id"",""en"")"),"['Good', 'application']")</f>
        <v>['Good', 'application']</v>
      </c>
      <c r="D2646" s="3">
        <v>3.0</v>
      </c>
    </row>
    <row r="2647" ht="15.75" customHeight="1">
      <c r="A2647" s="1">
        <v>2779.0</v>
      </c>
      <c r="B2647" s="3" t="s">
        <v>2588</v>
      </c>
      <c r="C2647" s="3" t="str">
        <f>IFERROR(__xludf.DUMMYFUNCTION("GOOGLETRANSLATE(B2647,""id"",""en"")"),"['Update', 'Points', 'Indihome', 'Lost', 'Solution', 'Points', '']")</f>
        <v>['Update', 'Points', 'Indihome', 'Lost', 'Solution', 'Points', '']</v>
      </c>
      <c r="D2647" s="3">
        <v>1.0</v>
      </c>
    </row>
    <row r="2648" ht="15.75" customHeight="1">
      <c r="A2648" s="1">
        <v>2780.0</v>
      </c>
      <c r="B2648" s="3" t="s">
        <v>2589</v>
      </c>
      <c r="C2648" s="3" t="str">
        <f>IFERROR(__xludf.DUMMYFUNCTION("GOOGLETRANSLATE(B2648,""id"",""en"")"),"['Gwe', 'update', 'mlh', 'slow', 'complement', 'internet', 'muter', 'continuedsss']")</f>
        <v>['Gwe', 'update', 'mlh', 'slow', 'complement', 'internet', 'muter', 'continuedsss']</v>
      </c>
      <c r="D2648" s="3">
        <v>1.0</v>
      </c>
    </row>
    <row r="2649" ht="15.75" customHeight="1">
      <c r="A2649" s="1">
        <v>2781.0</v>
      </c>
      <c r="B2649" s="3" t="s">
        <v>2590</v>
      </c>
      <c r="C2649" s="3" t="str">
        <f>IFERROR(__xludf.DUMMYFUNCTION("GOOGLETRANSLATE(B2649,""id"",""en"")"),"['', 'user', 'App', 'Myindihome', 'Disappointed', 'updated', 'enter', 'App', 'Lola', 'checked', 'account', 'msh', 'Lola ',' ket ',' msh ',' renewal ',' system ',' until ',' wait ',' fix ',' service ',' system ',' hope ',' dessative ',' comment ', 'thank y"&amp;"ou', '']")</f>
        <v>['', 'user', 'App', 'Myindihome', 'Disappointed', 'updated', 'enter', 'App', 'Lola', 'checked', 'account', 'msh', 'Lola ',' ket ',' msh ',' renewal ',' system ',' until ',' wait ',' fix ',' service ',' system ',' hope ',' dessative ',' comment ', 'thank you', '']</v>
      </c>
      <c r="D2649" s="3">
        <v>1.0</v>
      </c>
    </row>
    <row r="2650" ht="15.75" customHeight="1">
      <c r="A2650" s="1">
        <v>2782.0</v>
      </c>
      <c r="B2650" s="3" t="s">
        <v>2591</v>
      </c>
      <c r="C2650" s="3" t="str">
        <f>IFERROR(__xludf.DUMMYFUNCTION("GOOGLETRANSLATE(B2650,""id"",""en"")"),"['Send', 'Service', 'Service', 'WiFi', 'WiFi', 'Life', 'Posts', 'Development', 'Service']")</f>
        <v>['Send', 'Service', 'Service', 'WiFi', 'WiFi', 'Life', 'Posts', 'Development', 'Service']</v>
      </c>
      <c r="D2650" s="3">
        <v>1.0</v>
      </c>
    </row>
    <row r="2651" ht="15.75" customHeight="1">
      <c r="A2651" s="1">
        <v>2783.0</v>
      </c>
      <c r="B2651" s="3" t="s">
        <v>2592</v>
      </c>
      <c r="C2651" s="3" t="str">
        <f>IFERROR(__xludf.DUMMYFUNCTION("GOOGLETRANSLATE(B2651,""id"",""en"")"),"['update', 'automatic', 'log', 'apes',' forget ',' password ',' follow ',' hint ',' complicated ',' sms', 'reply', 'token', ' Code ',' Verifocation ',' Have ',' Wait ',' Clock ',' Arrange ',' Reset ',' Sheet ',' Comment ',' Machine ',' The answer ']")</f>
        <v>['update', 'automatic', 'log', 'apes',' forget ',' password ',' follow ',' hint ',' complicated ',' sms', 'reply', 'token', ' Code ',' Verifocation ',' Have ',' Wait ',' Clock ',' Arrange ',' Reset ',' Sheet ',' Comment ',' Machine ',' The answer ']</v>
      </c>
      <c r="D2651" s="3">
        <v>1.0</v>
      </c>
    </row>
    <row r="2652" ht="15.75" customHeight="1">
      <c r="A2652" s="1">
        <v>2784.0</v>
      </c>
      <c r="B2652" s="3" t="s">
        <v>2593</v>
      </c>
      <c r="C2652" s="3" t="str">
        <f>IFERROR(__xludf.DUMMYFUNCTION("GOOGLETRANSLATE(B2652,""id"",""en"")"),"['installation', 'smooth', 'pay', 'CES', 'technician', 'friendly', 'patient', 'yesterday', 'pairs',' wait ',' ahead ',' hope ',' Constraints', 'Salamsukses',' Telkom ',' Thank you ', ""]")</f>
        <v>['installation', 'smooth', 'pay', 'CES', 'technician', 'friendly', 'patient', 'yesterday', 'pairs',' wait ',' ahead ',' hope ',' Constraints', 'Salamsukses',' Telkom ',' Thank you ', "]</v>
      </c>
      <c r="D2652" s="3">
        <v>3.0</v>
      </c>
    </row>
    <row r="2653" ht="15.75" customHeight="1">
      <c r="A2653" s="1">
        <v>2785.0</v>
      </c>
      <c r="B2653" s="3" t="s">
        <v>2594</v>
      </c>
      <c r="C2653" s="3" t="str">
        <f>IFERROR(__xludf.DUMMYFUNCTION("GOOGLETRANSLATE(B2653,""id"",""en"")"),"['Provider', 'Zholim']")</f>
        <v>['Provider', 'Zholim']</v>
      </c>
      <c r="D2653" s="3">
        <v>1.0</v>
      </c>
    </row>
    <row r="2654" ht="15.75" customHeight="1">
      <c r="A2654" s="1">
        <v>2786.0</v>
      </c>
      <c r="B2654" s="3" t="s">
        <v>2595</v>
      </c>
      <c r="C2654" s="3" t="str">
        <f>IFERROR(__xludf.DUMMYFUNCTION("GOOGLETRANSLATE(B2654,""id"",""en"")"),"['application', 'makes it easy', 'customers', 'make it difficult', 'network', 'chaotic', 'application', 'bise', 'chaotic', 'update', ""]")</f>
        <v>['application', 'makes it easy', 'customers', 'make it difficult', 'network', 'chaotic', 'application', 'bise', 'chaotic', 'update', "]</v>
      </c>
      <c r="D2654" s="3">
        <v>1.0</v>
      </c>
    </row>
    <row r="2655" ht="15.75" customHeight="1">
      <c r="A2655" s="1">
        <v>2787.0</v>
      </c>
      <c r="B2655" s="3" t="s">
        <v>2596</v>
      </c>
      <c r="C2655" s="3" t="str">
        <f>IFERROR(__xludf.DUMMYFUNCTION("GOOGLETRANSLATE(B2655,""id"",""en"")"),"['Cool', 'Display', 'updated']")</f>
        <v>['Cool', 'Display', 'updated']</v>
      </c>
      <c r="D2655" s="3">
        <v>5.0</v>
      </c>
    </row>
    <row r="2656" ht="15.75" customHeight="1">
      <c r="A2656" s="1">
        <v>2788.0</v>
      </c>
      <c r="B2656" s="3" t="s">
        <v>2597</v>
      </c>
      <c r="C2656" s="3" t="str">
        <f>IFERROR(__xludf.DUMMYFUNCTION("GOOGLETRANSLATE(B2656,""id"",""en"")"),"['', 'heavy', 'really', 'content', 'app', 'belm', 'open', 'full', 'loading', 'just', 'simple', 'user', 'pay ',' Total ',' usage ',' graph ',' daily ',' use ',' info ',' surrounding ',' fix ',' ']")</f>
        <v>['', 'heavy', 'really', 'content', 'app', 'belm', 'open', 'full', 'loading', 'just', 'simple', 'user', 'pay ',' Total ',' usage ',' graph ',' daily ',' use ',' info ',' surrounding ',' fix ',' ']</v>
      </c>
      <c r="D2656" s="3">
        <v>1.0</v>
      </c>
    </row>
    <row r="2657" ht="15.75" customHeight="1">
      <c r="A2657" s="1">
        <v>2789.0</v>
      </c>
      <c r="B2657" s="3" t="s">
        <v>2598</v>
      </c>
      <c r="C2657" s="3" t="str">
        <f>IFERROR(__xludf.DUMMYFUNCTION("GOOGLETRANSLATE(B2657,""id"",""en"")"),"['application', 'ugly', 'heavy', 'class', 'Telkom', 'application', 'Severe', 'really', ""]")</f>
        <v>['application', 'ugly', 'heavy', 'class', 'Telkom', 'application', 'Severe', 'really', "]</v>
      </c>
      <c r="D2657" s="3">
        <v>1.0</v>
      </c>
    </row>
    <row r="2658" ht="15.75" customHeight="1">
      <c r="A2658" s="1">
        <v>2790.0</v>
      </c>
      <c r="B2658" s="3" t="s">
        <v>2599</v>
      </c>
      <c r="C2658" s="3" t="str">
        <f>IFERROR(__xludf.DUMMYFUNCTION("GOOGLETRANSLATE(B2658,""id"",""en"")"),"['Update', 'Application', 'Lemot']")</f>
        <v>['Update', 'Application', 'Lemot']</v>
      </c>
      <c r="D2658" s="3">
        <v>1.0</v>
      </c>
    </row>
    <row r="2659" ht="15.75" customHeight="1">
      <c r="A2659" s="1">
        <v>2791.0</v>
      </c>
      <c r="B2659" s="3" t="s">
        <v>2600</v>
      </c>
      <c r="C2659" s="3" t="str">
        <f>IFERROR(__xludf.DUMMYFUNCTION("GOOGLETRANSLATE(B2659,""id"",""en"")"),"['Please', 'Update', 'Login']")</f>
        <v>['Please', 'Update', 'Login']</v>
      </c>
      <c r="D2659" s="3">
        <v>1.0</v>
      </c>
    </row>
    <row r="2660" ht="15.75" customHeight="1">
      <c r="A2660" s="1">
        <v>2792.0</v>
      </c>
      <c r="B2660" s="3" t="s">
        <v>2601</v>
      </c>
      <c r="C2660" s="3" t="str">
        <f>IFERROR(__xludf.DUMMYFUNCTION("GOOGLETRANSLATE(B2660,""id"",""en"")"),"['Mantab', 'Normal']")</f>
        <v>['Mantab', 'Normal']</v>
      </c>
      <c r="D2660" s="3">
        <v>5.0</v>
      </c>
    </row>
    <row r="2661" ht="15.75" customHeight="1">
      <c r="A2661" s="1">
        <v>2793.0</v>
      </c>
      <c r="B2661" s="3" t="s">
        <v>2602</v>
      </c>
      <c r="C2661" s="3" t="str">
        <f>IFERROR(__xludf.DUMMYFUNCTION("GOOGLETRANSLATE(B2661,""id"",""en"")"),"['Out', 'Update', 'Login', 'Mending', 'Application', 'Ribet']")</f>
        <v>['Out', 'Update', 'Login', 'Mending', 'Application', 'Ribet']</v>
      </c>
      <c r="D2661" s="3">
        <v>1.0</v>
      </c>
    </row>
    <row r="2662" ht="15.75" customHeight="1">
      <c r="A2662" s="1">
        <v>2794.0</v>
      </c>
      <c r="B2662" s="3" t="s">
        <v>2603</v>
      </c>
      <c r="C2662" s="3" t="str">
        <f>IFERROR(__xludf.DUMMYFUNCTION("GOOGLETRANSLATE(B2662,""id"",""en"")"),"['application', 'damaged', 'update', 'features',' update ',' server ',' bother ',' help ',' mal ',' add ',' burden ',' please ',' The developer ',' update ',' rare ',' updet ',' please ',' locked ',' server ']")</f>
        <v>['application', 'damaged', 'update', 'features',' update ',' server ',' bother ',' help ',' mal ',' add ',' burden ',' please ',' The developer ',' update ',' rare ',' updet ',' please ',' locked ',' server ']</v>
      </c>
      <c r="D2662" s="3">
        <v>1.0</v>
      </c>
    </row>
    <row r="2663" ht="15.75" customHeight="1">
      <c r="A2663" s="1">
        <v>2795.0</v>
      </c>
      <c r="B2663" s="3" t="s">
        <v>2604</v>
      </c>
      <c r="C2663" s="3" t="str">
        <f>IFERROR(__xludf.DUMMYFUNCTION("GOOGLETRANSLATE(B2663,""id"",""en"")"),"['How', 'Indihome', 'Network', 'Bad', '']")</f>
        <v>['How', 'Indihome', 'Network', 'Bad', '']</v>
      </c>
      <c r="D2663" s="3">
        <v>1.0</v>
      </c>
    </row>
    <row r="2664" ht="15.75" customHeight="1">
      <c r="A2664" s="1">
        <v>2796.0</v>
      </c>
      <c r="B2664" s="3" t="s">
        <v>2605</v>
      </c>
      <c r="C2664" s="3" t="str">
        <f>IFERROR(__xludf.DUMMYFUNCTION("GOOGLETRANSLATE(B2664,""id"",""en"")"),"['Leet', 'really', 'open', 'sukur', 'open', 'sangking', 'loading', 'jdi', 'lazy', 'open']")</f>
        <v>['Leet', 'really', 'open', 'sukur', 'open', 'sangking', 'loading', 'jdi', 'lazy', 'open']</v>
      </c>
      <c r="D2664" s="3">
        <v>1.0</v>
      </c>
    </row>
    <row r="2665" ht="15.75" customHeight="1">
      <c r="A2665" s="1">
        <v>2797.0</v>
      </c>
      <c r="B2665" s="3" t="s">
        <v>2606</v>
      </c>
      <c r="C2665" s="3" t="str">
        <f>IFERROR(__xludf.DUMMYFUNCTION("GOOGLETRANSLATE(B2665,""id"",""en"")"),"['The application', 'Leled', 'call', 'Ribet', 'really']")</f>
        <v>['The application', 'Leled', 'call', 'Ribet', 'really']</v>
      </c>
      <c r="D2665" s="3">
        <v>1.0</v>
      </c>
    </row>
    <row r="2666" ht="15.75" customHeight="1">
      <c r="A2666" s="1">
        <v>2798.0</v>
      </c>
      <c r="B2666" s="3" t="s">
        <v>2607</v>
      </c>
      <c r="C2666" s="3" t="str">
        <f>IFERROR(__xludf.DUMMYFUNCTION("GOOGLETRANSLATE(B2666,""id"",""en"")"),"['Update', 'Application', 'Latest', 'Used', 'Loading', 'Daritadi', 'Open', 'YouTube', 'Free', 'Call', 'Current', 'Please', ' Fixed ',' Application ',' Applied ']")</f>
        <v>['Update', 'Application', 'Latest', 'Used', 'Loading', 'Daritadi', 'Open', 'YouTube', 'Free', 'Call', 'Current', 'Please', ' Fixed ',' Application ',' Applied ']</v>
      </c>
      <c r="D2666" s="3">
        <v>1.0</v>
      </c>
    </row>
    <row r="2667" ht="15.75" customHeight="1">
      <c r="A2667" s="1">
        <v>2799.0</v>
      </c>
      <c r="B2667" s="3" t="s">
        <v>2608</v>
      </c>
      <c r="C2667" s="3" t="str">
        <f>IFERROR(__xludf.DUMMYFUNCTION("GOOGLETRANSLATE(B2667,""id"",""en"")"),"['opened', 'class', 'Telkom', 'Application', 'Bener']")</f>
        <v>['opened', 'class', 'Telkom', 'Application', 'Bener']</v>
      </c>
      <c r="D2667" s="3">
        <v>1.0</v>
      </c>
    </row>
    <row r="2668" ht="15.75" customHeight="1">
      <c r="A2668" s="1">
        <v>2800.0</v>
      </c>
      <c r="B2668" s="3" t="s">
        <v>2609</v>
      </c>
      <c r="C2668" s="3" t="str">
        <f>IFERROR(__xludf.DUMMYFUNCTION("GOOGLETRANSLATE(B2668,""id"",""en"")"),"['Lemootttt', 'Update', 'Application', 'Severe']")</f>
        <v>['Lemootttt', 'Update', 'Application', 'Severe']</v>
      </c>
      <c r="D2668" s="3">
        <v>1.0</v>
      </c>
    </row>
    <row r="2669" ht="15.75" customHeight="1">
      <c r="A2669" s="1">
        <v>2801.0</v>
      </c>
      <c r="B2669" s="3" t="s">
        <v>2610</v>
      </c>
      <c r="C2669" s="3" t="str">
        <f>IFERROR(__xludf.DUMMYFUNCTION("GOOGLETRANSLATE(B2669,""id"",""en"")"),"['Applicationskseriusupdate']")</f>
        <v>['Applicationskseriusupdate']</v>
      </c>
      <c r="D2669" s="3">
        <v>3.0</v>
      </c>
    </row>
    <row r="2670" ht="15.75" customHeight="1">
      <c r="A2670" s="1">
        <v>2802.0</v>
      </c>
      <c r="B2670" s="3" t="s">
        <v>2611</v>
      </c>
      <c r="C2670" s="3" t="str">
        <f>IFERROR(__xludf.DUMMYFUNCTION("GOOGLETRANSLATE(B2670,""id"",""en"")"),"['Since', 'Out', 'Upgrade', 'Version', 'Open', 'Page', 'Indihome', 'Slow', 'Very', 'Upgrade', 'Good', 'Heavy', ' Open ',' Page ',' Indihome ',' Fix ',' Application ',' Servin ',' Internet ',' Lemod ',' Open ',' Page ',' Application ', ""]")</f>
        <v>['Since', 'Out', 'Upgrade', 'Version', 'Open', 'Page', 'Indihome', 'Slow', 'Very', 'Upgrade', 'Good', 'Heavy', ' Open ',' Page ',' Indihome ',' Fix ',' Application ',' Servin ',' Internet ',' Lemod ',' Open ',' Page ',' Application ', "]</v>
      </c>
      <c r="D2670" s="3">
        <v>1.0</v>
      </c>
    </row>
    <row r="2671" ht="15.75" customHeight="1">
      <c r="A2671" s="1">
        <v>2803.0</v>
      </c>
      <c r="B2671" s="3" t="s">
        <v>2612</v>
      </c>
      <c r="C2671" s="3" t="str">
        <f>IFERROR(__xludf.DUMMYFUNCTION("GOOGLETRANSLATE(B2671,""id"",""en"")"),"['all day', 'internet', 'disorder', 'notification', 'estimation', 'connected', '']")</f>
        <v>['all day', 'internet', 'disorder', 'notification', 'estimation', 'connected', '']</v>
      </c>
      <c r="D2671" s="3">
        <v>1.0</v>
      </c>
    </row>
    <row r="2672" ht="15.75" customHeight="1">
      <c r="A2672" s="1">
        <v>2804.0</v>
      </c>
      <c r="B2672" s="3" t="s">
        <v>2613</v>
      </c>
      <c r="C2672" s="3" t="str">
        <f>IFERROR(__xludf.DUMMYFUNCTION("GOOGLETRANSLATE(B2672,""id"",""en"")"),"['Wonder', 'employees',' Indihone ',' checks', 'reasons',' meters', 'difficult', 'complicated', 'network', 'full', 'hospot', 'environment', ' Installation ',' lazy ']")</f>
        <v>['Wonder', 'employees',' Indihone ',' checks', 'reasons',' meters', 'difficult', 'complicated', 'network', 'full', 'hospot', 'environment', ' Installation ',' lazy ']</v>
      </c>
      <c r="D2672" s="3">
        <v>1.0</v>
      </c>
    </row>
    <row r="2673" ht="15.75" customHeight="1">
      <c r="A2673" s="1">
        <v>2805.0</v>
      </c>
      <c r="B2673" s="3" t="s">
        <v>2614</v>
      </c>
      <c r="C2673" s="3" t="str">
        <f>IFERROR(__xludf.DUMMYFUNCTION("GOOGLETRANSLATE(B2673,""id"",""en"")"),"['Out', 'update', 'good', 'slow', 'severe']")</f>
        <v>['Out', 'update', 'good', 'slow', 'severe']</v>
      </c>
      <c r="D2673" s="3">
        <v>1.0</v>
      </c>
    </row>
    <row r="2674" ht="15.75" customHeight="1">
      <c r="A2674" s="1">
        <v>2806.0</v>
      </c>
      <c r="B2674" s="3" t="s">
        <v>2615</v>
      </c>
      <c r="C2674" s="3" t="str">
        <f>IFERROR(__xludf.DUMMYFUNCTION("GOOGLETRANSLATE(B2674,""id"",""en"")"),"['update', 'TeeBaru', 'bad', 'super', 'slow', 'feature', 'complete', 'complain', 'available', 'strange', ""]")</f>
        <v>['update', 'TeeBaru', 'bad', 'super', 'slow', 'feature', 'complete', 'complain', 'available', 'strange', "]</v>
      </c>
      <c r="D2674" s="3">
        <v>1.0</v>
      </c>
    </row>
    <row r="2675" ht="15.75" customHeight="1">
      <c r="A2675" s="1">
        <v>2807.0</v>
      </c>
      <c r="B2675" s="3" t="s">
        <v>2616</v>
      </c>
      <c r="C2675" s="3" t="str">
        <f>IFERROR(__xludf.DUMMYFUNCTION("GOOGLETRANSLATE(B2675,""id"",""en"")"),"['Hello', 'Maap', 'Login', 'Myindihome', 'Enter', 'number', 'Email', 'Maap', 'Please', 'Sorry', 'Improved', 'Service', ' ']")</f>
        <v>['Hello', 'Maap', 'Login', 'Myindihome', 'Enter', 'number', 'Email', 'Maap', 'Please', 'Sorry', 'Improved', 'Service', ' ']</v>
      </c>
      <c r="D2675" s="3">
        <v>1.0</v>
      </c>
    </row>
    <row r="2676" ht="15.75" customHeight="1">
      <c r="A2676" s="1">
        <v>2808.0</v>
      </c>
      <c r="B2676" s="3" t="s">
        <v>2617</v>
      </c>
      <c r="C2676" s="3" t="str">
        <f>IFERROR(__xludf.DUMMYFUNCTION("GOOGLETRANSLATE(B2676,""id"",""en"")"),"['verification', 'already', 'ngeselin', 'gajelas', 'emang', 'indihome']")</f>
        <v>['verification', 'already', 'ngeselin', 'gajelas', 'emang', 'indihome']</v>
      </c>
      <c r="D2676" s="3">
        <v>1.0</v>
      </c>
    </row>
    <row r="2677" ht="15.75" customHeight="1">
      <c r="A2677" s="1">
        <v>2809.0</v>
      </c>
      <c r="B2677" s="3" t="s">
        <v>2618</v>
      </c>
      <c r="C2677" s="3" t="str">
        <f>IFERROR(__xludf.DUMMYFUNCTION("GOOGLETRANSLATE(B2677,""id"",""en"")"),"['Bln', 'Login', 'TLF', 'TTP', 'Improved', 'Service', 'TRS', 'Alesan']")</f>
        <v>['Bln', 'Login', 'TLF', 'TTP', 'Improved', 'Service', 'TRS', 'Alesan']</v>
      </c>
      <c r="D2677" s="3">
        <v>1.0</v>
      </c>
    </row>
    <row r="2678" ht="15.75" customHeight="1">
      <c r="A2678" s="1">
        <v>2810.0</v>
      </c>
      <c r="B2678" s="3" t="s">
        <v>2619</v>
      </c>
      <c r="C2678" s="3" t="str">
        <f>IFERROR(__xludf.DUMMYFUNCTION("GOOGLETRANSLATE(B2678,""id"",""en"")"),"['Hello', 'Telecommunications',' Indonesia ',' Please ',' Info ',' Activation ',' Wallet ',' Myindihome ',' Application ',' Edited ',' Myindihome ',' Kurun ',' replace ',' display ',' application ',' relogin ',' insert ',' data ',' login ',' data ',' null"&amp;" ',' date ',' born ', ""]")</f>
        <v>['Hello', 'Telecommunications',' Indonesia ',' Please ',' Info ',' Activation ',' Wallet ',' Myindihome ',' Application ',' Edited ',' Myindihome ',' Kurun ',' replace ',' display ',' application ',' relogin ',' insert ',' data ',' login ',' data ',' null ',' date ',' born ', "]</v>
      </c>
      <c r="D2678" s="3">
        <v>2.0</v>
      </c>
    </row>
    <row r="2679" ht="15.75" customHeight="1">
      <c r="A2679" s="1">
        <v>2811.0</v>
      </c>
      <c r="B2679" s="3" t="s">
        <v>2620</v>
      </c>
      <c r="C2679" s="3" t="str">
        <f>IFERROR(__xludf.DUMMYFUNCTION("GOOGLETRANSLATE(B2679,""id"",""en"")"),"['slow', 'really', 'network', 'broke', 'complained', 'bbrp', 'times',' lined ',' smooth ',' hose ',' week ',' slow ',' price ',' according to ',' service ',' beg ',' repaired ']")</f>
        <v>['slow', 'really', 'network', 'broke', 'complained', 'bbrp', 'times',' lined ',' smooth ',' hose ',' week ',' slow ',' price ',' according to ',' service ',' beg ',' repaired ']</v>
      </c>
      <c r="D2679" s="3">
        <v>1.0</v>
      </c>
    </row>
    <row r="2680" ht="15.75" customHeight="1">
      <c r="A2680" s="1">
        <v>2812.0</v>
      </c>
      <c r="B2680" s="3" t="s">
        <v>2621</v>
      </c>
      <c r="C2680" s="3" t="str">
        <f>IFERROR(__xludf.DUMMYFUNCTION("GOOGLETRANSLATE(B2680,""id"",""en"")"),"['Update', 'Good', 'Access', 'Move', 'Haluan']")</f>
        <v>['Update', 'Good', 'Access', 'Move', 'Haluan']</v>
      </c>
      <c r="D2680" s="3">
        <v>2.0</v>
      </c>
    </row>
    <row r="2681" ht="15.75" customHeight="1">
      <c r="A2681" s="1">
        <v>2813.0</v>
      </c>
      <c r="B2681" s="3" t="s">
        <v>2622</v>
      </c>
      <c r="C2681" s="3" t="str">
        <f>IFERROR(__xludf.DUMMYFUNCTION("GOOGLETRANSLATE(B2681,""id"",""en"")"),"['Application', 'Super', 'slow', 'Please', 'repaired', 'Customer', 'Disappointed']")</f>
        <v>['Application', 'Super', 'slow', 'Please', 'repaired', 'Customer', 'Disappointed']</v>
      </c>
      <c r="D2681" s="3">
        <v>2.0</v>
      </c>
    </row>
    <row r="2682" ht="15.75" customHeight="1">
      <c r="A2682" s="1">
        <v>2814.0</v>
      </c>
      <c r="B2682" s="3" t="s">
        <v>2623</v>
      </c>
      <c r="C2682" s="3" t="str">
        <f>IFERROR(__xludf.DUMMYFUNCTION("GOOGLETRANSLATE(B2682,""id"",""en"")"),"['INDIHOME', 'CARE', 'Good', 'Gercep', 'Thanks', ""]")</f>
        <v>['INDIHOME', 'CARE', 'Good', 'Gercep', 'Thanks', "]</v>
      </c>
      <c r="D2682" s="3">
        <v>5.0</v>
      </c>
    </row>
    <row r="2683" ht="15.75" customHeight="1">
      <c r="A2683" s="1">
        <v>2815.0</v>
      </c>
      <c r="B2683" s="3" t="s">
        <v>2624</v>
      </c>
      <c r="C2683" s="3" t="str">
        <f>IFERROR(__xludf.DUMMYFUNCTION("GOOGLETRANSLATE(B2683,""id"",""en"")"),"['user', 'friendly', 'really', 'regret', 'dehhh']")</f>
        <v>['user', 'friendly', 'really', 'regret', 'dehhh']</v>
      </c>
      <c r="D2683" s="3">
        <v>5.0</v>
      </c>
    </row>
    <row r="2684" ht="15.75" customHeight="1">
      <c r="A2684" s="1">
        <v>2816.0</v>
      </c>
      <c r="B2684" s="3" t="s">
        <v>2625</v>
      </c>
      <c r="C2684" s="3" t="str">
        <f>IFERROR(__xludf.DUMMYFUNCTION("GOOGLETRANSLATE(B2684,""id"",""en"")"),"['lag', 'bgsd', 'damn']")</f>
        <v>['lag', 'bgsd', 'damn']</v>
      </c>
      <c r="D2684" s="3">
        <v>1.0</v>
      </c>
    </row>
    <row r="2685" ht="15.75" customHeight="1">
      <c r="A2685" s="1">
        <v>2817.0</v>
      </c>
      <c r="B2685" s="3" t="s">
        <v>2626</v>
      </c>
      <c r="C2685" s="3" t="str">
        <f>IFERROR(__xludf.DUMMYFUNCTION("GOOGLETRANSLATE(B2685,""id"",""en"")"),"['wifinya', 'Cool', 'Kenceng', 'really', 'until', 'used']")</f>
        <v>['wifinya', 'Cool', 'Kenceng', 'really', 'until', 'used']</v>
      </c>
      <c r="D2685" s="3">
        <v>1.0</v>
      </c>
    </row>
    <row r="2686" ht="15.75" customHeight="1">
      <c r="A2686" s="1">
        <v>2818.0</v>
      </c>
      <c r="B2686" s="3" t="s">
        <v>2627</v>
      </c>
      <c r="C2686" s="3" t="str">
        <f>IFERROR(__xludf.DUMMYFUNCTION("GOOGLETRANSLATE(B2686,""id"",""en"")"),"['Indihome', 'smooth', 'update', 'application', 'myindihome', 'recommend', 'verification', 'emai', 'easy', 'mksih', 'indihome', ""]")</f>
        <v>['Indihome', 'smooth', 'update', 'application', 'myindihome', 'recommend', 'verification', 'emai', 'easy', 'mksih', 'indihome', "]</v>
      </c>
      <c r="D2686" s="3">
        <v>5.0</v>
      </c>
    </row>
    <row r="2687" ht="15.75" customHeight="1">
      <c r="A2687" s="1">
        <v>2819.0</v>
      </c>
      <c r="B2687" s="3" t="s">
        <v>548</v>
      </c>
      <c r="C2687" s="3" t="str">
        <f>IFERROR(__xludf.DUMMYFUNCTION("GOOGLETRANSLATE(B2687,""id"",""en"")"),"['help', '']")</f>
        <v>['help', '']</v>
      </c>
      <c r="D2687" s="3">
        <v>5.0</v>
      </c>
    </row>
    <row r="2688" ht="15.75" customHeight="1">
      <c r="A2688" s="1">
        <v>2820.0</v>
      </c>
      <c r="B2688" s="3" t="s">
        <v>2628</v>
      </c>
      <c r="C2688" s="3" t="str">
        <f>IFERROR(__xludf.DUMMYFUNCTION("GOOGLETRANSLATE(B2688,""id"",""en"")"),"['servant', 'slow', 'disappointed', 'slow', 'indihom']")</f>
        <v>['servant', 'slow', 'disappointed', 'slow', 'indihom']</v>
      </c>
      <c r="D2688" s="3">
        <v>1.0</v>
      </c>
    </row>
    <row r="2689" ht="15.75" customHeight="1">
      <c r="A2689" s="1">
        <v>2821.0</v>
      </c>
      <c r="B2689" s="3" t="s">
        <v>2629</v>
      </c>
      <c r="C2689" s="3" t="str">
        <f>IFERROR(__xludf.DUMMYFUNCTION("GOOGLETRANSLATE(B2689,""id"",""en"")"),"['', 'Open', 'APK', '']")</f>
        <v>['', 'Open', 'APK', '']</v>
      </c>
      <c r="D2689" s="3">
        <v>1.0</v>
      </c>
    </row>
    <row r="2690" ht="15.75" customHeight="1">
      <c r="A2690" s="1">
        <v>2822.0</v>
      </c>
      <c r="B2690" s="3" t="s">
        <v>2630</v>
      </c>
      <c r="C2690" s="3" t="str">
        <f>IFERROR(__xludf.DUMMYFUNCTION("GOOGLETRANSLATE(B2690,""id"",""en"")"),"['Wow', 'Application', 'Useful', 'really']")</f>
        <v>['Wow', 'Application', 'Useful', 'really']</v>
      </c>
      <c r="D2690" s="3">
        <v>5.0</v>
      </c>
    </row>
    <row r="2691" ht="15.75" customHeight="1">
      <c r="A2691" s="1">
        <v>2823.0</v>
      </c>
      <c r="B2691" s="3" t="s">
        <v>2631</v>
      </c>
      <c r="C2691" s="3" t="str">
        <f>IFERROR(__xludf.DUMMYFUNCTION("GOOGLETRANSLATE(B2691,""id"",""en"")"),"['Update', 'Package', 'Number', 'Internet', 'Loading', 'Please', 'Improve', '']")</f>
        <v>['Update', 'Package', 'Number', 'Internet', 'Loading', 'Please', 'Improve', '']</v>
      </c>
      <c r="D2691" s="3">
        <v>1.0</v>
      </c>
    </row>
    <row r="2692" ht="15.75" customHeight="1">
      <c r="A2692" s="1">
        <v>2824.0</v>
      </c>
      <c r="B2692" s="3" t="s">
        <v>2632</v>
      </c>
      <c r="C2692" s="3" t="str">
        <f>IFERROR(__xludf.DUMMYFUNCTION("GOOGLETRANSLATE(B2692,""id"",""en"")"),"['Update', 'Application', 'Myindihome', 'Opened', 'The Application', 'Taste', 'Heavy', 'Very', 'Updated', 'Bad']")</f>
        <v>['Update', 'Application', 'Myindihome', 'Opened', 'The Application', 'Taste', 'Heavy', 'Very', 'Updated', 'Bad']</v>
      </c>
      <c r="D2692" s="3">
        <v>1.0</v>
      </c>
    </row>
    <row r="2693" ht="15.75" customHeight="1">
      <c r="A2693" s="1">
        <v>2825.0</v>
      </c>
      <c r="B2693" s="3" t="s">
        <v>2633</v>
      </c>
      <c r="C2693" s="3" t="str">
        <f>IFERROR(__xludf.DUMMYFUNCTION("GOOGLETRANSLATE(B2693,""id"",""en"")"),"['Basic', 'Gembel', 'Application', 'Pig', 'Hard', 'Access',' Bangke ',' Ngepain ',' Adin ',' Application ',' Access', 'MAYAL', ' Doang ',' Quality ',' Bad ']")</f>
        <v>['Basic', 'Gembel', 'Application', 'Pig', 'Hard', 'Access',' Bangke ',' Ngepain ',' Adin ',' Application ',' Access', 'MAYAL', ' Doang ',' Quality ',' Bad ']</v>
      </c>
      <c r="D2693" s="3">
        <v>1.0</v>
      </c>
    </row>
    <row r="2694" ht="15.75" customHeight="1">
      <c r="A2694" s="1">
        <v>2826.0</v>
      </c>
      <c r="B2694" s="3" t="s">
        <v>2634</v>
      </c>
      <c r="C2694" s="3" t="str">
        <f>IFERROR(__xludf.DUMMYFUNCTION("GOOGLETRANSLATE(B2694,""id"",""en"")"),"['APK', 'Error', 'Login', 'Register']")</f>
        <v>['APK', 'Error', 'Login', 'Register']</v>
      </c>
      <c r="D2694" s="3">
        <v>3.0</v>
      </c>
    </row>
    <row r="2695" ht="15.75" customHeight="1">
      <c r="A2695" s="1">
        <v>2827.0</v>
      </c>
      <c r="B2695" s="3" t="s">
        <v>2635</v>
      </c>
      <c r="C2695" s="3" t="str">
        <f>IFERROR(__xludf.DUMMYFUNCTION("GOOGLETRANSLATE(B2695,""id"",""en"")"),"['Indihome', 'here', 'bad', 'quality', 'network', 'slow down', 'disorder', 'los',' turn ',' bill ',' really ',' fast ',' Paid ',' service ',' noticed ',' ']")</f>
        <v>['Indihome', 'here', 'bad', 'quality', 'network', 'slow down', 'disorder', 'los',' turn ',' bill ',' really ',' fast ',' Paid ',' service ',' noticed ',' ']</v>
      </c>
      <c r="D2695" s="3">
        <v>1.0</v>
      </c>
    </row>
    <row r="2696" ht="15.75" customHeight="1">
      <c r="A2696" s="1">
        <v>2828.0</v>
      </c>
      <c r="B2696" s="3" t="s">
        <v>2636</v>
      </c>
      <c r="C2696" s="3" t="str">
        <f>IFERROR(__xludf.DUMMYFUNCTION("GOOGLETRANSLATE(B2696,""id"",""en"")"),"['Application', 'INDIHOME', 'LEMOT', 'PEAH']")</f>
        <v>['Application', 'INDIHOME', 'LEMOT', 'PEAH']</v>
      </c>
      <c r="D2696" s="3">
        <v>1.0</v>
      </c>
    </row>
    <row r="2697" ht="15.75" customHeight="1">
      <c r="A2697" s="1">
        <v>2829.0</v>
      </c>
      <c r="B2697" s="3" t="s">
        <v>1737</v>
      </c>
      <c r="C2697" s="3" t="str">
        <f>IFERROR(__xludf.DUMMYFUNCTION("GOOGLETRANSLATE(B2697,""id"",""en"")"),"['application']")</f>
        <v>['application']</v>
      </c>
      <c r="D2697" s="3">
        <v>1.0</v>
      </c>
    </row>
    <row r="2698" ht="15.75" customHeight="1">
      <c r="A2698" s="1">
        <v>2830.0</v>
      </c>
      <c r="B2698" s="3" t="s">
        <v>2637</v>
      </c>
      <c r="C2698" s="3" t="str">
        <f>IFERROR(__xludf.DUMMYFUNCTION("GOOGLETRANSLATE(B2698,""id"",""en"")"),"['chaotic', 'update', 'loading', 'continued', 'difficult', 'entry', 'network', 'rain', 'down', 'ugly', ""]")</f>
        <v>['chaotic', 'update', 'loading', 'continued', 'difficult', 'entry', 'network', 'rain', 'down', 'ugly', "]</v>
      </c>
      <c r="D2698" s="3">
        <v>2.0</v>
      </c>
    </row>
    <row r="2699" ht="15.75" customHeight="1">
      <c r="A2699" s="1">
        <v>2831.0</v>
      </c>
      <c r="B2699" s="3" t="s">
        <v>2638</v>
      </c>
      <c r="C2699" s="3" t="str">
        <f>IFERROR(__xludf.DUMMYFUNCTION("GOOGLETRANSLATE(B2699,""id"",""en"")"),"['APK', 'Leet', 'Network', 'Los']")</f>
        <v>['APK', 'Leet', 'Network', 'Los']</v>
      </c>
      <c r="D2699" s="3">
        <v>1.0</v>
      </c>
    </row>
    <row r="2700" ht="15.75" customHeight="1">
      <c r="A2700" s="1">
        <v>2833.0</v>
      </c>
      <c r="B2700" s="3" t="s">
        <v>2639</v>
      </c>
      <c r="C2700" s="3" t="str">
        <f>IFERROR(__xludf.DUMMYFUNCTION("GOOGLETRANSLATE(B2700,""id"",""en"")"),"['report', 'application', 'response', 'Cept', 'officer', 'area', 'menu', 'report', 'complicated', 'can', 'ticket', 'report']")</f>
        <v>['report', 'application', 'response', 'Cept', 'officer', 'area', 'menu', 'report', 'complicated', 'can', 'ticket', 'report']</v>
      </c>
      <c r="D2700" s="3">
        <v>1.0</v>
      </c>
    </row>
    <row r="2701" ht="15.75" customHeight="1">
      <c r="A2701" s="1">
        <v>2834.0</v>
      </c>
      <c r="B2701" s="3" t="s">
        <v>2640</v>
      </c>
      <c r="C2701" s="3" t="str">
        <f>IFERROR(__xludf.DUMMYFUNCTION("GOOGLETRANSLATE(B2701,""id"",""en"")"),"['The application', 'steady']")</f>
        <v>['The application', 'steady']</v>
      </c>
      <c r="D2701" s="3">
        <v>5.0</v>
      </c>
    </row>
    <row r="2702" ht="15.75" customHeight="1">
      <c r="A2702" s="1">
        <v>2835.0</v>
      </c>
      <c r="B2702" s="3" t="s">
        <v>2641</v>
      </c>
      <c r="C2702" s="3" t="str">
        <f>IFERROR(__xludf.DUMMYFUNCTION("GOOGLETRANSLATE(B2702,""id"",""en"")"),"['Indihome', 'Alhamdulillah', 'kereen']")</f>
        <v>['Indihome', 'Alhamdulillah', 'kereen']</v>
      </c>
      <c r="D2702" s="3">
        <v>5.0</v>
      </c>
    </row>
    <row r="2703" ht="15.75" customHeight="1">
      <c r="A2703" s="1">
        <v>2836.0</v>
      </c>
      <c r="B2703" s="3" t="s">
        <v>2642</v>
      </c>
      <c r="C2703" s="3" t="str">
        <f>IFERROR(__xludf.DUMMYFUNCTION("GOOGLETRANSLATE(B2703,""id"",""en"")"),"['Update', 'Application', 'Chasen', 'Slow', 'Heavy', 'Most', 'Line', 'Features',' Application ',' Renew ',' Speed ​​',' Nambah ',' Numbers', 'Internet', 'repairs',' ']")</f>
        <v>['Update', 'Application', 'Chasen', 'Slow', 'Heavy', 'Most', 'Line', 'Features',' Application ',' Renew ',' Speed ​​',' Nambah ',' Numbers', 'Internet', 'repairs',' ']</v>
      </c>
      <c r="D2703" s="3">
        <v>1.0</v>
      </c>
    </row>
    <row r="2704" ht="15.75" customHeight="1">
      <c r="A2704" s="1">
        <v>2837.0</v>
      </c>
      <c r="B2704" s="3" t="s">
        <v>2643</v>
      </c>
      <c r="C2704" s="3" t="str">
        <f>IFERROR(__xludf.DUMMYFUNCTION("GOOGLETRANSLATE(B2704,""id"",""en"")"),"['Help', 'Customer']")</f>
        <v>['Help', 'Customer']</v>
      </c>
      <c r="D2704" s="3">
        <v>5.0</v>
      </c>
    </row>
    <row r="2705" ht="15.75" customHeight="1">
      <c r="A2705" s="1">
        <v>2838.0</v>
      </c>
      <c r="B2705" s="3" t="s">
        <v>2644</v>
      </c>
      <c r="C2705" s="3" t="str">
        <f>IFERROR(__xludf.DUMMYFUNCTION("GOOGLETRANSLATE(B2705,""id"",""en"")"),"['', 'SRG', 'Disruption']")</f>
        <v>['', 'SRG', 'Disruption']</v>
      </c>
      <c r="D2705" s="3">
        <v>4.0</v>
      </c>
    </row>
    <row r="2706" ht="15.75" customHeight="1">
      <c r="A2706" s="1">
        <v>2839.0</v>
      </c>
      <c r="B2706" s="3" t="s">
        <v>2645</v>
      </c>
      <c r="C2706" s="3" t="str">
        <f>IFERROR(__xludf.DUMMYFUNCTION("GOOGLETRANSLATE(B2706,""id"",""en"")"),"['Delicious', 'apk', 'smnjak', 'upgrade', 'payaaaahhhhhhhhh']")</f>
        <v>['Delicious', 'apk', 'smnjak', 'upgrade', 'payaaaahhhhhhhhh']</v>
      </c>
      <c r="D2706" s="3">
        <v>2.0</v>
      </c>
    </row>
    <row r="2707" ht="15.75" customHeight="1">
      <c r="A2707" s="1">
        <v>2840.0</v>
      </c>
      <c r="B2707" s="3" t="s">
        <v>2646</v>
      </c>
      <c r="C2707" s="3" t="str">
        <f>IFERROR(__xludf.DUMMYFUNCTION("GOOGLETRANSLATE(B2707,""id"",""en"")"),"['Difficult', 'quat', 'love', ""]")</f>
        <v>['Difficult', 'quat', 'love', "]</v>
      </c>
      <c r="D2707" s="3">
        <v>4.0</v>
      </c>
    </row>
    <row r="2708" ht="15.75" customHeight="1">
      <c r="A2708" s="1">
        <v>2841.0</v>
      </c>
      <c r="B2708" s="3" t="s">
        <v>2647</v>
      </c>
      <c r="C2708" s="3" t="str">
        <f>IFERROR(__xludf.DUMMYFUNCTION("GOOGLETRANSLATE(B2708,""id"",""en"")"),"['Kluwer', 'slow', 'really', 'application', 'improvement']")</f>
        <v>['Kluwer', 'slow', 'really', 'application', 'improvement']</v>
      </c>
      <c r="D2708" s="3">
        <v>1.0</v>
      </c>
    </row>
    <row r="2709" ht="15.75" customHeight="1">
      <c r="A2709" s="1">
        <v>2842.0</v>
      </c>
      <c r="B2709" s="3" t="s">
        <v>2648</v>
      </c>
      <c r="C2709" s="3" t="str">
        <f>IFERROR(__xludf.DUMMYFUNCTION("GOOGLETRANSLATE(B2709,""id"",""en"")"),"['JDI', 'slow', 'update', 'report', 'complaint']")</f>
        <v>['JDI', 'slow', 'update', 'report', 'complaint']</v>
      </c>
      <c r="D2709" s="3">
        <v>2.0</v>
      </c>
    </row>
    <row r="2710" ht="15.75" customHeight="1">
      <c r="A2710" s="1">
        <v>2843.0</v>
      </c>
      <c r="B2710" s="3" t="s">
        <v>2649</v>
      </c>
      <c r="C2710" s="3" t="str">
        <f>IFERROR(__xludf.DUMMYFUNCTION("GOOGLETRANSLATE(B2710,""id"",""en"")"),"['', 'update', 'version', 'the latest', 'slow', 'confusing', '']")</f>
        <v>['', 'update', 'version', 'the latest', 'slow', 'confusing', '']</v>
      </c>
      <c r="D2710" s="3">
        <v>1.0</v>
      </c>
    </row>
    <row r="2711" ht="15.75" customHeight="1">
      <c r="A2711" s="1">
        <v>2844.0</v>
      </c>
      <c r="B2711" s="3" t="s">
        <v>2650</v>
      </c>
      <c r="C2711" s="3" t="str">
        <f>IFERROR(__xludf.DUMMYFUNCTION("GOOGLETRANSLATE(B2711,""id"",""en"")"),"['Loading']")</f>
        <v>['Loading']</v>
      </c>
      <c r="D2711" s="3">
        <v>1.0</v>
      </c>
    </row>
    <row r="2712" ht="15.75" customHeight="1">
      <c r="A2712" s="1">
        <v>2845.0</v>
      </c>
      <c r="B2712" s="3" t="s">
        <v>2651</v>
      </c>
      <c r="C2712" s="3" t="str">
        <f>IFERROR(__xludf.DUMMYFUNCTION("GOOGLETRANSLATE(B2712,""id"",""en"")"),"['', 'Upgrade', 'App', 'Lemot', 'Report', 'Internet', 'Schedule', 'Report', 'Internet', 'Already', 'A Week', 'App', 'Loading ',' Mulu ',' ']")</f>
        <v>['', 'Upgrade', 'App', 'Lemot', 'Report', 'Internet', 'Schedule', 'Report', 'Internet', 'Already', 'A Week', 'App', 'Loading ',' Mulu ',' ']</v>
      </c>
      <c r="D2712" s="3">
        <v>1.0</v>
      </c>
    </row>
    <row r="2713" ht="15.75" customHeight="1">
      <c r="A2713" s="1">
        <v>2846.0</v>
      </c>
      <c r="B2713" s="3" t="s">
        <v>2652</v>
      </c>
      <c r="C2713" s="3" t="str">
        <f>IFERROR(__xludf.DUMMYFUNCTION("GOOGLETRANSLATE(B2713,""id"",""en"")"),"['Ribet', 'Update', 'Ratenya', 'Jadiin']")</f>
        <v>['Ribet', 'Update', 'Ratenya', 'Jadiin']</v>
      </c>
      <c r="D2713" s="3">
        <v>1.0</v>
      </c>
    </row>
    <row r="2714" ht="15.75" customHeight="1">
      <c r="A2714" s="1">
        <v>2847.0</v>
      </c>
      <c r="B2714" s="3" t="s">
        <v>2653</v>
      </c>
      <c r="C2714" s="3" t="str">
        <f>IFERROR(__xludf.DUMMYFUNCTION("GOOGLETRANSLATE(B2714,""id"",""en"")"),"['network', 'super', 'slow', 'login', 'indihom', 'ngak', ""]")</f>
        <v>['network', 'super', 'slow', 'login', 'indihom', 'ngak', "]</v>
      </c>
      <c r="D2714" s="3">
        <v>1.0</v>
      </c>
    </row>
    <row r="2715" ht="15.75" customHeight="1">
      <c r="A2715" s="1">
        <v>2848.0</v>
      </c>
      <c r="B2715" s="3" t="s">
        <v>2654</v>
      </c>
      <c r="C2715" s="3" t="str">
        <f>IFERROR(__xludf.DUMMYFUNCTION("GOOGLETRANSLATE(B2715,""id"",""en"")"),"['Service', 'bad', 'enter', 'enter', 'email', ""]")</f>
        <v>['Service', 'bad', 'enter', 'enter', 'email', "]</v>
      </c>
      <c r="D2715" s="3">
        <v>1.0</v>
      </c>
    </row>
    <row r="2716" ht="15.75" customHeight="1">
      <c r="A2716" s="1">
        <v>2849.0</v>
      </c>
      <c r="B2716" s="3" t="s">
        <v>2655</v>
      </c>
      <c r="C2716" s="3" t="str">
        <f>IFERROR(__xludf.DUMMYFUNCTION("GOOGLETRANSLATE(B2716,""id"",""en"")"),"['server', 'ugly', 'loading', 'startup', 'enter', 'application', 'blame', 'network', 'user', 'open', 'where', 'device', ' different ',' gini ',' star ',' msh ',' check ',' fup ',' payment ',' ']")</f>
        <v>['server', 'ugly', 'loading', 'startup', 'enter', 'application', 'blame', 'network', 'user', 'open', 'where', 'device', ' different ',' gini ',' star ',' msh ',' check ',' fup ',' payment ',' ']</v>
      </c>
      <c r="D2716" s="3">
        <v>2.0</v>
      </c>
    </row>
    <row r="2717" ht="15.75" customHeight="1">
      <c r="A2717" s="1">
        <v>2850.0</v>
      </c>
      <c r="B2717" s="3" t="s">
        <v>2656</v>
      </c>
      <c r="C2717" s="3" t="str">
        <f>IFERROR(__xludf.DUMMYFUNCTION("GOOGLETRANSLATE(B2717,""id"",""en"")"),"['version', 'steady', 'look', 'see', 'History', 'payment', '']")</f>
        <v>['version', 'steady', 'look', 'see', 'History', 'payment', '']</v>
      </c>
      <c r="D2717" s="3">
        <v>5.0</v>
      </c>
    </row>
    <row r="2718" ht="15.75" customHeight="1">
      <c r="A2718" s="1">
        <v>2851.0</v>
      </c>
      <c r="B2718" s="3" t="s">
        <v>2657</v>
      </c>
      <c r="C2718" s="3" t="str">
        <f>IFERROR(__xludf.DUMMYFUNCTION("GOOGLETRANSLATE(B2718,""id"",""en"")"),"['Entering', 'Customer', 'Find', 'Apps', 'Turn', 'Payment', 'Customer', 'Find', 'Move', 'ISP']")</f>
        <v>['Entering', 'Customer', 'Find', 'Apps', 'Turn', 'Payment', 'Customer', 'Find', 'Move', 'ISP']</v>
      </c>
      <c r="D2718" s="3">
        <v>1.0</v>
      </c>
    </row>
    <row r="2719" ht="15.75" customHeight="1">
      <c r="A2719" s="1">
        <v>2852.0</v>
      </c>
      <c r="B2719" s="3" t="s">
        <v>2658</v>
      </c>
      <c r="C2719" s="3" t="str">
        <f>IFERROR(__xludf.DUMMYFUNCTION("GOOGLETRANSLATE(B2719,""id"",""en"")"),"['Productive', 'application', 'good', '']")</f>
        <v>['Productive', 'application', 'good', '']</v>
      </c>
      <c r="D2719" s="3">
        <v>5.0</v>
      </c>
    </row>
    <row r="2720" ht="15.75" customHeight="1">
      <c r="A2720" s="1">
        <v>2853.0</v>
      </c>
      <c r="B2720" s="3" t="s">
        <v>2659</v>
      </c>
      <c r="C2720" s="3" t="str">
        <f>IFERROR(__xludf.DUMMYFUNCTION("GOOGLETRANSLATE(B2720,""id"",""en"")"),"['Ujan', 'slow', 'run out', 'Rain', 'Disconnect']")</f>
        <v>['Ujan', 'slow', 'run out', 'Rain', 'Disconnect']</v>
      </c>
      <c r="D2720" s="3">
        <v>1.0</v>
      </c>
    </row>
    <row r="2721" ht="15.75" customHeight="1">
      <c r="A2721" s="1">
        <v>2854.0</v>
      </c>
      <c r="B2721" s="3" t="s">
        <v>2660</v>
      </c>
      <c r="C2721" s="3" t="str">
        <f>IFERROR(__xludf.DUMMYFUNCTION("GOOGLETRANSLATE(B2721,""id"",""en"")"),"['buy', 'wifi', 'seamless',' inside ',' bill ',' indihome ',' purchase ',' sya ',' understand ',' sya ',' do ',' complaint ',' Plaza ',' getting ',' satisfaction ',' answered ', ""]")</f>
        <v>['buy', 'wifi', 'seamless',' inside ',' bill ',' indihome ',' purchase ',' sya ',' understand ',' sya ',' do ',' complaint ',' Plaza ',' getting ',' satisfaction ',' answered ', "]</v>
      </c>
      <c r="D2721" s="3">
        <v>1.0</v>
      </c>
    </row>
    <row r="2722" ht="15.75" customHeight="1">
      <c r="A2722" s="1">
        <v>2855.0</v>
      </c>
      <c r="B2722" s="3" t="s">
        <v>2661</v>
      </c>
      <c r="C2722" s="3" t="str">
        <f>IFERROR(__xludf.DUMMYFUNCTION("GOOGLETRANSLATE(B2722,""id"",""en"")"),"['updated', 'complicated', 'report', 'disorder', 'update', 'verification', 'success',' verification ',' identity ',' turn ',' verification ',' location ',' Connect ',' Network ',' wifi ', ​​""]")</f>
        <v>['updated', 'complicated', 'report', 'disorder', 'update', 'verification', 'success',' verification ',' identity ',' turn ',' verification ',' location ',' Connect ',' Network ',' wifi ', ​​"]</v>
      </c>
      <c r="D2722" s="3">
        <v>1.0</v>
      </c>
    </row>
    <row r="2723" ht="15.75" customHeight="1">
      <c r="A2723" s="1">
        <v>2857.0</v>
      </c>
      <c r="B2723" s="3" t="s">
        <v>2662</v>
      </c>
      <c r="C2723" s="3" t="str">
        <f>IFERROR(__xludf.DUMMYFUNCTION("GOOGLETRANSLATE(B2723,""id"",""en"")"),"['service', 'satisfying', 'report', 'application', 'technician', 'written', 'report', 'technician', 'sudh', 'finished', 'repair', 'telephone', ' Call ',' Center ',' No ',' Help ',' Emotion ']")</f>
        <v>['service', 'satisfying', 'report', 'application', 'technician', 'written', 'report', 'technician', 'sudh', 'finished', 'repair', 'telephone', ' Call ',' Center ',' No ',' Help ',' Emotion ']</v>
      </c>
      <c r="D2723" s="3">
        <v>1.0</v>
      </c>
    </row>
    <row r="2724" ht="15.75" customHeight="1">
      <c r="A2724" s="1">
        <v>2858.0</v>
      </c>
      <c r="B2724" s="3" t="s">
        <v>2663</v>
      </c>
      <c r="C2724" s="3" t="str">
        <f>IFERROR(__xludf.DUMMYFUNCTION("GOOGLETRANSLATE(B2724,""id"",""en"")"),"['response', 'admin', 'fast']")</f>
        <v>['response', 'admin', 'fast']</v>
      </c>
      <c r="D2724" s="3">
        <v>5.0</v>
      </c>
    </row>
    <row r="2725" ht="15.75" customHeight="1">
      <c r="A2725" s="1">
        <v>2859.0</v>
      </c>
      <c r="B2725" s="3" t="s">
        <v>2664</v>
      </c>
      <c r="C2725" s="3" t="str">
        <f>IFERROR(__xludf.DUMMYFUNCTION("GOOGLETRANSLATE(B2725,""id"",""en"")"),"['WiFi', 'Used', 'Network', 'Please', 'Love', 'Imponya', 'Change', 'Fasword', 'What']")</f>
        <v>['WiFi', 'Used', 'Network', 'Please', 'Love', 'Imponya', 'Change', 'Fasword', 'What']</v>
      </c>
      <c r="D2725" s="3">
        <v>2.0</v>
      </c>
    </row>
    <row r="2726" ht="15.75" customHeight="1">
      <c r="A2726" s="1">
        <v>2860.0</v>
      </c>
      <c r="B2726" s="3" t="s">
        <v>2665</v>
      </c>
      <c r="C2726" s="3" t="str">
        <f>IFERROR(__xludf.DUMMYFUNCTION("GOOGLETRANSLATE(B2726,""id"",""en"")"),"['Cool', 'really', 'the application', 'success', 'myindihome']")</f>
        <v>['Cool', 'really', 'the application', 'success', 'myindihome']</v>
      </c>
      <c r="D2726" s="3">
        <v>5.0</v>
      </c>
    </row>
    <row r="2727" ht="15.75" customHeight="1">
      <c r="A2727" s="1">
        <v>2861.0</v>
      </c>
      <c r="B2727" s="3" t="s">
        <v>2666</v>
      </c>
      <c r="C2727" s="3" t="str">
        <f>IFERROR(__xludf.DUMMYFUNCTION("GOOGLETRANSLATE(B2727,""id"",""en"")"),"['The application', 'slow', 'deliberate', 'accessed', 'features',' submission ',' complain "", 'Different', 'Bangat', 'PLN']")</f>
        <v>['The application', 'slow', 'deliberate', 'accessed', 'features',' submission ',' complain ", 'Different', 'Bangat', 'PLN']</v>
      </c>
      <c r="D2727" s="3">
        <v>2.0</v>
      </c>
    </row>
    <row r="2728" ht="15.75" customHeight="1">
      <c r="A2728" s="1">
        <v>2862.0</v>
      </c>
      <c r="B2728" s="3" t="s">
        <v>2667</v>
      </c>
      <c r="C2728" s="3" t="str">
        <f>IFERROR(__xludf.DUMMYFUNCTION("GOOGLETRANSLATE(B2728,""id"",""en"")"),"['controlled', 'Where', 'Feature', 'Used']")</f>
        <v>['controlled', 'Where', 'Feature', 'Used']</v>
      </c>
      <c r="D2728" s="3">
        <v>5.0</v>
      </c>
    </row>
    <row r="2729" ht="15.75" customHeight="1">
      <c r="A2729" s="1">
        <v>2863.0</v>
      </c>
      <c r="B2729" s="3" t="s">
        <v>2668</v>
      </c>
      <c r="C2729" s="3" t="str">
        <f>IFERROR(__xludf.DUMMYFUNCTION("GOOGLETRANSLATE(B2729,""id"",""en"")"),"['', 'ot of', 'that's', '']")</f>
        <v>['', 'ot of', 'that's', '']</v>
      </c>
      <c r="D2729" s="3">
        <v>1.0</v>
      </c>
    </row>
    <row r="2730" ht="15.75" customHeight="1">
      <c r="A2730" s="1">
        <v>2864.0</v>
      </c>
      <c r="B2730" s="3" t="s">
        <v>2669</v>
      </c>
      <c r="C2730" s="3" t="str">
        <f>IFERROR(__xludf.DUMMYFUNCTION("GOOGLETRANSLATE(B2730,""id"",""en"")"),"['difficult', 'access']")</f>
        <v>['difficult', 'access']</v>
      </c>
      <c r="D2730" s="3">
        <v>1.0</v>
      </c>
    </row>
    <row r="2731" ht="15.75" customHeight="1">
      <c r="A2731" s="1">
        <v>2865.0</v>
      </c>
      <c r="B2731" s="3" t="s">
        <v>2670</v>
      </c>
      <c r="C2731" s="3" t="str">
        <f>IFERROR(__xludf.DUMMYFUNCTION("GOOGLETRANSLATE(B2731,""id"",""en"")"),"['Login', 'improvement', 'improvement', 'aka', 'mbelgedes']")</f>
        <v>['Login', 'improvement', 'improvement', 'aka', 'mbelgedes']</v>
      </c>
      <c r="D2731" s="3">
        <v>1.0</v>
      </c>
    </row>
    <row r="2732" ht="15.75" customHeight="1">
      <c r="A2732" s="1">
        <v>2866.0</v>
      </c>
      <c r="B2732" s="3" t="s">
        <v>2671</v>
      </c>
      <c r="C2732" s="3" t="str">
        <f>IFERROR(__xludf.DUMMYFUNCTION("GOOGLETRANSLATE(B2732,""id"",""en"")"),"['Speed', 'Network', 'admit', 'good', 'ugly', 'slow', 'pay', 'internet', 'direct', 'disconnected', 'turn', 'already', ' paid ',' loss', 'loss',' network ',' fair ',' really ',' already ',' loss', 'minimal', 'added', 'jga', 'network', 'JATEM' , 'JGAN', 'Tg"&amp;"gal', 'Jatempo', 'Direct', 'Diputuss',' Turn ',' Duitt ',' Mira ',' fast ',' good ',' slow ',' Pay ',' CPT ',' Network ',' Disconnect ',' Bilarim ',' Nomblok ', ""]")</f>
        <v>['Speed', 'Network', 'admit', 'good', 'ugly', 'slow', 'pay', 'internet', 'direct', 'disconnected', 'turn', 'already', ' paid ',' loss', 'loss',' network ',' fair ',' really ',' already ',' loss', 'minimal', 'added', 'jga', 'network', 'JATEM' , 'JGAN', 'Tggal', 'Jatempo', 'Direct', 'Diputuss',' Turn ',' Duitt ',' Mira ',' fast ',' good ',' slow ',' Pay ',' CPT ',' Network ',' Disconnect ',' Bilarim ',' Nomblok ', "]</v>
      </c>
      <c r="D2732" s="3">
        <v>2.0</v>
      </c>
    </row>
    <row r="2733" ht="15.75" customHeight="1">
      <c r="A2733" s="1">
        <v>2867.0</v>
      </c>
      <c r="B2733" s="3" t="s">
        <v>2672</v>
      </c>
      <c r="C2733" s="3" t="str">
        <f>IFERROR(__xludf.DUMMYFUNCTION("GOOGLETRANSLATE(B2733,""id"",""en"")"),"['wifi', 'lagg', 'pay', 'please']")</f>
        <v>['wifi', 'lagg', 'pay', 'please']</v>
      </c>
      <c r="D2733" s="3">
        <v>1.0</v>
      </c>
    </row>
    <row r="2734" ht="15.75" customHeight="1">
      <c r="A2734" s="1">
        <v>2868.0</v>
      </c>
      <c r="B2734" s="3" t="s">
        <v>2673</v>
      </c>
      <c r="C2734" s="3" t="str">
        <f>IFERROR(__xludf.DUMMYFUNCTION("GOOGLETRANSLATE(B2734,""id"",""en"")"),"['Wonder', 'Update', 'Login', 'The Reasons', 'Improvement', 'Service', 'Season', ""]")</f>
        <v>['Wonder', 'Update', 'Login', 'The Reasons', 'Improvement', 'Service', 'Season', "]</v>
      </c>
      <c r="D2734" s="3">
        <v>1.0</v>
      </c>
    </row>
    <row r="2735" ht="15.75" customHeight="1">
      <c r="A2735" s="1">
        <v>2869.0</v>
      </c>
      <c r="B2735" s="3" t="s">
        <v>2674</v>
      </c>
      <c r="C2735" s="3" t="str">
        <f>IFERROR(__xludf.DUMMYFUNCTION("GOOGLETRANSLATE(B2735,""id"",""en"")"),"['application', 'myindihome', 'decent', 'star', 'owner', 'company', 'technology', 'communication', 'application', 'ugly', ""]")</f>
        <v>['application', 'myindihome', 'decent', 'star', 'owner', 'company', 'technology', 'communication', 'application', 'ugly', "]</v>
      </c>
      <c r="D2735" s="3">
        <v>1.0</v>
      </c>
    </row>
    <row r="2736" ht="15.75" customHeight="1">
      <c r="A2736" s="1">
        <v>2870.0</v>
      </c>
      <c r="B2736" s="3" t="s">
        <v>2675</v>
      </c>
      <c r="C2736" s="3" t="str">
        <f>IFERROR(__xludf.DUMMYFUNCTION("GOOGLETRANSLATE(B2736,""id"",""en"")"),"['enter', 'number', 'customer', 'profile', 'active', 'see', 'data', 'bill', 'payment', 'fup', 'suggestion', 'completeness',' Profile ',' clarified ',' Karna ',' see ',' request ',' installation ',' read ',' comment ',' Customer ',' confused ',' because ',"&amp;"' busy ',' complement ' , 'profiles', 'deficiencies', 'application', 'heavy', 'loading', 'lbh', 'good', 'version', '']")</f>
        <v>['enter', 'number', 'customer', 'profile', 'active', 'see', 'data', 'bill', 'payment', 'fup', 'suggestion', 'completeness',' Profile ',' clarified ',' Karna ',' see ',' request ',' installation ',' read ',' comment ',' Customer ',' confused ',' because ',' busy ',' complement ' , 'profiles', 'deficiencies', 'application', 'heavy', 'loading', 'lbh', 'good', 'version', '']</v>
      </c>
      <c r="D2736" s="3">
        <v>3.0</v>
      </c>
    </row>
    <row r="2737" ht="15.75" customHeight="1">
      <c r="A2737" s="1">
        <v>2871.0</v>
      </c>
      <c r="B2737" s="3" t="s">
        <v>1288</v>
      </c>
      <c r="C2737" s="3" t="str">
        <f>IFERROR(__xludf.DUMMYFUNCTION("GOOGLETRANSLATE(B2737,""id"",""en"")"),"['The application', 'easy']")</f>
        <v>['The application', 'easy']</v>
      </c>
      <c r="D2737" s="3">
        <v>5.0</v>
      </c>
    </row>
    <row r="2738" ht="15.75" customHeight="1">
      <c r="A2738" s="1">
        <v>2872.0</v>
      </c>
      <c r="B2738" s="3" t="s">
        <v>2676</v>
      </c>
      <c r="C2738" s="3" t="str">
        <f>IFERROR(__xludf.DUMMYFUNCTION("GOOGLETRANSLATE(B2738,""id"",""en"")"),"['Severe', 'Update', '']")</f>
        <v>['Severe', 'Update', '']</v>
      </c>
      <c r="D2738" s="3">
        <v>2.0</v>
      </c>
    </row>
    <row r="2739" ht="15.75" customHeight="1">
      <c r="A2739" s="1">
        <v>2873.0</v>
      </c>
      <c r="B2739" s="3" t="s">
        <v>2677</v>
      </c>
      <c r="C2739" s="3" t="str">
        <f>IFERROR(__xludf.DUMMYFUNCTION("GOOGLETRANSLATE(B2739,""id"",""en"")"),"['application', 'broken', 'abis',' update ',' account ',' run out ',' login ',' code ',' wrong ',' mulu ',' enter ',' site ',' The web ',' strange ',' application ',' eat ',' salary ',' blind ']")</f>
        <v>['application', 'broken', 'abis',' update ',' account ',' run out ',' login ',' code ',' wrong ',' mulu ',' enter ',' site ',' The web ',' strange ',' application ',' eat ',' salary ',' blind ']</v>
      </c>
      <c r="D2739" s="3">
        <v>1.0</v>
      </c>
    </row>
    <row r="2740" ht="15.75" customHeight="1">
      <c r="A2740" s="1">
        <v>2874.0</v>
      </c>
      <c r="B2740" s="3" t="s">
        <v>2678</v>
      </c>
      <c r="C2740" s="3" t="str">
        <f>IFERROR(__xludf.DUMMYFUNCTION("GOOGLETRANSLATE(B2740,""id"",""en"")"),"['application', 'report', 'difficult', 'really', 'slow', 'disappointed']")</f>
        <v>['application', 'report', 'difficult', 'really', 'slow', 'disappointed']</v>
      </c>
      <c r="D2740" s="3">
        <v>1.0</v>
      </c>
    </row>
    <row r="2741" ht="15.75" customHeight="1">
      <c r="A2741" s="1">
        <v>2875.0</v>
      </c>
      <c r="B2741" s="3" t="s">
        <v>2679</v>
      </c>
      <c r="C2741" s="3" t="str">
        <f>IFERROR(__xludf.DUMMYFUNCTION("GOOGLETRANSLATE(B2741,""id"",""en"")"),"['Bad', 'really', 'slow']")</f>
        <v>['Bad', 'really', 'slow']</v>
      </c>
      <c r="D2741" s="3">
        <v>1.0</v>
      </c>
    </row>
    <row r="2742" ht="15.75" customHeight="1">
      <c r="A2742" s="1">
        <v>2876.0</v>
      </c>
      <c r="B2742" s="3" t="s">
        <v>2680</v>
      </c>
      <c r="C2742" s="3" t="str">
        <f>IFERROR(__xludf.DUMMYFUNCTION("GOOGLETRANSLATE(B2742,""id"",""en"")"),"['Mendelek', 'pig']")</f>
        <v>['Mendelek', 'pig']</v>
      </c>
      <c r="D2742" s="3">
        <v>1.0</v>
      </c>
    </row>
    <row r="2743" ht="15.75" customHeight="1">
      <c r="A2743" s="1">
        <v>2877.0</v>
      </c>
      <c r="B2743" s="3" t="s">
        <v>2681</v>
      </c>
      <c r="C2743" s="3" t="str">
        <f>IFERROR(__xludf.DUMMYFUNCTION("GOOGLETRANSLATE(B2743,""id"",""en"")"),"['Update', 'APK', 'Latest', 'Bad', 'Mhon', 'Fix', '']")</f>
        <v>['Update', 'APK', 'Latest', 'Bad', 'Mhon', 'Fix', '']</v>
      </c>
      <c r="D2743" s="3">
        <v>1.0</v>
      </c>
    </row>
    <row r="2744" ht="15.75" customHeight="1">
      <c r="A2744" s="1">
        <v>2878.0</v>
      </c>
      <c r="B2744" s="3" t="s">
        <v>2682</v>
      </c>
      <c r="C2744" s="3" t="str">
        <f>IFERROR(__xludf.DUMMYFUNCTION("GOOGLETRANSLATE(B2744,""id"",""en"")"),"['Chanell', 'reduced', 'notification', 'wifi', 'slow', 'entering', 'season', 'rainy', 'application', 'Severe', 'complain', 'complaint', ' Service ',' Chat ',' Application ',' late ',' Pay ',' A Day ',' Direct ',' Cut ',' Off ',' Service ',' Indihome ',' O"&amp;"ohh ',' HHH ' , 'Indihome', 'Greetings', 'Revolution', 'Mentally', ""]")</f>
        <v>['Chanell', 'reduced', 'notification', 'wifi', 'slow', 'entering', 'season', 'rainy', 'application', 'Severe', 'complain', 'complaint', ' Service ',' Chat ',' Application ',' late ',' Pay ',' A Day ',' Direct ',' Cut ',' Off ',' Service ',' Indihome ',' Oohh ',' HHH ' , 'Indihome', 'Greetings', 'Revolution', 'Mentally', "]</v>
      </c>
      <c r="D2744" s="3">
        <v>5.0</v>
      </c>
    </row>
    <row r="2745" ht="15.75" customHeight="1">
      <c r="A2745" s="1">
        <v>2880.0</v>
      </c>
      <c r="B2745" s="3" t="s">
        <v>2683</v>
      </c>
      <c r="C2745" s="3" t="str">
        <f>IFERROR(__xludf.DUMMYFUNCTION("GOOGLETRANSLATE(B2745,""id"",""en"")"),"['Mantab', 'Sangad']")</f>
        <v>['Mantab', 'Sangad']</v>
      </c>
      <c r="D2745" s="3">
        <v>5.0</v>
      </c>
    </row>
    <row r="2746" ht="15.75" customHeight="1">
      <c r="A2746" s="1">
        <v>2881.0</v>
      </c>
      <c r="B2746" s="3" t="s">
        <v>2684</v>
      </c>
      <c r="C2746" s="3" t="str">
        <f>IFERROR(__xludf.DUMMYFUNCTION("GOOGLETRANSLATE(B2746,""id"",""en"")"),"['style', 'danger', '']")</f>
        <v>['style', 'danger', '']</v>
      </c>
      <c r="D2746" s="3">
        <v>1.0</v>
      </c>
    </row>
    <row r="2747" ht="15.75" customHeight="1">
      <c r="A2747" s="1">
        <v>2882.0</v>
      </c>
      <c r="B2747" s="3" t="s">
        <v>2685</v>
      </c>
      <c r="C2747" s="3" t="str">
        <f>IFERROR(__xludf.DUMMYFUNCTION("GOOGLETRANSLATE(B2747,""id"",""en"")"),"['open', 'application', 'loading', 'abis', 'coffee', 'cup', 'finite']")</f>
        <v>['open', 'application', 'loading', 'abis', 'coffee', 'cup', 'finite']</v>
      </c>
      <c r="D2747" s="3">
        <v>2.0</v>
      </c>
    </row>
    <row r="2748" ht="15.75" customHeight="1">
      <c r="A2748" s="1">
        <v>2883.0</v>
      </c>
      <c r="B2748" s="3" t="s">
        <v>2686</v>
      </c>
      <c r="C2748" s="3" t="str">
        <f>IFERROR(__xludf.DUMMYFUNCTION("GOOGLETRANSLATE(B2748,""id"",""en"")"),"['Lemot', 'Open', 'App']")</f>
        <v>['Lemot', 'Open', 'App']</v>
      </c>
      <c r="D2748" s="3">
        <v>1.0</v>
      </c>
    </row>
    <row r="2749" ht="15.75" customHeight="1">
      <c r="A2749" s="1">
        <v>2884.0</v>
      </c>
      <c r="B2749" s="3" t="s">
        <v>726</v>
      </c>
      <c r="C2749" s="3" t="str">
        <f>IFERROR(__xludf.DUMMYFUNCTION("GOOGLETRANSLATE(B2749,""id"",""en"")"),"['application', 'good']")</f>
        <v>['application', 'good']</v>
      </c>
      <c r="D2749" s="3">
        <v>5.0</v>
      </c>
    </row>
    <row r="2750" ht="15.75" customHeight="1">
      <c r="A2750" s="1">
        <v>2885.0</v>
      </c>
      <c r="B2750" s="3" t="s">
        <v>2687</v>
      </c>
      <c r="C2750" s="3" t="str">
        <f>IFERROR(__xludf.DUMMYFUNCTION("GOOGLETRANSLATE(B2750,""id"",""en"")"),"['Indihome', 'SKT', 'head', 'network', 'battered', 'update', 'then', 'applicationx', 'msk', 'slalu', 'ssh', 'gmna', ' BYR ',' ']")</f>
        <v>['Indihome', 'SKT', 'head', 'network', 'battered', 'update', 'then', 'applicationx', 'msk', 'slalu', 'ssh', 'gmna', ' BYR ',' ']</v>
      </c>
      <c r="D2750" s="3">
        <v>1.0</v>
      </c>
    </row>
    <row r="2751" ht="15.75" customHeight="1">
      <c r="A2751" s="1">
        <v>2886.0</v>
      </c>
      <c r="B2751" s="3" t="s">
        <v>2688</v>
      </c>
      <c r="C2751" s="3" t="str">
        <f>IFERROR(__xludf.DUMMYFUNCTION("GOOGLETRANSLATE(B2751,""id"",""en"")"),"['profile', 'how', 'notification', 'use', '']")</f>
        <v>['profile', 'how', 'notification', 'use', '']</v>
      </c>
      <c r="D2751" s="3">
        <v>1.0</v>
      </c>
    </row>
    <row r="2752" ht="15.75" customHeight="1">
      <c r="A2752" s="1">
        <v>2887.0</v>
      </c>
      <c r="B2752" s="3" t="s">
        <v>2689</v>
      </c>
      <c r="C2752" s="3" t="str">
        <f>IFERROR(__xludf.DUMMYFUNCTION("GOOGLETRANSLATE(B2752,""id"",""en"")"),"['Quality', 'ugly', 'level', 'Kuliady', 'update', 'the application']")</f>
        <v>['Quality', 'ugly', 'level', 'Kuliady', 'update', 'the application']</v>
      </c>
      <c r="D2752" s="3">
        <v>1.0</v>
      </c>
    </row>
    <row r="2753" ht="15.75" customHeight="1">
      <c r="A2753" s="1">
        <v>2888.0</v>
      </c>
      <c r="B2753" s="3" t="s">
        <v>2690</v>
      </c>
      <c r="C2753" s="3" t="str">
        <f>IFERROR(__xludf.DUMMYFUNCTION("GOOGLETRANSLATE(B2753,""id"",""en"")"),"['Constraints', 'User', 'Indihome', 'Please', 'Handle', 'As soon as']")</f>
        <v>['Constraints', 'User', 'Indihome', 'Please', 'Handle', 'As soon as']</v>
      </c>
      <c r="D2753" s="3">
        <v>3.0</v>
      </c>
    </row>
    <row r="2754" ht="15.75" customHeight="1">
      <c r="A2754" s="1">
        <v>2890.0</v>
      </c>
      <c r="B2754" s="3" t="s">
        <v>2691</v>
      </c>
      <c r="C2754" s="3" t="str">
        <f>IFERROR(__xludf.DUMMYFUNCTION("GOOGLETRANSLATE(B2754,""id"",""en"")"),"['signal', 'bapuk', 'late', 'lgsg', 'disconnected', 'ngk', 'package', 'internet', 'told', 'pay', 'cable', 'indihome', ' Install ',' cable ',' excuse me ',' sediag ',' org ', ""]")</f>
        <v>['signal', 'bapuk', 'late', 'lgsg', 'disconnected', 'ngk', 'package', 'internet', 'told', 'pay', 'cable', 'indihome', ' Install ',' cable ',' excuse me ',' sediag ',' org ', "]</v>
      </c>
      <c r="D2754" s="3">
        <v>1.0</v>
      </c>
    </row>
    <row r="2755" ht="15.75" customHeight="1">
      <c r="A2755" s="1">
        <v>2891.0</v>
      </c>
      <c r="B2755" s="3" t="s">
        <v>2692</v>
      </c>
      <c r="C2755" s="3" t="str">
        <f>IFERROR(__xludf.DUMMYFUNCTION("GOOGLETRANSLATE(B2755,""id"",""en"")"),"['Pay', 'expensive', 'disruption', 'a week', 'times',' disruption ',' reported ',' improvement ',' service ',' friend ',' wifi ',' strange ',' ']")</f>
        <v>['Pay', 'expensive', 'disruption', 'a week', 'times',' disruption ',' reported ',' improvement ',' service ',' friend ',' wifi ',' strange ',' ']</v>
      </c>
      <c r="D2755" s="3">
        <v>1.0</v>
      </c>
    </row>
    <row r="2756" ht="15.75" customHeight="1">
      <c r="A2756" s="1">
        <v>2892.0</v>
      </c>
      <c r="B2756" s="3" t="s">
        <v>2693</v>
      </c>
      <c r="C2756" s="3" t="str">
        <f>IFERROR(__xludf.DUMMYFUNCTION("GOOGLETRANSLATE(B2756,""id"",""en"")"),"['Bagusan', 'Yesterday', 'update', 'profile', 'interesting', 'interesting']")</f>
        <v>['Bagusan', 'Yesterday', 'update', 'profile', 'interesting', 'interesting']</v>
      </c>
      <c r="D2756" s="3">
        <v>2.0</v>
      </c>
    </row>
    <row r="2757" ht="15.75" customHeight="1">
      <c r="A2757" s="1">
        <v>2893.0</v>
      </c>
      <c r="B2757" s="3" t="s">
        <v>2694</v>
      </c>
      <c r="C2757" s="3" t="str">
        <f>IFERROR(__xludf.DUMMYFUNCTION("GOOGLETRANSLATE(B2757,""id"",""en"")"),"['application', 'good', 'network', 'stable']")</f>
        <v>['application', 'good', 'network', 'stable']</v>
      </c>
      <c r="D2757" s="3">
        <v>5.0</v>
      </c>
    </row>
    <row r="2758" ht="15.75" customHeight="1">
      <c r="A2758" s="1">
        <v>2894.0</v>
      </c>
      <c r="B2758" s="3" t="s">
        <v>2695</v>
      </c>
      <c r="C2758" s="3" t="str">
        <f>IFERROR(__xludf.DUMMYFUNCTION("GOOGLETRANSLATE(B2758,""id"",""en"")"),"['update', 'application', 'version', 'newest', 'point', 'zero', 'trs',' entry ',' difficult ',' really ',' told ',' list ',' Re-reset ',' Turn ',' Register ',' Tel ',' Email ',' Uda ',' Registered ',' Enter ',' Skrg ',' Turn ',' Enter ',' Tel ',' Blm ' , "&amp;"'Registered', 'confused', 'ama', 'application', 'msh', 'easy', 'version', 'version', 'new', 'bknnya', 'tmbh', 'bgs',' BKN ',' confused ',' Uniintal ',' application ',' ']")</f>
        <v>['update', 'application', 'version', 'newest', 'point', 'zero', 'trs',' entry ',' difficult ',' really ',' told ',' list ',' Re-reset ',' Turn ',' Register ',' Tel ',' Email ',' Uda ',' Registered ',' Enter ',' Skrg ',' Turn ',' Enter ',' Tel ',' Blm ' , 'Registered', 'confused', 'ama', 'application', 'msh', 'easy', 'version', 'version', 'new', 'bknnya', 'tmbh', 'bgs',' BKN ',' confused ',' Uniintal ',' application ',' ']</v>
      </c>
      <c r="D2758" s="3">
        <v>1.0</v>
      </c>
    </row>
    <row r="2759" ht="15.75" customHeight="1">
      <c r="A2759" s="1">
        <v>2895.0</v>
      </c>
      <c r="B2759" s="3" t="s">
        <v>500</v>
      </c>
      <c r="C2759" s="3" t="str">
        <f>IFERROR(__xludf.DUMMYFUNCTION("GOOGLETRANSLATE(B2759,""id"",""en"")"),"['satisfying', '']")</f>
        <v>['satisfying', '']</v>
      </c>
      <c r="D2759" s="3">
        <v>1.0</v>
      </c>
    </row>
    <row r="2760" ht="15.75" customHeight="1">
      <c r="A2760" s="1">
        <v>2896.0</v>
      </c>
      <c r="B2760" s="3" t="s">
        <v>2696</v>
      </c>
      <c r="C2760" s="3" t="str">
        <f>IFERROR(__xludf.DUMMYFUNCTION("GOOGLETRANSLATE(B2760,""id"",""en"")"),"['Lemot', 'response', '']")</f>
        <v>['Lemot', 'response', '']</v>
      </c>
      <c r="D2760" s="3">
        <v>2.0</v>
      </c>
    </row>
    <row r="2761" ht="15.75" customHeight="1">
      <c r="A2761" s="1">
        <v>2897.0</v>
      </c>
      <c r="B2761" s="3" t="s">
        <v>2697</v>
      </c>
      <c r="C2761" s="3" t="str">
        <f>IFERROR(__xludf.DUMMYFUNCTION("GOOGLETRANSLATE(B2761,""id"",""en"")"),"['apdet', 'version', 'the latest', 'difficult', 'entry', 'the application', 'ugly', 'really', ""]")</f>
        <v>['apdet', 'version', 'the latest', 'difficult', 'entry', 'the application', 'ugly', 'really', "]</v>
      </c>
      <c r="D2761" s="3">
        <v>1.0</v>
      </c>
    </row>
    <row r="2762" ht="15.75" customHeight="1">
      <c r="A2762" s="1">
        <v>2898.0</v>
      </c>
      <c r="B2762" s="3" t="s">
        <v>2698</v>
      </c>
      <c r="C2762" s="3" t="str">
        <f>IFERROR(__xludf.DUMMYFUNCTION("GOOGLETRANSLATE(B2762,""id"",""en"")"),"['failed', 'login', 'apps', 'poor', 'ribet']")</f>
        <v>['failed', 'login', 'apps', 'poor', 'ribet']</v>
      </c>
      <c r="D2762" s="3">
        <v>1.0</v>
      </c>
    </row>
    <row r="2763" ht="15.75" customHeight="1">
      <c r="A2763" s="1">
        <v>2899.0</v>
      </c>
      <c r="B2763" s="3" t="s">
        <v>460</v>
      </c>
      <c r="C2763" s="3" t="str">
        <f>IFERROR(__xludf.DUMMYFUNCTION("GOOGLETRANSLATE(B2763,""id"",""en"")"),"['steady', '']")</f>
        <v>['steady', '']</v>
      </c>
      <c r="D2763" s="3">
        <v>5.0</v>
      </c>
    </row>
    <row r="2764" ht="15.75" customHeight="1">
      <c r="A2764" s="1">
        <v>2900.0</v>
      </c>
      <c r="B2764" s="3" t="s">
        <v>2699</v>
      </c>
      <c r="C2764" s="3" t="str">
        <f>IFERROR(__xludf.DUMMYFUNCTION("GOOGLETRANSLATE(B2764,""id"",""en"")"),"['', 'Login', 'Make', 'Number', 'Telephone']")</f>
        <v>['', 'Login', 'Make', 'Number', 'Telephone']</v>
      </c>
      <c r="D2764" s="3">
        <v>1.0</v>
      </c>
    </row>
    <row r="2765" ht="15.75" customHeight="1">
      <c r="A2765" s="1">
        <v>2901.0</v>
      </c>
      <c r="B2765" s="3" t="s">
        <v>2700</v>
      </c>
      <c r="C2765" s="3" t="str">
        <f>IFERROR(__xludf.DUMMYFUNCTION("GOOGLETRANSLATE(B2765,""id"",""en"")"),"['update', 'the latest', 'the application', 'difficult', 'login', 'click', 'button', 'forget', 'password', 'directed', 'reset', 'password', ' number ',' via ',' SMS ',' enter ',' SMS ',' opened ',' code ',' sent ',' said ',' apply ',' split ',' second ','"&amp;" open ' , 'SMS', 'strange']")</f>
        <v>['update', 'the latest', 'the application', 'difficult', 'login', 'click', 'button', 'forget', 'password', 'directed', 'reset', 'password', ' number ',' via ',' SMS ',' enter ',' SMS ',' opened ',' code ',' sent ',' said ',' apply ',' split ',' second ',' open ' , 'SMS', 'strange']</v>
      </c>
      <c r="D2765" s="3">
        <v>1.0</v>
      </c>
    </row>
    <row r="2766" ht="15.75" customHeight="1">
      <c r="A2766" s="1">
        <v>2902.0</v>
      </c>
      <c r="B2766" s="3" t="s">
        <v>2701</v>
      </c>
      <c r="C2766" s="3" t="str">
        <f>IFERROR(__xludf.DUMMYFUNCTION("GOOGLETRANSLATE(B2766,""id"",""en"")"),"['application', 'bad', 'times', 'report', 'action', 'report', 'process', 'clock', 'telephone', 'response', 'fast']")</f>
        <v>['application', 'bad', 'times', 'report', 'action', 'report', 'process', 'clock', 'telephone', 'response', 'fast']</v>
      </c>
      <c r="D2766" s="3">
        <v>1.0</v>
      </c>
    </row>
    <row r="2767" ht="15.75" customHeight="1">
      <c r="A2767" s="1">
        <v>2903.0</v>
      </c>
      <c r="B2767" s="3" t="s">
        <v>2702</v>
      </c>
      <c r="C2767" s="3" t="str">
        <f>IFERROR(__xludf.DUMMYFUNCTION("GOOGLETRANSLATE(B2767,""id"",""en"")"),"['disturbance']")</f>
        <v>['disturbance']</v>
      </c>
      <c r="D2767" s="3">
        <v>5.0</v>
      </c>
    </row>
    <row r="2768" ht="15.75" customHeight="1">
      <c r="A2768" s="1">
        <v>2904.0</v>
      </c>
      <c r="B2768" s="3" t="s">
        <v>2703</v>
      </c>
      <c r="C2768" s="3" t="str">
        <f>IFERROR(__xludf.DUMMYFUNCTION("GOOGLETRANSLATE(B2768,""id"",""en"")"),"['process',' update ',' slow ',' really ',' update ',' smooth ',' rich ',' features', 'easy', 'understandable', 'efficient', 'develop', ' works', 'useful', 'spirit', ""]")</f>
        <v>['process',' update ',' slow ',' really ',' update ',' smooth ',' rich ',' features', 'easy', 'understandable', 'efficient', 'develop', ' works', 'useful', 'spirit', "]</v>
      </c>
      <c r="D2768" s="3">
        <v>5.0</v>
      </c>
    </row>
    <row r="2769" ht="15.75" customHeight="1">
      <c r="A2769" s="1">
        <v>2905.0</v>
      </c>
      <c r="B2769" s="3" t="s">
        <v>2704</v>
      </c>
      <c r="C2769" s="3" t="str">
        <f>IFERROR(__xludf.DUMMYFUNCTION("GOOGLETRANSLATE(B2769,""id"",""en"")"),"['Indihome', 'Service', 'Bad', 'Bangt', 'Oath', 'Aing', 'Kesell']")</f>
        <v>['Indihome', 'Service', 'Bad', 'Bangt', 'Oath', 'Aing', 'Kesell']</v>
      </c>
      <c r="D2769" s="3">
        <v>1.0</v>
      </c>
    </row>
    <row r="2770" ht="15.75" customHeight="1">
      <c r="A2770" s="1">
        <v>2906.0</v>
      </c>
      <c r="B2770" s="3" t="s">
        <v>2705</v>
      </c>
      <c r="C2770" s="3" t="str">
        <f>IFERROR(__xludf.DUMMYFUNCTION("GOOGLETRANSLATE(B2770,""id"",""en"")"),"['GJLS', 'checked', 'payment', 'Myimdihome', 'service', 'here', 'bad']")</f>
        <v>['GJLS', 'checked', 'payment', 'Myimdihome', 'service', 'here', 'bad']</v>
      </c>
      <c r="D2770" s="3">
        <v>1.0</v>
      </c>
    </row>
    <row r="2771" ht="15.75" customHeight="1">
      <c r="A2771" s="1">
        <v>2907.0</v>
      </c>
      <c r="B2771" s="3" t="s">
        <v>2706</v>
      </c>
      <c r="C2771" s="3" t="str">
        <f>IFERROR(__xludf.DUMMYFUNCTION("GOOGLETRANSLATE(B2771,""id"",""en"")"),"['gmana', 'handling', 'use', 'application', 'mending', 'call', 'try', 'please', 'disruption', 'customer', 'compensation', 'internet', ' The area ',' experiencing ',' disorder ',' handling ',' slow ',' paid ',' that way ',' salespeople ',' service ',' ']")</f>
        <v>['gmana', 'handling', 'use', 'application', 'mending', 'call', 'try', 'please', 'disruption', 'customer', 'compensation', 'internet', ' The area ',' experiencing ',' disorder ',' handling ',' slow ',' paid ',' that way ',' salespeople ',' service ',' ']</v>
      </c>
      <c r="D2771" s="3">
        <v>1.0</v>
      </c>
    </row>
    <row r="2772" ht="15.75" customHeight="1">
      <c r="A2772" s="1">
        <v>2908.0</v>
      </c>
      <c r="B2772" s="3" t="s">
        <v>2707</v>
      </c>
      <c r="C2772" s="3" t="str">
        <f>IFERROR(__xludf.DUMMYFUNCTION("GOOGLETRANSLATE(B2772,""id"",""en"")"),"['update', 'my account', 'missing', 'boss',' login ',' mass', 'related', 'place', 'number', 'telephone', 'said', 'number', ' Registered ',' process', 'laa', 'boss']")</f>
        <v>['update', 'my account', 'missing', 'boss',' login ',' mass', 'related', 'place', 'number', 'telephone', 'said', 'number', ' Registered ',' process', 'laa', 'boss']</v>
      </c>
      <c r="D2772" s="3">
        <v>1.0</v>
      </c>
    </row>
    <row r="2773" ht="15.75" customHeight="1">
      <c r="A2773" s="1">
        <v>2909.0</v>
      </c>
      <c r="B2773" s="3" t="s">
        <v>2708</v>
      </c>
      <c r="C2773" s="3" t="str">
        <f>IFERROR(__xludf.DUMMYFUNCTION("GOOGLETRANSLATE(B2773,""id"",""en"")"),"['Report', 'morning', 'noon', 'directly', 'called', 'location', 'officer', 'gokil', 'fast']")</f>
        <v>['Report', 'morning', 'noon', 'directly', 'called', 'location', 'officer', 'gokil', 'fast']</v>
      </c>
      <c r="D2773" s="3">
        <v>5.0</v>
      </c>
    </row>
    <row r="2774" ht="15.75" customHeight="1">
      <c r="A2774" s="1">
        <v>2911.0</v>
      </c>
      <c r="B2774" s="3" t="s">
        <v>2709</v>
      </c>
      <c r="C2774" s="3" t="str">
        <f>IFERROR(__xludf.DUMMYFUNCTION("GOOGLETRANSLATE(B2774,""id"",""en"")"),"['App', 'slow', 'request', 'data', 'server', 'intuitive', 'student', '']")</f>
        <v>['App', 'slow', 'request', 'data', 'server', 'intuitive', 'student', '']</v>
      </c>
      <c r="D2774" s="3">
        <v>1.0</v>
      </c>
    </row>
    <row r="2775" ht="15.75" customHeight="1">
      <c r="A2775" s="1">
        <v>2912.0</v>
      </c>
      <c r="B2775" s="3" t="s">
        <v>2710</v>
      </c>
      <c r="C2775" s="3" t="str">
        <f>IFERROR(__xludf.DUMMYFUNCTION("GOOGLETRANSLATE(B2775,""id"",""en"")"),"['Ekkren']")</f>
        <v>['Ekkren']</v>
      </c>
      <c r="D2775" s="3">
        <v>5.0</v>
      </c>
    </row>
    <row r="2776" ht="15.75" customHeight="1">
      <c r="A2776" s="1">
        <v>2913.0</v>
      </c>
      <c r="B2776" s="3" t="s">
        <v>2711</v>
      </c>
      <c r="C2776" s="3" t="str">
        <f>IFERROR(__xludf.DUMMYFUNCTION("GOOGLETRANSLATE(B2776,""id"",""en"")"),"['Nambah', 'number', 'service', 'application', 'slow', 'polll', 'parahh', '']")</f>
        <v>['Nambah', 'number', 'service', 'application', 'slow', 'polll', 'parahh', '']</v>
      </c>
      <c r="D2776" s="3">
        <v>1.0</v>
      </c>
    </row>
    <row r="2777" ht="15.75" customHeight="1">
      <c r="A2777" s="1">
        <v>2914.0</v>
      </c>
      <c r="B2777" s="3" t="s">
        <v>2712</v>
      </c>
      <c r="C2777" s="3" t="str">
        <f>IFERROR(__xludf.DUMMYFUNCTION("GOOGLETRANSLATE(B2777,""id"",""en"")"),"['already', 'Open', 'Application', 'Open', 'Login', 'Registered', 'Hangus',' Submit ',' Change ',' Hose ',' DPT ',' TELP ',' INDIHOME ',' CARE ',' SUCCESS ',' Change ',' as a result ',' application ',' fast ',' response ', ""]")</f>
        <v>['already', 'Open', 'Application', 'Open', 'Login', 'Registered', 'Hangus',' Submit ',' Change ',' Hose ',' DPT ',' TELP ',' INDIHOME ',' CARE ',' SUCCESS ',' Change ',' as a result ',' application ',' fast ',' response ', "]</v>
      </c>
      <c r="D2777" s="3">
        <v>5.0</v>
      </c>
    </row>
    <row r="2778" ht="15.75" customHeight="1">
      <c r="A2778" s="1">
        <v>2915.0</v>
      </c>
      <c r="B2778" s="3" t="s">
        <v>2713</v>
      </c>
      <c r="C2778" s="3" t="str">
        <f>IFERROR(__xludf.DUMMYFUNCTION("GOOGLETRANSLATE(B2778,""id"",""en"")"),"['LBH', 'easy', 'understood', 'easy', 'skrg', 'tasty', 'check', 'application', 'myindihome', 'success', 'indihome', '']")</f>
        <v>['LBH', 'easy', 'understood', 'easy', 'skrg', 'tasty', 'check', 'application', 'myindihome', 'success', 'indihome', '']</v>
      </c>
      <c r="D2778" s="3">
        <v>5.0</v>
      </c>
    </row>
    <row r="2779" ht="15.75" customHeight="1">
      <c r="A2779" s="1">
        <v>2916.0</v>
      </c>
      <c r="B2779" s="3" t="s">
        <v>2714</v>
      </c>
      <c r="C2779" s="3" t="str">
        <f>IFERROR(__xludf.DUMMYFUNCTION("GOOGLETRANSLATE(B2779,""id"",""en"")"),"['Loading', 'slow', 'version', '']")</f>
        <v>['Loading', 'slow', 'version', '']</v>
      </c>
      <c r="D2779" s="3">
        <v>4.0</v>
      </c>
    </row>
    <row r="2780" ht="15.75" customHeight="1">
      <c r="A2780" s="1">
        <v>2917.0</v>
      </c>
      <c r="B2780" s="3" t="s">
        <v>2715</v>
      </c>
      <c r="C2780" s="3" t="str">
        <f>IFERROR(__xludf.DUMMYFUNCTION("GOOGLETRANSLATE(B2780,""id"",""en"")"),"['Good', 'easy', 'use']")</f>
        <v>['Good', 'easy', 'use']</v>
      </c>
      <c r="D2780" s="3">
        <v>5.0</v>
      </c>
    </row>
    <row r="2781" ht="15.75" customHeight="1">
      <c r="A2781" s="1">
        <v>2918.0</v>
      </c>
      <c r="B2781" s="3" t="s">
        <v>2716</v>
      </c>
      <c r="C2781" s="3" t="str">
        <f>IFERROR(__xludf.DUMMYFUNCTION("GOOGLETRANSLATE(B2781,""id"",""en"")"),"['Thank you', 'Myindihome', 'Helping', 'Implement', 'Job', 'Activities', 'Activities', 'Network', 'Online', ""]")</f>
        <v>['Thank you', 'Myindihome', 'Helping', 'Implement', 'Job', 'Activities', 'Activities', 'Network', 'Online', "]</v>
      </c>
      <c r="D2781" s="3">
        <v>5.0</v>
      </c>
    </row>
    <row r="2782" ht="15.75" customHeight="1">
      <c r="A2782" s="1">
        <v>2919.0</v>
      </c>
      <c r="B2782" s="3" t="s">
        <v>2717</v>
      </c>
      <c r="C2782" s="3" t="str">
        <f>IFERROR(__xludf.DUMMYFUNCTION("GOOGLETRANSLATE(B2782,""id"",""en"")"),"['application', 'update', 'kek', 'application', 'pulp', 'contains',' ad ',' feature ',' user ',' features', 'remove', 'good', ' Application ',' update ',' ']")</f>
        <v>['application', 'update', 'kek', 'application', 'pulp', 'contains',' ad ',' feature ',' user ',' features', 'remove', 'good', ' Application ',' update ',' ']</v>
      </c>
      <c r="D2782" s="3">
        <v>1.0</v>
      </c>
    </row>
    <row r="2783" ht="15.75" customHeight="1">
      <c r="A2783" s="1">
        <v>2920.0</v>
      </c>
      <c r="B2783" s="3" t="s">
        <v>2718</v>
      </c>
      <c r="C2783" s="3" t="str">
        <f>IFERROR(__xludf.DUMMYFUNCTION("GOOGLETRANSLATE(B2783,""id"",""en"")"),"['TOP']")</f>
        <v>['TOP']</v>
      </c>
      <c r="D2783" s="3">
        <v>5.0</v>
      </c>
    </row>
    <row r="2784" ht="15.75" customHeight="1">
      <c r="A2784" s="1">
        <v>2921.0</v>
      </c>
      <c r="B2784" s="3" t="s">
        <v>2719</v>
      </c>
      <c r="C2784" s="3" t="str">
        <f>IFERROR(__xludf.DUMMYFUNCTION("GOOGLETRANSLATE(B2784,""id"",""en"")"),"['Crash', 'Android', 'Opened']")</f>
        <v>['Crash', 'Android', 'Opened']</v>
      </c>
      <c r="D2784" s="3">
        <v>1.0</v>
      </c>
    </row>
    <row r="2785" ht="15.75" customHeight="1">
      <c r="A2785" s="1">
        <v>2922.0</v>
      </c>
      <c r="B2785" s="3" t="s">
        <v>2720</v>
      </c>
      <c r="C2785" s="3" t="str">
        <f>IFERROR(__xludf.DUMMYFUNCTION("GOOGLETRANSLATE(B2785,""id"",""en"")"),"['application', 'update', 'good', 'features', 'indohome', 'hope', 'smooth', 'indihome', '']")</f>
        <v>['application', 'update', 'good', 'features', 'indohome', 'hope', 'smooth', 'indihome', '']</v>
      </c>
      <c r="D2785" s="3">
        <v>5.0</v>
      </c>
    </row>
    <row r="2786" ht="15.75" customHeight="1">
      <c r="A2786" s="1">
        <v>2923.0</v>
      </c>
      <c r="B2786" s="3" t="s">
        <v>2721</v>
      </c>
      <c r="C2786" s="3" t="str">
        <f>IFERROR(__xludf.DUMMYFUNCTION("GOOGLETRANSLATE(B2786,""id"",""en"")"),"['Love', 'Star', 'Update', 'Status',' Points', 'Feature', 'Receive', 'OTP', 'Automatic', 'Enter', 'Stuck', 'Strange', ' Update ',' Good ',' APK ']")</f>
        <v>['Love', 'Star', 'Update', 'Status',' Points', 'Feature', 'Receive', 'OTP', 'Automatic', 'Enter', 'Stuck', 'Strange', ' Update ',' Good ',' APK ']</v>
      </c>
      <c r="D2786" s="3">
        <v>3.0</v>
      </c>
    </row>
    <row r="2787" ht="15.75" customHeight="1">
      <c r="A2787" s="1">
        <v>2924.0</v>
      </c>
      <c r="B2787" s="3" t="s">
        <v>2722</v>
      </c>
      <c r="C2787" s="3" t="str">
        <f>IFERROR(__xludf.DUMMYFUNCTION("GOOGLETRANSLATE(B2787,""id"",""en"")"),"['Service', 'Paking', 'Bad', 'Get', 'Complaint', 'Processed', '']")</f>
        <v>['Service', 'Paking', 'Bad', 'Get', 'Complaint', 'Processed', '']</v>
      </c>
      <c r="D2787" s="3">
        <v>1.0</v>
      </c>
    </row>
    <row r="2788" ht="15.75" customHeight="1">
      <c r="A2788" s="1">
        <v>2925.0</v>
      </c>
      <c r="B2788" s="3" t="s">
        <v>2723</v>
      </c>
      <c r="C2788" s="3" t="str">
        <f>IFERROR(__xludf.DUMMYFUNCTION("GOOGLETRANSLATE(B2788,""id"",""en"")"),"['Application', 'Learning', 'Good', 'Communicative', '']")</f>
        <v>['Application', 'Learning', 'Good', 'Communicative', '']</v>
      </c>
      <c r="D2788" s="3">
        <v>5.0</v>
      </c>
    </row>
    <row r="2789" ht="15.75" customHeight="1">
      <c r="A2789" s="1">
        <v>2926.0</v>
      </c>
      <c r="B2789" s="3" t="s">
        <v>2724</v>
      </c>
      <c r="C2789" s="3" t="str">
        <f>IFERROR(__xludf.DUMMYFUNCTION("GOOGLETRANSLATE(B2789,""id"",""en"")"),"['Easy', 'Dipahami', 'version', '']")</f>
        <v>['Easy', 'Dipahami', 'version', '']</v>
      </c>
      <c r="D2789" s="3">
        <v>4.0</v>
      </c>
    </row>
    <row r="2790" ht="15.75" customHeight="1">
      <c r="A2790" s="1">
        <v>2927.0</v>
      </c>
      <c r="B2790" s="3" t="s">
        <v>2725</v>
      </c>
      <c r="C2790" s="3" t="str">
        <f>IFERROR(__xludf.DUMMYFUNCTION("GOOGLETRANSLATE(B2790,""id"",""en"")"),"['Fast', 'response', 'good', 'application', 'repairs', 'fast', 'loyal', 'subscribe', 'indihome', '']")</f>
        <v>['Fast', 'response', 'good', 'application', 'repairs', 'fast', 'loyal', 'subscribe', 'indihome', '']</v>
      </c>
      <c r="D2790" s="3">
        <v>5.0</v>
      </c>
    </row>
    <row r="2791" ht="15.75" customHeight="1">
      <c r="A2791" s="1">
        <v>2928.0</v>
      </c>
      <c r="B2791" s="3" t="s">
        <v>2726</v>
      </c>
      <c r="C2791" s="3" t="str">
        <f>IFERROR(__xludf.DUMMYFUNCTION("GOOGLETRANSLATE(B2791,""id"",""en"")"),"['easy', 'mantaaap', 'semogaminin', 'in the future', 'success']")</f>
        <v>['easy', 'mantaaap', 'semogaminin', 'in the future', 'success']</v>
      </c>
      <c r="D2791" s="3">
        <v>5.0</v>
      </c>
    </row>
    <row r="2792" ht="15.75" customHeight="1">
      <c r="A2792" s="1">
        <v>2929.0</v>
      </c>
      <c r="B2792" s="3" t="s">
        <v>2727</v>
      </c>
      <c r="C2792" s="3" t="str">
        <f>IFERROR(__xludf.DUMMYFUNCTION("GOOGLETRANSLATE(B2792,""id"",""en"")"),"['application', 'bntuan', 'service', 'replied', '']")</f>
        <v>['application', 'bntuan', 'service', 'replied', '']</v>
      </c>
      <c r="D2792" s="3">
        <v>1.0</v>
      </c>
    </row>
    <row r="2793" ht="15.75" customHeight="1">
      <c r="A2793" s="1">
        <v>2930.0</v>
      </c>
      <c r="B2793" s="3" t="s">
        <v>825</v>
      </c>
      <c r="C2793" s="3" t="str">
        <f>IFERROR(__xludf.DUMMYFUNCTION("GOOGLETRANSLATE(B2793,""id"",""en"")"),"['Application', 'Help']")</f>
        <v>['Application', 'Help']</v>
      </c>
      <c r="D2793" s="3">
        <v>5.0</v>
      </c>
    </row>
    <row r="2794" ht="15.75" customHeight="1">
      <c r="A2794" s="1">
        <v>2931.0</v>
      </c>
      <c r="B2794" s="3" t="s">
        <v>2728</v>
      </c>
      <c r="C2794" s="3" t="str">
        <f>IFERROR(__xludf.DUMMYFUNCTION("GOOGLETRANSLATE(B2794,""id"",""en"")"),"['Anyway', 'Ryesel', 'no', 'use', 'Indihome', 'Indihome', 'mantaap']")</f>
        <v>['Anyway', 'Ryesel', 'no', 'use', 'Indihome', 'Indihome', 'mantaap']</v>
      </c>
      <c r="D2794" s="3">
        <v>5.0</v>
      </c>
    </row>
    <row r="2795" ht="15.75" customHeight="1">
      <c r="A2795" s="1">
        <v>2932.0</v>
      </c>
      <c r="B2795" s="3" t="s">
        <v>2729</v>
      </c>
      <c r="C2795" s="3" t="str">
        <f>IFERROR(__xludf.DUMMYFUNCTION("GOOGLETRANSLATE(B2795,""id"",""en"")"),"['Application', 'Help', 'Renew', 'Speed', 'Etc.', 'Hopefully', 'Current', 'Jaya', 'Merdeka']")</f>
        <v>['Application', 'Help', 'Renew', 'Speed', 'Etc.', 'Hopefully', 'Current', 'Jaya', 'Merdeka']</v>
      </c>
      <c r="D2795" s="3">
        <v>5.0</v>
      </c>
    </row>
    <row r="2796" ht="15.75" customHeight="1">
      <c r="A2796" s="1">
        <v>2933.0</v>
      </c>
      <c r="B2796" s="3" t="s">
        <v>2730</v>
      </c>
      <c r="C2796" s="3" t="str">
        <f>IFERROR(__xludf.DUMMYFUNCTION("GOOGLETRANSLATE(B2796,""id"",""en"")"),"['experience', 'check', 'usage', 'quota']")</f>
        <v>['experience', 'check', 'usage', 'quota']</v>
      </c>
      <c r="D2796" s="3">
        <v>5.0</v>
      </c>
    </row>
    <row r="2797" ht="15.75" customHeight="1">
      <c r="A2797" s="1">
        <v>2934.0</v>
      </c>
      <c r="B2797" s="3" t="s">
        <v>2731</v>
      </c>
      <c r="C2797" s="3" t="str">
        <f>IFERROR(__xludf.DUMMYFUNCTION("GOOGLETRANSLATE(B2797,""id"",""en"")"),"['Display', 'Cool', 'Paketan', 'Easy', 'Search']")</f>
        <v>['Display', 'Cool', 'Paketan', 'Easy', 'Search']</v>
      </c>
      <c r="D2797" s="3">
        <v>5.0</v>
      </c>
    </row>
    <row r="2798" ht="15.75" customHeight="1">
      <c r="A2798" s="1">
        <v>2935.0</v>
      </c>
      <c r="B2798" s="3" t="s">
        <v>2732</v>
      </c>
      <c r="C2798" s="3" t="str">
        <f>IFERROR(__xludf.DUMMYFUNCTION("GOOGLETRANSLATE(B2798,""id"",""en"")"),"['In my opinion', 'update', 'lag', 'on', 'Profile', 'Hopefully', 'In the future', 'Good', 'Missing', 'Name', 'lag', 'lag', ' Applicable ',' God ',' Bless', 'Bismillah', 'balance', 'Link']")</f>
        <v>['In my opinion', 'update', 'lag', 'on', 'Profile', 'Hopefully', 'In the future', 'Good', 'Missing', 'Name', 'lag', 'lag', ' Applicable ',' God ',' Bless', 'Bismillah', 'balance', 'Link']</v>
      </c>
      <c r="D2798" s="3">
        <v>3.0</v>
      </c>
    </row>
    <row r="2799" ht="15.75" customHeight="1">
      <c r="A2799" s="1">
        <v>2936.0</v>
      </c>
      <c r="B2799" s="3" t="s">
        <v>2733</v>
      </c>
      <c r="C2799" s="3" t="str">
        <f>IFERROR(__xludf.DUMMYFUNCTION("GOOGLETRANSLATE(B2799,""id"",""en"")"),"['mantaps', 'and', 'data', 'accurate', 'help', '']")</f>
        <v>['mantaps', 'and', 'data', 'accurate', 'help', '']</v>
      </c>
      <c r="D2799" s="3">
        <v>5.0</v>
      </c>
    </row>
    <row r="2800" ht="15.75" customHeight="1">
      <c r="A2800" s="1">
        <v>2937.0</v>
      </c>
      <c r="B2800" s="3" t="s">
        <v>2734</v>
      </c>
      <c r="C2800" s="3" t="str">
        <f>IFERROR(__xludf.DUMMYFUNCTION("GOOGLETRANSLATE(B2800,""id"",""en"")"),"['update', 'the latest', 'choice', 'complaint', 'service', 'effective']")</f>
        <v>['update', 'the latest', 'choice', 'complaint', 'service', 'effective']</v>
      </c>
      <c r="D2800" s="3">
        <v>1.0</v>
      </c>
    </row>
    <row r="2801" ht="15.75" customHeight="1">
      <c r="A2801" s="1">
        <v>2938.0</v>
      </c>
      <c r="B2801" s="3" t="s">
        <v>2735</v>
      </c>
      <c r="C2801" s="3" t="str">
        <f>IFERROR(__xludf.DUMMYFUNCTION("GOOGLETRANSLATE(B2801,""id"",""en"")"),"['jammed', 'jammed', 'signal']")</f>
        <v>['jammed', 'jammed', 'signal']</v>
      </c>
      <c r="D2801" s="3">
        <v>5.0</v>
      </c>
    </row>
    <row r="2802" ht="15.75" customHeight="1">
      <c r="A2802" s="1">
        <v>2939.0</v>
      </c>
      <c r="B2802" s="3" t="s">
        <v>460</v>
      </c>
      <c r="C2802" s="3" t="str">
        <f>IFERROR(__xludf.DUMMYFUNCTION("GOOGLETRANSLATE(B2802,""id"",""en"")"),"['steady', '']")</f>
        <v>['steady', '']</v>
      </c>
      <c r="D2802" s="3">
        <v>5.0</v>
      </c>
    </row>
    <row r="2803" ht="15.75" customHeight="1">
      <c r="A2803" s="1">
        <v>2940.0</v>
      </c>
      <c r="B2803" s="3" t="s">
        <v>2736</v>
      </c>
      <c r="C2803" s="3" t="str">
        <f>IFERROR(__xludf.DUMMYFUNCTION("GOOGLETRANSLATE(B2803,""id"",""en"")"),"['Application', 'Abis', 'Update', 'Bengkk', 'Gabisa', 'Loginnnnnnnnnnn', '']")</f>
        <v>['Application', 'Abis', 'Update', 'Bengkk', 'Gabisa', 'Loginnnnnnnnnnn', '']</v>
      </c>
      <c r="D2803" s="3">
        <v>2.0</v>
      </c>
    </row>
    <row r="2804" ht="15.75" customHeight="1">
      <c r="A2804" s="1">
        <v>2941.0</v>
      </c>
      <c r="B2804" s="3" t="s">
        <v>2737</v>
      </c>
      <c r="C2804" s="3" t="str">
        <f>IFERROR(__xludf.DUMMYFUNCTION("GOOGLETRANSLATE(B2804,""id"",""en"")"),"['BSA', 'installed', 'block', 'next door', 'installed', 'CMA', 'wise', 'gang']")</f>
        <v>['BSA', 'installed', 'block', 'next door', 'installed', 'CMA', 'wise', 'gang']</v>
      </c>
      <c r="D2804" s="3">
        <v>1.0</v>
      </c>
    </row>
    <row r="2805" ht="15.75" customHeight="1">
      <c r="A2805" s="1">
        <v>2942.0</v>
      </c>
      <c r="B2805" s="3" t="s">
        <v>2738</v>
      </c>
      <c r="C2805" s="3" t="str">
        <f>IFERROR(__xludf.DUMMYFUNCTION("GOOGLETRANSLATE(B2805,""id"",""en"")"),"['Network', 'stable', 'price', 'cheap', 'satisfied']")</f>
        <v>['Network', 'stable', 'price', 'cheap', 'satisfied']</v>
      </c>
      <c r="D2805" s="3">
        <v>5.0</v>
      </c>
    </row>
    <row r="2806" ht="15.75" customHeight="1">
      <c r="A2806" s="1">
        <v>2943.0</v>
      </c>
      <c r="B2806" s="3" t="s">
        <v>2739</v>
      </c>
      <c r="C2806" s="3" t="str">
        <f>IFERROR(__xludf.DUMMYFUNCTION("GOOGLETRANSLATE(B2806,""id"",""en"")"),"['Display', 'good', 'makes it easy', 'information', 'bills',' column ',' help ',' disorder ',' tetsedia ',' step ',' step ',' complaint ',' "", 'Help', 'Customer', 'fast', 'take action', 'disorder', 'Customer', '']")</f>
        <v>['Display', 'good', 'makes it easy', 'information', 'bills',' column ',' help ',' disorder ',' tetsedia ',' step ',' step ',' complaint ',' ", 'Help', 'Customer', 'fast', 'take action', 'disorder', 'Customer', '']</v>
      </c>
      <c r="D2806" s="3">
        <v>5.0</v>
      </c>
    </row>
    <row r="2807" ht="15.75" customHeight="1">
      <c r="A2807" s="1">
        <v>2944.0</v>
      </c>
      <c r="B2807" s="3" t="s">
        <v>2740</v>
      </c>
      <c r="C2807" s="3" t="str">
        <f>IFERROR(__xludf.DUMMYFUNCTION("GOOGLETRANSLATE(B2807,""id"",""en"")"),"['Good', 'help', 'check', 'indihome']")</f>
        <v>['Good', 'help', 'check', 'indihome']</v>
      </c>
      <c r="D2807" s="3">
        <v>5.0</v>
      </c>
    </row>
    <row r="2808" ht="15.75" customHeight="1">
      <c r="A2808" s="1">
        <v>2945.0</v>
      </c>
      <c r="B2808" s="3" t="s">
        <v>2741</v>
      </c>
      <c r="C2808" s="3" t="str">
        <f>IFERROR(__xludf.DUMMYFUNCTION("GOOGLETRANSLATE(B2808,""id"",""en"")"),"['convenience', 'access']")</f>
        <v>['convenience', 'access']</v>
      </c>
      <c r="D2808" s="3">
        <v>5.0</v>
      </c>
    </row>
    <row r="2809" ht="15.75" customHeight="1">
      <c r="A2809" s="1">
        <v>2946.0</v>
      </c>
      <c r="B2809" s="3" t="s">
        <v>2742</v>
      </c>
      <c r="C2809" s="3" t="str">
        <f>IFERROR(__xludf.DUMMYFUNCTION("GOOGLETRANSLATE(B2809,""id"",""en"")"),"['Current', 'Donk', 'Except', 'Ujan', 'stagnates',' The rest ',' Kek ',' Road ',' Toll ',' Love ',' Deh ',' Anyway ',' ']")</f>
        <v>['Current', 'Donk', 'Except', 'Ujan', 'stagnates',' The rest ',' Kek ',' Road ',' Toll ',' Love ',' Deh ',' Anyway ',' ']</v>
      </c>
      <c r="D2809" s="3">
        <v>5.0</v>
      </c>
    </row>
    <row r="2810" ht="15.75" customHeight="1">
      <c r="A2810" s="1">
        <v>2947.0</v>
      </c>
      <c r="B2810" s="3" t="s">
        <v>2743</v>
      </c>
      <c r="C2810" s="3" t="str">
        <f>IFERROR(__xludf.DUMMYFUNCTION("GOOGLETRANSLATE(B2810,""id"",""en"")"),"['Safe', 'smooth', 'stagnant', 'speeding', 'hope', 'survive', '']")</f>
        <v>['Safe', 'smooth', 'stagnant', 'speeding', 'hope', 'survive', '']</v>
      </c>
      <c r="D2810" s="3">
        <v>5.0</v>
      </c>
    </row>
    <row r="2811" ht="15.75" customHeight="1">
      <c r="A2811" s="1">
        <v>2948.0</v>
      </c>
      <c r="B2811" s="3" t="s">
        <v>2744</v>
      </c>
      <c r="C2811" s="3" t="str">
        <f>IFERROR(__xludf.DUMMYFUNCTION("GOOGLETRANSLATE(B2811,""id"",""en"")"),"['application', 'makes it easy', 'info', 'updated', 'likes', 'see', 'use', 'service', 'report', 'online']")</f>
        <v>['application', 'makes it easy', 'info', 'updated', 'likes', 'see', 'use', 'service', 'report', 'online']</v>
      </c>
      <c r="D2811" s="3">
        <v>5.0</v>
      </c>
    </row>
    <row r="2812" ht="15.75" customHeight="1">
      <c r="A2812" s="1">
        <v>2950.0</v>
      </c>
      <c r="B2812" s="3" t="s">
        <v>2745</v>
      </c>
      <c r="C2812" s="3" t="str">
        <f>IFERROR(__xludf.DUMMYFUNCTION("GOOGLETRANSLATE(B2812,""id"",""en"")"),"['Application', 'Latest', 'Simple', ""]")</f>
        <v>['Application', 'Latest', 'Simple', "]</v>
      </c>
      <c r="D2812" s="3">
        <v>5.0</v>
      </c>
    </row>
    <row r="2813" ht="15.75" customHeight="1">
      <c r="A2813" s="1">
        <v>2951.0</v>
      </c>
      <c r="B2813" s="3" t="s">
        <v>2746</v>
      </c>
      <c r="C2813" s="3" t="str">
        <f>IFERROR(__xludf.DUMMYFUNCTION("GOOGLETRANSLATE(B2813,""id"",""en"")"),"['userfriendly']")</f>
        <v>['userfriendly']</v>
      </c>
      <c r="D2813" s="3">
        <v>5.0</v>
      </c>
    </row>
    <row r="2814" ht="15.75" customHeight="1">
      <c r="A2814" s="1">
        <v>2952.0</v>
      </c>
      <c r="B2814" s="3" t="s">
        <v>2747</v>
      </c>
      <c r="C2814" s="3" t="str">
        <f>IFERROR(__xludf.DUMMYFUNCTION("GOOGLETRANSLATE(B2814,""id"",""en"")"),"['steady', 'help', 'complaint', 'responded', 'fast']")</f>
        <v>['steady', 'help', 'complaint', 'responded', 'fast']</v>
      </c>
      <c r="D2814" s="3">
        <v>5.0</v>
      </c>
    </row>
    <row r="2815" ht="15.75" customHeight="1">
      <c r="A2815" s="1">
        <v>2953.0</v>
      </c>
      <c r="B2815" s="3" t="s">
        <v>2748</v>
      </c>
      <c r="C2815" s="3" t="str">
        <f>IFERROR(__xludf.DUMMYFUNCTION("GOOGLETRANSLATE(B2815,""id"",""en"")"),"['Gooddd', '']")</f>
        <v>['Gooddd', '']</v>
      </c>
      <c r="D2815" s="3">
        <v>5.0</v>
      </c>
    </row>
    <row r="2816" ht="15.75" customHeight="1">
      <c r="A2816" s="1">
        <v>2954.0</v>
      </c>
      <c r="B2816" s="3" t="s">
        <v>2749</v>
      </c>
      <c r="C2816" s="3" t="str">
        <f>IFERROR(__xludf.DUMMYFUNCTION("GOOGLETRANSLATE(B2816,""id"",""en"")"),"['Regulation', 'skrg', 'Different', 'No "",' Tide ',' Monthly ',' Costs', 'Installation', 'Benwal', 'Heavy', 'Maap', 'Install']")</f>
        <v>['Regulation', 'skrg', 'Different', 'No ",' Tide ',' Monthly ',' Costs', 'Installation', 'Benwal', 'Heavy', 'Maap', 'Install']</v>
      </c>
      <c r="D2816" s="3">
        <v>1.0</v>
      </c>
    </row>
    <row r="2817" ht="15.75" customHeight="1">
      <c r="A2817" s="1">
        <v>2955.0</v>
      </c>
      <c r="B2817" s="3" t="s">
        <v>2750</v>
      </c>
      <c r="C2817" s="3" t="str">
        <f>IFERROR(__xludf.DUMMYFUNCTION("GOOGLETRANSLATE(B2817,""id"",""en"")"),"['Subscription', 'Nunggak', 'Liability', 'Internet', 'Disorders', 'Update', 'Application', 'Point', ""]")</f>
        <v>['Subscription', 'Nunggak', 'Liability', 'Internet', 'Disorders', 'Update', 'Application', 'Point', "]</v>
      </c>
      <c r="D2817" s="3">
        <v>2.0</v>
      </c>
    </row>
    <row r="2818" ht="15.75" customHeight="1">
      <c r="A2818" s="1">
        <v>2956.0</v>
      </c>
      <c r="B2818" s="3" t="s">
        <v>2751</v>
      </c>
      <c r="C2818" s="3" t="str">
        <f>IFERROR(__xludf.DUMMYFUNCTION("GOOGLETRANSLATE(B2818,""id"",""en"")"),"['Kompai', 'Many', 'times',' Messenger ',' Disruption ',' Damaged ',' Modem ',' Network ',' Internet ',' Ninggalin ',' Ningatu ',' ']")</f>
        <v>['Kompai', 'Many', 'times',' Messenger ',' Disruption ',' Damaged ',' Modem ',' Network ',' Internet ',' Ninggalin ',' Ningatu ',' ']</v>
      </c>
      <c r="D2818" s="3">
        <v>2.0</v>
      </c>
    </row>
    <row r="2819" ht="15.75" customHeight="1">
      <c r="A2819" s="1">
        <v>2957.0</v>
      </c>
      <c r="B2819" s="3" t="s">
        <v>2752</v>
      </c>
      <c r="C2819" s="3" t="str">
        <f>IFERROR(__xludf.DUMMYFUNCTION("GOOGLETRANSLATE(B2819,""id"",""en"")"),"['Service', 'satisfying']")</f>
        <v>['Service', 'satisfying']</v>
      </c>
      <c r="D2819" s="3">
        <v>5.0</v>
      </c>
    </row>
    <row r="2820" ht="15.75" customHeight="1">
      <c r="A2820" s="1">
        <v>2959.0</v>
      </c>
      <c r="B2820" s="3" t="s">
        <v>2753</v>
      </c>
      <c r="C2820" s="3" t="str">
        <f>IFERROR(__xludf.DUMMYFUNCTION("GOOGLETRANSLATE(B2820,""id"",""en"")"),"['Awaited', 'Patch', 'Latest', 'Constraints',' Application ',' Heavy ',' High ',' Loading ',' Device ',' Redmi ',' Android ',' Ram ',' MIUI ',' stable ',' global ']")</f>
        <v>['Awaited', 'Patch', 'Latest', 'Constraints',' Application ',' Heavy ',' High ',' Loading ',' Device ',' Redmi ',' Android ',' Ram ',' MIUI ',' stable ',' global ']</v>
      </c>
      <c r="D2820" s="3">
        <v>1.0</v>
      </c>
    </row>
    <row r="2821" ht="15.75" customHeight="1">
      <c r="A2821" s="1">
        <v>2960.0</v>
      </c>
      <c r="B2821" s="3" t="s">
        <v>2754</v>
      </c>
      <c r="C2821" s="3" t="str">
        <f>IFERROR(__xludf.DUMMYFUNCTION("GOOGLETRANSLATE(B2821,""id"",""en"")"),"['Paying', 'Kenceng', 'internet', 'slow', 'dead', 'on', 'dead', 'Fix', 'fix', 'released']")</f>
        <v>['Paying', 'Kenceng', 'internet', 'slow', 'dead', 'on', 'dead', 'Fix', 'fix', 'released']</v>
      </c>
      <c r="D2821" s="3">
        <v>1.0</v>
      </c>
    </row>
    <row r="2822" ht="15.75" customHeight="1">
      <c r="A2822" s="1">
        <v>2961.0</v>
      </c>
      <c r="B2822" s="3" t="s">
        <v>2755</v>
      </c>
      <c r="C2822" s="3" t="str">
        <f>IFERROR(__xludf.DUMMYFUNCTION("GOOGLETRANSLATE(B2822,""id"",""en"")"),"['lag', 'mulu', 'waste', 'money']")</f>
        <v>['lag', 'mulu', 'waste', 'money']</v>
      </c>
      <c r="D2822" s="3">
        <v>1.0</v>
      </c>
    </row>
    <row r="2823" ht="15.75" customHeight="1">
      <c r="A2823" s="1">
        <v>2962.0</v>
      </c>
      <c r="B2823" s="3" t="s">
        <v>2756</v>
      </c>
      <c r="C2823" s="3" t="str">
        <f>IFERROR(__xludf.DUMMYFUNCTION("GOOGLETRANSLATE(B2823,""id"",""en"")"),"['easy', 'complete', 'service']")</f>
        <v>['easy', 'complete', 'service']</v>
      </c>
      <c r="D2823" s="3">
        <v>5.0</v>
      </c>
    </row>
    <row r="2824" ht="15.75" customHeight="1">
      <c r="A2824" s="1">
        <v>2963.0</v>
      </c>
      <c r="B2824" s="3" t="s">
        <v>2757</v>
      </c>
      <c r="C2824" s="3" t="str">
        <f>IFERROR(__xludf.DUMMYFUNCTION("GOOGLETRANSLATE(B2824,""id"",""en"")"),"['application', 'difficult', 'access', 'naruk', 'point', 'difficult', 'name', 'BUMN']")</f>
        <v>['application', 'difficult', 'access', 'naruk', 'point', 'difficult', 'name', 'BUMN']</v>
      </c>
      <c r="D2824" s="3">
        <v>1.0</v>
      </c>
    </row>
    <row r="2825" ht="15.75" customHeight="1">
      <c r="A2825" s="1">
        <v>2964.0</v>
      </c>
      <c r="B2825" s="3" t="s">
        <v>2758</v>
      </c>
      <c r="C2825" s="3" t="str">
        <f>IFERROR(__xludf.DUMMYFUNCTION("GOOGLETRANSLATE(B2825,""id"",""en"")"),"['Good', 'lbih', 'detail', 'heavy', 'the application']")</f>
        <v>['Good', 'lbih', 'detail', 'heavy', 'the application']</v>
      </c>
      <c r="D2825" s="3">
        <v>5.0</v>
      </c>
    </row>
    <row r="2826" ht="15.75" customHeight="1">
      <c r="A2826" s="1">
        <v>2965.0</v>
      </c>
      <c r="B2826" s="3" t="s">
        <v>2759</v>
      </c>
      <c r="C2826" s="3" t="str">
        <f>IFERROR(__xludf.DUMMYFUNCTION("GOOGLETRANSLATE(B2826,""id"",""en"")"),"['Display', 'easy']")</f>
        <v>['Display', 'easy']</v>
      </c>
      <c r="D2826" s="3">
        <v>5.0</v>
      </c>
    </row>
    <row r="2827" ht="15.75" customHeight="1">
      <c r="A2827" s="1">
        <v>2966.0</v>
      </c>
      <c r="B2827" s="3" t="s">
        <v>2760</v>
      </c>
      <c r="C2827" s="3" t="str">
        <f>IFERROR(__xludf.DUMMYFUNCTION("GOOGLETRANSLATE(B2827,""id"",""en"")"),"['Application', 'Latest', 'Informative', 'Easy', 'Understand']")</f>
        <v>['Application', 'Latest', 'Informative', 'Easy', 'Understand']</v>
      </c>
      <c r="D2827" s="3">
        <v>5.0</v>
      </c>
    </row>
    <row r="2828" ht="15.75" customHeight="1">
      <c r="A2828" s="1">
        <v>2967.0</v>
      </c>
      <c r="B2828" s="3" t="s">
        <v>2761</v>
      </c>
      <c r="C2828" s="3" t="str">
        <f>IFERROR(__xludf.DUMMYFUNCTION("GOOGLETRANSLATE(B2828,""id"",""en"")"),"['Application', 'Indihome', 'Latest', 'Informative', 'Transparent', 'Incorrect', 'Usage', 'Stable', 'Entertainment', 'In the future', 'Event', 'TTP', ' implemented ',' prize ',' interesting ',' developed ',' indihome ']")</f>
        <v>['Application', 'Indihome', 'Latest', 'Informative', 'Transparent', 'Incorrect', 'Usage', 'Stable', 'Entertainment', 'In the future', 'Event', 'TTP', ' implemented ',' prize ',' interesting ',' developed ',' indihome ']</v>
      </c>
      <c r="D2828" s="3">
        <v>5.0</v>
      </c>
    </row>
    <row r="2829" ht="15.75" customHeight="1">
      <c r="A2829" s="1">
        <v>2968.0</v>
      </c>
      <c r="B2829" s="3" t="s">
        <v>2762</v>
      </c>
      <c r="C2829" s="3" t="str">
        <f>IFERROR(__xludf.DUMMYFUNCTION("GOOGLETRANSLATE(B2829,""id"",""en"")"),"['features', 'new', 'cool', 'steady', 'indihome', '']")</f>
        <v>['features', 'new', 'cool', 'steady', 'indihome', '']</v>
      </c>
      <c r="D2829" s="3">
        <v>5.0</v>
      </c>
    </row>
    <row r="2830" ht="15.75" customHeight="1">
      <c r="A2830" s="1">
        <v>2970.0</v>
      </c>
      <c r="B2830" s="3" t="s">
        <v>2763</v>
      </c>
      <c r="C2830" s="3" t="str">
        <f>IFERROR(__xludf.DUMMYFUNCTION("GOOGLETRANSLATE(B2830,""id"",""en"")"),"['application', 'easy', 'help', 'check', 'pay', 'bill']")</f>
        <v>['application', 'easy', 'help', 'check', 'pay', 'bill']</v>
      </c>
      <c r="D2830" s="3">
        <v>5.0</v>
      </c>
    </row>
    <row r="2831" ht="15.75" customHeight="1">
      <c r="A2831" s="1">
        <v>2971.0</v>
      </c>
      <c r="B2831" s="3" t="s">
        <v>2764</v>
      </c>
      <c r="C2831" s="3" t="str">
        <f>IFERROR(__xludf.DUMMYFUNCTION("GOOGLETRANSLATE(B2831,""id"",""en"")"),"['Service', 'Indihome', 'Best', 'Disappointed']")</f>
        <v>['Service', 'Indihome', 'Best', 'Disappointed']</v>
      </c>
      <c r="D2831" s="3">
        <v>5.0</v>
      </c>
    </row>
    <row r="2832" ht="15.75" customHeight="1">
      <c r="A2832" s="1">
        <v>2972.0</v>
      </c>
      <c r="B2832" s="3" t="s">
        <v>2765</v>
      </c>
      <c r="C2832" s="3" t="str">
        <f>IFERROR(__xludf.DUMMYFUNCTION("GOOGLETRANSLATE(B2832,""id"",""en"")"),"['Help', 'Indihome', 'home', 'wfh', 'sfh', 'walk', 'smooth']")</f>
        <v>['Help', 'Indihome', 'home', 'wfh', 'sfh', 'walk', 'smooth']</v>
      </c>
      <c r="D2832" s="3">
        <v>5.0</v>
      </c>
    </row>
    <row r="2833" ht="15.75" customHeight="1">
      <c r="A2833" s="1">
        <v>2973.0</v>
      </c>
      <c r="B2833" s="3" t="s">
        <v>2766</v>
      </c>
      <c r="C2833" s="3" t="str">
        <f>IFERROR(__xludf.DUMMYFUNCTION("GOOGLETRANSLATE(B2833,""id"",""en"")"),"['Subscriptions', 'Indihome', 'Recommend', 'Install', 'Application']")</f>
        <v>['Subscriptions', 'Indihome', 'Recommend', 'Install', 'Application']</v>
      </c>
      <c r="D2833" s="3">
        <v>5.0</v>
      </c>
    </row>
    <row r="2834" ht="15.75" customHeight="1">
      <c r="A2834" s="1">
        <v>2974.0</v>
      </c>
      <c r="B2834" s="3" t="s">
        <v>2767</v>
      </c>
      <c r="C2834" s="3" t="str">
        <f>IFERROR(__xludf.DUMMYFUNCTION("GOOGLETRANSLATE(B2834,""id"",""en"")"),"['Please', 'Indihom', 'Fix', 'Response', 'Complaints',' User ',' User ',' Indihome ',' Disappointed ',' Sorry ',' Wear ',' Indihome ',' The bill ',' Naturally ',' Suda ',' Wear ',' Indihom ',' TaTihanya ',' Please ',' Response ',' Complaint ',' ']")</f>
        <v>['Please', 'Indihom', 'Fix', 'Response', 'Complaints',' User ',' User ',' Indihome ',' Disappointed ',' Sorry ',' Wear ',' Indihome ',' The bill ',' Naturally ',' Suda ',' Wear ',' Indihom ',' TaTihanya ',' Please ',' Response ',' Complaint ',' ']</v>
      </c>
      <c r="D2834" s="3">
        <v>1.0</v>
      </c>
    </row>
    <row r="2835" ht="15.75" customHeight="1">
      <c r="A2835" s="1">
        <v>2975.0</v>
      </c>
      <c r="B2835" s="3" t="s">
        <v>2768</v>
      </c>
      <c r="C2835" s="3" t="str">
        <f>IFERROR(__xludf.DUMMYFUNCTION("GOOGLETRANSLATE(B2835,""id"",""en"")"),"['Application', 'makes it easier', 'monitor', 'use', 'banwidth', 'indihome', 'fast', 'delivery', 'obstacle', 'handling', 'fast', 'features',' Entertainment ',' Provide ',' ckup ',' complete ']")</f>
        <v>['Application', 'makes it easier', 'monitor', 'use', 'banwidth', 'indihome', 'fast', 'delivery', 'obstacle', 'handling', 'fast', 'features',' Entertainment ',' Provide ',' ckup ',' complete ']</v>
      </c>
      <c r="D2835" s="3">
        <v>5.0</v>
      </c>
    </row>
    <row r="2836" ht="15.75" customHeight="1">
      <c r="A2836" s="1">
        <v>2976.0</v>
      </c>
      <c r="B2836" s="3" t="s">
        <v>2769</v>
      </c>
      <c r="C2836" s="3" t="str">
        <f>IFERROR(__xludf.DUMMYFUNCTION("GOOGLETRANSLATE(B2836,""id"",""en"")"),"['fast', 'info', 'promo', 'updated', 'product', 'indihome', 'info', 'bill']")</f>
        <v>['fast', 'info', 'promo', 'updated', 'product', 'indihome', 'info', 'bill']</v>
      </c>
      <c r="D2836" s="3">
        <v>5.0</v>
      </c>
    </row>
    <row r="2837" ht="15.75" customHeight="1">
      <c r="A2837" s="1">
        <v>2979.0</v>
      </c>
      <c r="B2837" s="3" t="s">
        <v>2770</v>
      </c>
      <c r="C2837" s="3" t="str">
        <f>IFERROR(__xludf.DUMMYFUNCTION("GOOGLETRANSLATE(B2837,""id"",""en"")"),"['installation', 'smooth', 'slow', 'reason', 'update', 'speed', 'Mbps',' change ',' useetv ',' picture ',' Stop ',' report ',' Quota ',' operator ',' Customer ',' servicenya ',' ']")</f>
        <v>['installation', 'smooth', 'slow', 'reason', 'update', 'speed', 'Mbps',' change ',' useetv ',' picture ',' Stop ',' report ',' Quota ',' operator ',' Customer ',' servicenya ',' ']</v>
      </c>
      <c r="D2837" s="3">
        <v>4.0</v>
      </c>
    </row>
    <row r="2838" ht="15.75" customHeight="1">
      <c r="A2838" s="1">
        <v>2980.0</v>
      </c>
      <c r="B2838" s="3" t="s">
        <v>2771</v>
      </c>
      <c r="C2838" s="3" t="str">
        <f>IFERROR(__xludf.DUMMYFUNCTION("GOOGLETRANSLATE(B2838,""id"",""en"")"),"['Display', 'application', 'interesting', 'informative', 'menu', 'interactive', 'it's easy', 'customer', 'keep', 'service', 'hope', 'indihome', ' enthusiasm ',' innovating ',' service ',' best ',' country ',' ']")</f>
        <v>['Display', 'application', 'interesting', 'informative', 'menu', 'interactive', 'it's easy', 'customer', 'keep', 'service', 'hope', 'indihome', ' enthusiasm ',' innovating ',' service ',' best ',' country ',' ']</v>
      </c>
      <c r="D2838" s="3">
        <v>5.0</v>
      </c>
    </row>
    <row r="2839" ht="15.75" customHeight="1">
      <c r="A2839" s="1">
        <v>2981.0</v>
      </c>
      <c r="B2839" s="3" t="s">
        <v>2772</v>
      </c>
      <c r="C2839" s="3" t="str">
        <f>IFERROR(__xludf.DUMMYFUNCTION("GOOGLETRANSLATE(B2839,""id"",""en"")"),"['application', 'good', 'promo', 'indihome', 'reporting', 'disruption', 'fast', 'handy', 'point', 'exchange', 'interesting', 'pay', ' bills', 'application', 'myindihome', 'in the future', 'lebik', 'thank', 'love', 'indihome']")</f>
        <v>['application', 'good', 'promo', 'indihome', 'reporting', 'disruption', 'fast', 'handy', 'point', 'exchange', 'interesting', 'pay', ' bills', 'application', 'myindihome', 'in the future', 'lebik', 'thank', 'love', 'indihome']</v>
      </c>
      <c r="D2839" s="3">
        <v>5.0</v>
      </c>
    </row>
    <row r="2840" ht="15.75" customHeight="1">
      <c r="A2840" s="1">
        <v>2982.0</v>
      </c>
      <c r="B2840" s="3" t="s">
        <v>2773</v>
      </c>
      <c r="C2840" s="3" t="str">
        <f>IFERROR(__xludf.DUMMYFUNCTION("GOOGLETRANSLATE(B2840,""id"",""en"")"),"['detail', 'expenses', 'per month', 'usage', 'wifi', 'price', ""]")</f>
        <v>['detail', 'expenses', 'per month', 'usage', 'wifi', 'price', "]</v>
      </c>
      <c r="D2840" s="3">
        <v>5.0</v>
      </c>
    </row>
    <row r="2841" ht="15.75" customHeight="1">
      <c r="A2841" s="1">
        <v>2983.0</v>
      </c>
      <c r="B2841" s="3" t="s">
        <v>2774</v>
      </c>
      <c r="C2841" s="3" t="str">
        <f>IFERROR(__xludf.DUMMYFUNCTION("GOOGLETRANSLATE(B2841,""id"",""en"")"),"['Application', 'Error', 'Mulu']")</f>
        <v>['Application', 'Error', 'Mulu']</v>
      </c>
      <c r="D2841" s="3">
        <v>1.0</v>
      </c>
    </row>
    <row r="2842" ht="15.75" customHeight="1">
      <c r="A2842" s="1">
        <v>2985.0</v>
      </c>
      <c r="B2842" s="3" t="s">
        <v>2775</v>
      </c>
      <c r="C2842" s="3" t="str">
        <f>IFERROR(__xludf.DUMMYFUNCTION("GOOGLETRANSLATE(B2842,""id"",""en"")"),"['gabisa', 'connected', 'internet', 'how', 'home', 'php', 'doang']")</f>
        <v>['gabisa', 'connected', 'internet', 'how', 'home', 'php', 'doang']</v>
      </c>
      <c r="D2842" s="3">
        <v>1.0</v>
      </c>
    </row>
    <row r="2843" ht="15.75" customHeight="1">
      <c r="A2843" s="1">
        <v>2986.0</v>
      </c>
      <c r="B2843" s="3" t="s">
        <v>2776</v>
      </c>
      <c r="C2843" s="3" t="str">
        <f>IFERROR(__xludf.DUMMYFUNCTION("GOOGLETRANSLATE(B2843,""id"",""en"")"),"['sad', 'because', 'update', 'application', 'enter', 'number', 'email', 'list', 'enter']")</f>
        <v>['sad', 'because', 'update', 'application', 'enter', 'number', 'email', 'list', 'enter']</v>
      </c>
      <c r="D2843" s="3">
        <v>2.0</v>
      </c>
    </row>
    <row r="2844" ht="15.75" customHeight="1">
      <c r="A2844" s="1">
        <v>2987.0</v>
      </c>
      <c r="B2844" s="3" t="s">
        <v>2777</v>
      </c>
      <c r="C2844" s="3" t="str">
        <f>IFERROR(__xludf.DUMMYFUNCTION("GOOGLETRANSLATE(B2844,""id"",""en"")"),"['', 'After', 'Update', 'Gada', 'Display', 'Ask', 'reporting', 'PDHL', 'report', 'Gabsa']")</f>
        <v>['', 'After', 'Update', 'Gada', 'Display', 'Ask', 'reporting', 'PDHL', 'report', 'Gabsa']</v>
      </c>
      <c r="D2844" s="3">
        <v>1.0</v>
      </c>
    </row>
    <row r="2845" ht="15.75" customHeight="1">
      <c r="A2845" s="1">
        <v>2988.0</v>
      </c>
      <c r="B2845" s="3" t="s">
        <v>2778</v>
      </c>
      <c r="C2845" s="3" t="str">
        <f>IFERROR(__xludf.DUMMYFUNCTION("GOOGLETRANSLATE(B2845,""id"",""en"")"),"['Gaa', 'regret', 'donwload', 'APL', 'Useful', 'really']")</f>
        <v>['Gaa', 'regret', 'donwload', 'APL', 'Useful', 'really']</v>
      </c>
      <c r="D2845" s="3">
        <v>5.0</v>
      </c>
    </row>
    <row r="2846" ht="15.75" customHeight="1">
      <c r="A2846" s="1">
        <v>2989.0</v>
      </c>
      <c r="B2846" s="3" t="s">
        <v>2779</v>
      </c>
      <c r="C2846" s="3" t="str">
        <f>IFERROR(__xludf.DUMMYFUNCTION("GOOGLETRANSLATE(B2846,""id"",""en"")"),"['Service', 'Best', 'Internet', 'Normal', 'HR', 'Ganguan', 'Reasons',' Repair ',' Network ',' turn ',' late ',' isolir ',' company ',' BUMN ',' class', 'company', 'amateur', ""]")</f>
        <v>['Service', 'Best', 'Internet', 'Normal', 'HR', 'Ganguan', 'Reasons',' Repair ',' Network ',' turn ',' late ',' isolir ',' company ',' BUMN ',' class', 'company', 'amateur', "]</v>
      </c>
      <c r="D2846" s="3">
        <v>1.0</v>
      </c>
    </row>
    <row r="2847" ht="15.75" customHeight="1">
      <c r="A2847" s="1">
        <v>2990.0</v>
      </c>
      <c r="B2847" s="3" t="s">
        <v>2780</v>
      </c>
      <c r="C2847" s="3" t="str">
        <f>IFERROR(__xludf.DUMMYFUNCTION("GOOGLETRANSLATE(B2847,""id"",""en"")"),"['indhihome', 'bad', 'clock', 'internet', 'wifi', 'indihome', 'balikpapan', 'severe', 'really', 'times',' disappointed ',' balikpapan ',' Free ',' Gembor ',' Internet ',' Cheap ',' PLN ',' Switch ',' Internet ',' PLN ',' ']")</f>
        <v>['indhihome', 'bad', 'clock', 'internet', 'wifi', 'indihome', 'balikpapan', 'severe', 'really', 'times',' disappointed ',' balikpapan ',' Free ',' Gembor ',' Internet ',' Cheap ',' PLN ',' Switch ',' Internet ',' PLN ',' ']</v>
      </c>
      <c r="D2847" s="3">
        <v>1.0</v>
      </c>
    </row>
    <row r="2848" ht="15.75" customHeight="1">
      <c r="A2848" s="1">
        <v>2991.0</v>
      </c>
      <c r="B2848" s="3" t="s">
        <v>2781</v>
      </c>
      <c r="C2848" s="3" t="str">
        <f>IFERROR(__xludf.DUMMYFUNCTION("GOOGLETRANSLATE(B2848,""id"",""en"")"),"['Bug', 'Useful']")</f>
        <v>['Bug', 'Useful']</v>
      </c>
      <c r="D2848" s="3">
        <v>1.0</v>
      </c>
    </row>
    <row r="2849" ht="15.75" customHeight="1">
      <c r="A2849" s="1">
        <v>2992.0</v>
      </c>
      <c r="B2849" s="3" t="s">
        <v>2782</v>
      </c>
      <c r="C2849" s="3" t="str">
        <f>IFERROR(__xludf.DUMMYFUNCTION("GOOGLETRANSLATE(B2849,""id"",""en"")"),"['service', 'bad', 'error', 'slow', 'response', 'price', 'expensive', 'comparable', 'quality', 'disappointed', 'deep', 'in it', ' ']")</f>
        <v>['service', 'bad', 'error', 'slow', 'response', 'price', 'expensive', 'comparable', 'quality', 'disappointed', 'deep', 'in it', ' ']</v>
      </c>
      <c r="D2849" s="3">
        <v>1.0</v>
      </c>
    </row>
    <row r="2850" ht="15.75" customHeight="1">
      <c r="A2850" s="1">
        <v>2993.0</v>
      </c>
      <c r="B2850" s="3" t="s">
        <v>2783</v>
      </c>
      <c r="C2850" s="3" t="str">
        <f>IFERROR(__xludf.DUMMYFUNCTION("GOOGLETRANSLATE(B2850,""id"",""en"")"),"['ugly', 'indihome', 'week', 'turn', 'pay', 'loss']")</f>
        <v>['ugly', 'indihome', 'week', 'turn', 'pay', 'loss']</v>
      </c>
      <c r="D2850" s="3">
        <v>1.0</v>
      </c>
    </row>
    <row r="2851" ht="15.75" customHeight="1">
      <c r="A2851" s="1">
        <v>2994.0</v>
      </c>
      <c r="B2851" s="3" t="s">
        <v>2784</v>
      </c>
      <c r="C2851" s="3" t="str">
        <f>IFERROR(__xludf.DUMMYFUNCTION("GOOGLETRANSLATE(B2851,""id"",""en"")"),"['Verification', 'Via', 'Email', 'Sent', '']")</f>
        <v>['Verification', 'Via', 'Email', 'Sent', '']</v>
      </c>
      <c r="D2851" s="3">
        <v>2.0</v>
      </c>
    </row>
    <row r="2852" ht="15.75" customHeight="1">
      <c r="A2852" s="1">
        <v>2995.0</v>
      </c>
      <c r="B2852" s="3" t="s">
        <v>2785</v>
      </c>
      <c r="C2852" s="3" t="str">
        <f>IFERROR(__xludf.DUMMYFUNCTION("GOOGLETRANSLATE(B2852,""id"",""en"")"),"['update', 'gabisa', 'login', 'already', 'try', 'list', 'email', 'registered', 'enter', 'account', 'gabisa', 'strange', ' really ',' emg ',' update ',' good ',' point ',' already ',' ']")</f>
        <v>['update', 'gabisa', 'login', 'already', 'try', 'list', 'email', 'registered', 'enter', 'account', 'gabisa', 'strange', ' really ',' emg ',' update ',' good ',' point ',' already ',' ']</v>
      </c>
      <c r="D2852" s="3">
        <v>1.0</v>
      </c>
    </row>
    <row r="2853" ht="15.75" customHeight="1">
      <c r="A2853" s="1">
        <v>2996.0</v>
      </c>
      <c r="B2853" s="3" t="s">
        <v>2786</v>
      </c>
      <c r="C2853" s="3" t="str">
        <f>IFERROR(__xludf.DUMMYFUNCTION("GOOGLETRANSLATE(B2853,""id"",""en"")"),"['my apk', 'steady', 'updtae', 'cool', 'point', 'tetep', 'reinforced', 'easy', 'check', 'quota', 'use', 'forward', ' Indihome ',' ']")</f>
        <v>['my apk', 'steady', 'updtae', 'cool', 'point', 'tetep', 'reinforced', 'easy', 'check', 'quota', 'use', 'forward', ' Indihome ',' ']</v>
      </c>
      <c r="D2853" s="3">
        <v>5.0</v>
      </c>
    </row>
    <row r="2854" ht="15.75" customHeight="1">
      <c r="A2854" s="1">
        <v>2997.0</v>
      </c>
      <c r="B2854" s="3" t="s">
        <v>2787</v>
      </c>
      <c r="C2854" s="3" t="str">
        <f>IFERROR(__xludf.DUMMYFUNCTION("GOOGLETRANSLATE(B2854,""id"",""en"")"),"['thank', 'love', 'developer', 'apk', 'update', 'application', 'change', 'repair', 'application', 'good', 'features',' informative ',' It's easy for ',' consumers', 'users',' found ',' bugs', 'crash', 'force', 'close', 'application', 'input', 'display', '"&amp;"icon', 'veranda' , 'Launcher', 'Logo', 'Myindihome', 'appeared', 'Image', 'Android', 'Robot', 'Green', 'Darling', 'Perfect', 'Tks']")</f>
        <v>['thank', 'love', 'developer', 'apk', 'update', 'application', 'change', 'repair', 'application', 'good', 'features',' informative ',' It's easy for ',' consumers', 'users',' found ',' bugs', 'crash', 'force', 'close', 'application', 'input', 'display', 'icon', 'veranda' , 'Launcher', 'Logo', 'Myindihome', 'appeared', 'Image', 'Android', 'Robot', 'Green', 'Darling', 'Perfect', 'Tks']</v>
      </c>
      <c r="D2854" s="3">
        <v>5.0</v>
      </c>
    </row>
    <row r="2855" ht="15.75" customHeight="1">
      <c r="A2855" s="1">
        <v>2998.0</v>
      </c>
      <c r="B2855" s="3" t="s">
        <v>2788</v>
      </c>
      <c r="C2855" s="3" t="str">
        <f>IFERROR(__xludf.DUMMYFUNCTION("GOOGLETRANSLATE(B2855,""id"",""en"")"),"['Information', 'UNIK', 'Application', 'Update', 'Easy', 'Understand', 'Look', 'Interesting', 'Feature', '']")</f>
        <v>['Information', 'UNIK', 'Application', 'Update', 'Easy', 'Understand', 'Look', 'Interesting', 'Feature', '']</v>
      </c>
      <c r="D2855" s="3">
        <v>5.0</v>
      </c>
    </row>
    <row r="2856" ht="15.75" customHeight="1">
      <c r="A2856" s="1">
        <v>2999.0</v>
      </c>
      <c r="B2856" s="3" t="s">
        <v>2789</v>
      </c>
      <c r="C2856" s="3" t="str">
        <f>IFERROR(__xludf.DUMMYFUNCTION("GOOGLETRANSLATE(B2856,""id"",""en"")"),"['What', 'Indihome', 'Network', 'No "",' Paying ',' Gapernah ',' late ',' masang ',' wifi ',' gunain ',' data ',' Gara ',' lag ',' beg ',' repaired ',' user ',' disappointed ',' pay ',' expensive ',' signal ',' comparable ',' pay ']")</f>
        <v>['What', 'Indihome', 'Network', 'No ",' Paying ',' Gapernah ',' late ',' masang ',' wifi ',' gunain ',' data ',' Gara ',' lag ',' beg ',' repaired ',' user ',' disappointed ',' pay ',' expensive ',' signal ',' comparable ',' pay ']</v>
      </c>
      <c r="D2856" s="3">
        <v>1.0</v>
      </c>
    </row>
    <row r="2857" ht="15.75" customHeight="1">
      <c r="A2857" s="1">
        <v>3000.0</v>
      </c>
      <c r="B2857" s="3" t="s">
        <v>2790</v>
      </c>
      <c r="C2857" s="3" t="str">
        <f>IFERROR(__xludf.DUMMYFUNCTION("GOOGLETRANSLATE(B2857,""id"",""en"")"),"['night', 'internet']")</f>
        <v>['night', 'internet']</v>
      </c>
      <c r="D2857" s="3">
        <v>1.0</v>
      </c>
    </row>
    <row r="2858" ht="15.75" customHeight="1">
      <c r="A2858" s="1">
        <v>3001.0</v>
      </c>
      <c r="B2858" s="3" t="s">
        <v>2791</v>
      </c>
      <c r="C2858" s="3" t="str">
        <f>IFERROR(__xludf.DUMMYFUNCTION("GOOGLETRANSLATE(B2858,""id"",""en"")"),"['Kek', 'KONLLL', 'WIFI', 'KOLO', 'Play', 'lag', 'Mulu', 'Mending', 'buy', 'data', 'deh']")</f>
        <v>['Kek', 'KONLLL', 'WIFI', 'KOLO', 'Play', 'lag', 'Mulu', 'Mending', 'buy', 'data', 'deh']</v>
      </c>
      <c r="D2858" s="3">
        <v>1.0</v>
      </c>
    </row>
    <row r="2859" ht="15.75" customHeight="1">
      <c r="A2859" s="1">
        <v>3002.0</v>
      </c>
      <c r="B2859" s="3" t="s">
        <v>441</v>
      </c>
      <c r="C2859" s="3" t="str">
        <f>IFERROR(__xludf.DUMMYFUNCTION("GOOGLETRANSLATE(B2859,""id"",""en"")"),"['', '']")</f>
        <v>['', '']</v>
      </c>
      <c r="D2859" s="3">
        <v>5.0</v>
      </c>
    </row>
    <row r="2860" ht="15.75" customHeight="1">
      <c r="A2860" s="1">
        <v>3003.0</v>
      </c>
      <c r="B2860" s="3" t="s">
        <v>2792</v>
      </c>
      <c r="C2860" s="3" t="str">
        <f>IFERROR(__xludf.DUMMYFUNCTION("GOOGLETRANSLATE(B2860,""id"",""en"")"),"['Customer', 'Quality', 'Principle', 'Indihome', 'Customer', 'Quality', 'Bad', 'Bill', ""]")</f>
        <v>['Customer', 'Quality', 'Principle', 'Indihome', 'Customer', 'Quality', 'Bad', 'Bill', "]</v>
      </c>
      <c r="D2860" s="3">
        <v>1.0</v>
      </c>
    </row>
    <row r="2861" ht="15.75" customHeight="1">
      <c r="A2861" s="1">
        <v>3004.0</v>
      </c>
      <c r="B2861" s="3" t="s">
        <v>2793</v>
      </c>
      <c r="C2861" s="3" t="str">
        <f>IFERROR(__xludf.DUMMYFUNCTION("GOOGLETRANSLATE(B2861,""id"",""en"")"),"['easy', 'usage', 'internet']")</f>
        <v>['easy', 'usage', 'internet']</v>
      </c>
      <c r="D2861" s="3">
        <v>5.0</v>
      </c>
    </row>
    <row r="2862" ht="15.75" customHeight="1">
      <c r="A2862" s="1">
        <v>3006.0</v>
      </c>
      <c r="B2862" s="3" t="s">
        <v>2794</v>
      </c>
      <c r="C2862" s="3" t="str">
        <f>IFERROR(__xludf.DUMMYFUNCTION("GOOGLETRANSLATE(B2862,""id"",""en"")"),"['Network', 'lemoooooottttt', 'ping', 'pepahhhhh', 'bangetttt', 'very', 'annoying']")</f>
        <v>['Network', 'lemoooooottttt', 'ping', 'pepahhhhh', 'bangetttt', 'very', 'annoying']</v>
      </c>
      <c r="D2862" s="3">
        <v>1.0</v>
      </c>
    </row>
    <row r="2863" ht="15.75" customHeight="1">
      <c r="A2863" s="1">
        <v>3008.0</v>
      </c>
      <c r="B2863" s="3" t="s">
        <v>2239</v>
      </c>
      <c r="C2863" s="3" t="str">
        <f>IFERROR(__xludf.DUMMYFUNCTION("GOOGLETRANSLATE(B2863,""id"",""en"")"),"['Application', 'LEG']")</f>
        <v>['Application', 'LEG']</v>
      </c>
      <c r="D2863" s="3">
        <v>5.0</v>
      </c>
    </row>
    <row r="2864" ht="15.75" customHeight="1">
      <c r="A2864" s="1">
        <v>3010.0</v>
      </c>
      <c r="B2864" s="3" t="s">
        <v>2795</v>
      </c>
      <c r="C2864" s="3" t="str">
        <f>IFERROR(__xludf.DUMMYFUNCTION("GOOGLETRANSLATE(B2864,""id"",""en"")"),"['Report', 'difficult', 'service', 'ugly', 'especially', 'Reep', 'Area', 'Jepara', 'Network', 'Select', 'Network', 'Private', ' An understating ',' Customer ',' employees', 'Telkom', 'blind', 'deaf', 'fix', 'baddap']")</f>
        <v>['Report', 'difficult', 'service', 'ugly', 'especially', 'Reep', 'Area', 'Jepara', 'Network', 'Select', 'Network', 'Private', ' An understating ',' Customer ',' employees', 'Telkom', 'blind', 'deaf', 'fix', 'baddap']</v>
      </c>
      <c r="D2864" s="3">
        <v>1.0</v>
      </c>
    </row>
    <row r="2865" ht="15.75" customHeight="1">
      <c r="A2865" s="1">
        <v>3011.0</v>
      </c>
      <c r="B2865" s="3" t="s">
        <v>2796</v>
      </c>
      <c r="C2865" s="3" t="str">
        <f>IFERROR(__xludf.DUMMYFUNCTION("GOOGLETRANSLATE(B2865,""id"",""en"")"),"['easy', 'help', 'monitor', 'bills', 'month', 'all-round', 'digital']")</f>
        <v>['easy', 'help', 'monitor', 'bills', 'month', 'all-round', 'digital']</v>
      </c>
      <c r="D2865" s="3">
        <v>5.0</v>
      </c>
    </row>
    <row r="2866" ht="15.75" customHeight="1">
      <c r="A2866" s="1">
        <v>3012.0</v>
      </c>
      <c r="B2866" s="3" t="s">
        <v>2797</v>
      </c>
      <c r="C2866" s="3" t="str">
        <f>IFERROR(__xludf.DUMMYFUNCTION("GOOGLETRANSLATE(B2866,""id"",""en"")"),"['Actually', 'APK', 'Good', 'Points',' Exchangeable ',' Update ',' APK ',' Lemot ',' Current ',' comment ',' here ',' Can ',' Prizes', 'Indihome', 'Via', 'Link', 'Via', 'Ovo', 'Shopee', 'hahaha', 'thanks']")</f>
        <v>['Actually', 'APK', 'Good', 'Points',' Exchangeable ',' Update ',' APK ',' Lemot ',' Current ',' comment ',' here ',' Can ',' Prizes', 'Indihome', 'Via', 'Link', 'Via', 'Ovo', 'Shopee', 'hahaha', 'thanks']</v>
      </c>
      <c r="D2866" s="3">
        <v>5.0</v>
      </c>
    </row>
    <row r="2867" ht="15.75" customHeight="1">
      <c r="A2867" s="1">
        <v>3013.0</v>
      </c>
      <c r="B2867" s="3" t="s">
        <v>2798</v>
      </c>
      <c r="C2867" s="3" t="str">
        <f>IFERROR(__xludf.DUMMYFUNCTION("GOOGLETRANSLATE(B2867,""id"",""en"")"),"['Cool', 'creative', 'informative', 'innovative']")</f>
        <v>['Cool', 'creative', 'informative', 'innovative']</v>
      </c>
      <c r="D2867" s="3">
        <v>5.0</v>
      </c>
    </row>
    <row r="2868" ht="15.75" customHeight="1">
      <c r="A2868" s="1">
        <v>3014.0</v>
      </c>
      <c r="B2868" s="3" t="s">
        <v>2799</v>
      </c>
      <c r="C2868" s="3" t="str">
        <f>IFERROR(__xludf.DUMMYFUNCTION("GOOGLETRANSLATE(B2868,""id"",""en"")"),"['Internet', 'ugly', 'night', 'pay', 'expensive', 'strange']")</f>
        <v>['Internet', 'ugly', 'night', 'pay', 'expensive', 'strange']</v>
      </c>
      <c r="D2868" s="3">
        <v>1.0</v>
      </c>
    </row>
    <row r="2869" ht="15.75" customHeight="1">
      <c r="A2869" s="1">
        <v>3015.0</v>
      </c>
      <c r="B2869" s="3" t="s">
        <v>2800</v>
      </c>
      <c r="C2869" s="3" t="str">
        <f>IFERROR(__xludf.DUMMYFUNCTION("GOOGLETRANSLATE(B2869,""id"",""en"")"),"['Settings',' Mobile ',' Update ',' Application ',' Automatic ',' Application ',' Version ',' Latest ',' Display ',' Complete ',' Information ',' Easy ',' Safe ',' Over ',' All ',' Good ',' Hopefully ',' Indihome ',' Innovate ',' Service ',' Best ',' Cust"&amp;"omer ',' Setian ',' Thank you ',' Success' , '']")</f>
        <v>['Settings',' Mobile ',' Update ',' Application ',' Automatic ',' Application ',' Version ',' Latest ',' Display ',' Complete ',' Information ',' Easy ',' Safe ',' Over ',' All ',' Good ',' Hopefully ',' Indihome ',' Innovate ',' Service ',' Best ',' Customer ',' Setian ',' Thank you ',' Success' , '']</v>
      </c>
      <c r="D2869" s="3">
        <v>5.0</v>
      </c>
    </row>
    <row r="2870" ht="15.75" customHeight="1">
      <c r="A2870" s="1">
        <v>3016.0</v>
      </c>
      <c r="B2870" s="3" t="s">
        <v>2801</v>
      </c>
      <c r="C2870" s="3" t="str">
        <f>IFERROR(__xludf.DUMMYFUNCTION("GOOGLETRANSLATE(B2870,""id"",""en"")"),"['updated', 'bad', 'application', 'version', '']")</f>
        <v>['updated', 'bad', 'application', 'version', '']</v>
      </c>
      <c r="D2870" s="3">
        <v>1.0</v>
      </c>
    </row>
    <row r="2871" ht="15.75" customHeight="1">
      <c r="A2871" s="1">
        <v>3018.0</v>
      </c>
      <c r="B2871" s="3" t="s">
        <v>2802</v>
      </c>
      <c r="C2871" s="3" t="str">
        <f>IFERROR(__xludf.DUMMYFUNCTION("GOOGLETRANSLATE(B2871,""id"",""en"")"),"['The application', 'Cool', 'Help', 'Anyway']")</f>
        <v>['The application', 'Cool', 'Help', 'Anyway']</v>
      </c>
      <c r="D2871" s="3">
        <v>5.0</v>
      </c>
    </row>
    <row r="2872" ht="15.75" customHeight="1">
      <c r="A2872" s="1">
        <v>3019.0</v>
      </c>
      <c r="B2872" s="3" t="s">
        <v>2803</v>
      </c>
      <c r="C2872" s="3" t="str">
        <f>IFERROR(__xludf.DUMMYFUNCTION("GOOGLETRANSLATE(B2872,""id"",""en"")"),"['application', 'updated', 'hope', 'practical', 'benefits']")</f>
        <v>['application', 'updated', 'hope', 'practical', 'benefits']</v>
      </c>
      <c r="D2872" s="3">
        <v>5.0</v>
      </c>
    </row>
    <row r="2873" ht="15.75" customHeight="1">
      <c r="A2873" s="1">
        <v>3020.0</v>
      </c>
      <c r="B2873" s="3" t="s">
        <v>2804</v>
      </c>
      <c r="C2873" s="3" t="str">
        <f>IFERROR(__xludf.DUMMYFUNCTION("GOOGLETRANSLATE(B2873,""id"",""en"")"),"['Not bad', 'help', 'check', 'bill', 'monthly']")</f>
        <v>['Not bad', 'help', 'check', 'bill', 'monthly']</v>
      </c>
      <c r="D2873" s="3">
        <v>5.0</v>
      </c>
    </row>
    <row r="2874" ht="15.75" customHeight="1">
      <c r="A2874" s="1">
        <v>3021.0</v>
      </c>
      <c r="B2874" s="3" t="s">
        <v>2805</v>
      </c>
      <c r="C2874" s="3" t="str">
        <f>IFERROR(__xludf.DUMMYFUNCTION("GOOGLETRANSLATE(B2874,""id"",""en"")"),"['easy', 'good']")</f>
        <v>['easy', 'good']</v>
      </c>
      <c r="D2874" s="3">
        <v>5.0</v>
      </c>
    </row>
    <row r="2875" ht="15.75" customHeight="1">
      <c r="A2875" s="1">
        <v>3022.0</v>
      </c>
      <c r="B2875" s="3" t="s">
        <v>195</v>
      </c>
      <c r="C2875" s="3" t="str">
        <f>IFERROR(__xludf.DUMMYFUNCTION("GOOGLETRANSLATE(B2875,""id"",""en"")"),"['application', 'help', 'user', 'indihome']")</f>
        <v>['application', 'help', 'user', 'indihome']</v>
      </c>
      <c r="D2875" s="3">
        <v>5.0</v>
      </c>
    </row>
    <row r="2876" ht="15.75" customHeight="1">
      <c r="A2876" s="1">
        <v>3023.0</v>
      </c>
      <c r="B2876" s="3" t="s">
        <v>2806</v>
      </c>
      <c r="C2876" s="3" t="str">
        <f>IFERROR(__xludf.DUMMYFUNCTION("GOOGLETRANSLATE(B2876,""id"",""en"")"),"['Udate', 'Application', 'Severe', 'Please', 'Restore', 'Kegitula']")</f>
        <v>['Udate', 'Application', 'Severe', 'Please', 'Restore', 'Kegitula']</v>
      </c>
      <c r="D2876" s="3">
        <v>1.0</v>
      </c>
    </row>
    <row r="2877" ht="15.75" customHeight="1">
      <c r="A2877" s="1">
        <v>3024.0</v>
      </c>
      <c r="B2877" s="3" t="s">
        <v>2807</v>
      </c>
      <c r="C2877" s="3" t="str">
        <f>IFERROR(__xludf.DUMMYFUNCTION("GOOGLETRANSLATE(B2877,""id"",""en"")"),"['update', 'login', 'use', 'email', 'number', 'telephone', 'description', 'registered', 'hadeeeehhh', 'WES', 'PPOH', '']")</f>
        <v>['update', 'login', 'use', 'email', 'number', 'telephone', 'description', 'registered', 'hadeeeehhh', 'WES', 'PPOH', '']</v>
      </c>
      <c r="D2877" s="3">
        <v>1.0</v>
      </c>
    </row>
    <row r="2878" ht="15.75" customHeight="1">
      <c r="A2878" s="1">
        <v>3025.0</v>
      </c>
      <c r="B2878" s="3" t="s">
        <v>2808</v>
      </c>
      <c r="C2878" s="3" t="str">
        <f>IFERROR(__xludf.DUMMYFUNCTION("GOOGLETRANSLATE(B2878,""id"",""en"")"),"['Application', 'Helpful', 'User', 'Indihome']")</f>
        <v>['Application', 'Helpful', 'User', 'Indihome']</v>
      </c>
      <c r="D2878" s="3">
        <v>5.0</v>
      </c>
    </row>
    <row r="2879" ht="15.75" customHeight="1">
      <c r="A2879" s="1">
        <v>3026.0</v>
      </c>
      <c r="B2879" s="3" t="s">
        <v>2809</v>
      </c>
      <c r="C2879" s="3" t="str">
        <f>IFERROR(__xludf.DUMMYFUNCTION("GOOGLETRANSLATE(B2879,""id"",""en"")"),"['update', 'data', 'told', 'Login', 'LGI', 'number', 'UDH', 'Dead', 'UDH', 'Change', 'Kenomer', 'Jdi', ' No. ',' entry ',' option ',' replace ',' number ',' jdi ',' gyma ',' pay ',' strange ',' emang ']")</f>
        <v>['update', 'data', 'told', 'Login', 'LGI', 'number', 'UDH', 'Dead', 'UDH', 'Change', 'Kenomer', 'Jdi', ' No. ',' entry ',' option ',' replace ',' number ',' jdi ',' gyma ',' pay ',' strange ',' emang ']</v>
      </c>
      <c r="D2879" s="3">
        <v>1.0</v>
      </c>
    </row>
    <row r="2880" ht="15.75" customHeight="1">
      <c r="A2880" s="1">
        <v>3027.0</v>
      </c>
      <c r="B2880" s="3" t="s">
        <v>2810</v>
      </c>
      <c r="C2880" s="3" t="str">
        <f>IFERROR(__xludf.DUMMYFUNCTION("GOOGLETRANSLATE(B2880,""id"",""en"")"),"['version', 'ugly', 'really', 'loading', 'Mulu', 'ORDER', 'OK', 'APPLY', 'VERSION', 'VERSION']")</f>
        <v>['version', 'ugly', 'really', 'loading', 'Mulu', 'ORDER', 'OK', 'APPLY', 'VERSION', 'VERSION']</v>
      </c>
      <c r="D2880" s="3">
        <v>1.0</v>
      </c>
    </row>
    <row r="2881" ht="15.75" customHeight="1">
      <c r="A2881" s="1">
        <v>3029.0</v>
      </c>
      <c r="B2881" s="3" t="s">
        <v>2811</v>
      </c>
      <c r="C2881" s="3" t="str">
        <f>IFERROR(__xludf.DUMMYFUNCTION("GOOGLETRANSLATE(B2881,""id"",""en"")"),"['Update', 'Karuan', 'Loading', 'Network', 'ilang', 'Please', 'Overcome', 'Problems', 'Problems']")</f>
        <v>['Update', 'Karuan', 'Loading', 'Network', 'ilang', 'Please', 'Overcome', 'Problems', 'Problems']</v>
      </c>
      <c r="D2881" s="3">
        <v>1.0</v>
      </c>
    </row>
    <row r="2882" ht="15.75" customHeight="1">
      <c r="A2882" s="1">
        <v>3030.0</v>
      </c>
      <c r="B2882" s="3" t="s">
        <v>2812</v>
      </c>
      <c r="C2882" s="3" t="str">
        <f>IFERROR(__xludf.DUMMYFUNCTION("GOOGLETRANSLATE(B2882,""id"",""en"")"),"['failed', 'update', '']")</f>
        <v>['failed', 'update', '']</v>
      </c>
      <c r="D2882" s="3">
        <v>1.0</v>
      </c>
    </row>
    <row r="2883" ht="15.75" customHeight="1">
      <c r="A2883" s="1">
        <v>3031.0</v>
      </c>
      <c r="B2883" s="3" t="s">
        <v>2813</v>
      </c>
      <c r="C2883" s="3" t="str">
        <f>IFERROR(__xludf.DUMMYFUNCTION("GOOGLETRANSLATE(B2883,""id"",""en"")"),"['Update', 'Description', 'Install', 'Lost', ""]")</f>
        <v>['Update', 'Description', 'Install', 'Lost', "]</v>
      </c>
      <c r="D2883" s="3">
        <v>1.0</v>
      </c>
    </row>
    <row r="2884" ht="15.75" customHeight="1">
      <c r="A2884" s="1">
        <v>3032.0</v>
      </c>
      <c r="B2884" s="3" t="s">
        <v>2814</v>
      </c>
      <c r="C2884" s="3" t="str">
        <f>IFERROR(__xludf.DUMMYFUNCTION("GOOGLETRANSLATE(B2884,""id"",""en"")"),"['response', 'waiting', 'technicians', 'work', 'fast', '']")</f>
        <v>['response', 'waiting', 'technicians', 'work', 'fast', '']</v>
      </c>
      <c r="D2884" s="3">
        <v>5.0</v>
      </c>
    </row>
    <row r="2885" ht="15.75" customHeight="1">
      <c r="A2885" s="1">
        <v>3033.0</v>
      </c>
      <c r="B2885" s="3" t="s">
        <v>596</v>
      </c>
      <c r="C2885" s="3" t="str">
        <f>IFERROR(__xludf.DUMMYFUNCTION("GOOGLETRANSLATE(B2885,""id"",""en"")"),"['enter']")</f>
        <v>['enter']</v>
      </c>
      <c r="D2885" s="3">
        <v>1.0</v>
      </c>
    </row>
    <row r="2886" ht="15.75" customHeight="1">
      <c r="A2886" s="1">
        <v>3034.0</v>
      </c>
      <c r="B2886" s="3" t="s">
        <v>2815</v>
      </c>
      <c r="C2886" s="3" t="str">
        <f>IFERROR(__xludf.DUMMYFUNCTION("GOOGLETRANSLATE(B2886,""id"",""en"")"),"['waiter', 'decided', ""]")</f>
        <v>['waiter', 'decided', "]</v>
      </c>
      <c r="D2886" s="3">
        <v>5.0</v>
      </c>
    </row>
    <row r="2887" ht="15.75" customHeight="1">
      <c r="A2887" s="1">
        <v>3035.0</v>
      </c>
      <c r="B2887" s="3" t="s">
        <v>2816</v>
      </c>
      <c r="C2887" s="3" t="str">
        <f>IFERROR(__xludf.DUMMYFUNCTION("GOOGLETRANSLATE(B2887,""id"",""en"")"),"['Good', 'Application', 'Practical']")</f>
        <v>['Good', 'Application', 'Practical']</v>
      </c>
      <c r="D2887" s="3">
        <v>5.0</v>
      </c>
    </row>
    <row r="2888" ht="15.75" customHeight="1">
      <c r="A2888" s="1">
        <v>3036.0</v>
      </c>
      <c r="B2888" s="3" t="s">
        <v>2817</v>
      </c>
      <c r="C2888" s="3" t="str">
        <f>IFERROR(__xludf.DUMMYFUNCTION("GOOGLETRANSLATE(B2888,""id"",""en"")"),"['Pay', 'bill', 'network', 'slow', 'infidel', 'oath', 'indihome']")</f>
        <v>['Pay', 'bill', 'network', 'slow', 'infidel', 'oath', 'indihome']</v>
      </c>
      <c r="D2888" s="3">
        <v>1.0</v>
      </c>
    </row>
    <row r="2889" ht="15.75" customHeight="1">
      <c r="A2889" s="1">
        <v>3037.0</v>
      </c>
      <c r="B2889" s="3" t="s">
        <v>2818</v>
      </c>
      <c r="C2889" s="3" t="str">
        <f>IFERROR(__xludf.DUMMYFUNCTION("GOOGLETRANSLATE(B2889,""id"",""en"")"),"['Update', 'Good', 'Opened', 'Register', 'Severe']")</f>
        <v>['Update', 'Good', 'Opened', 'Register', 'Severe']</v>
      </c>
      <c r="D2889" s="3">
        <v>1.0</v>
      </c>
    </row>
    <row r="2890" ht="15.75" customHeight="1">
      <c r="A2890" s="1">
        <v>3038.0</v>
      </c>
      <c r="B2890" s="3" t="s">
        <v>2819</v>
      </c>
      <c r="C2890" s="3" t="str">
        <f>IFERROR(__xludf.DUMMYFUNCTION("GOOGLETRANSLATE(B2890,""id"",""en"")"),"['return', 'money', 'refund', 'deposit', 'promised', 'work', 'already', 'already', 'complement', 'there', 'here', 'thrown', ' impression']")</f>
        <v>['return', 'money', 'refund', 'deposit', 'promised', 'work', 'already', 'already', 'complement', 'there', 'here', 'thrown', ' impression']</v>
      </c>
      <c r="D2890" s="3">
        <v>1.0</v>
      </c>
    </row>
    <row r="2891" ht="15.75" customHeight="1">
      <c r="A2891" s="1">
        <v>3039.0</v>
      </c>
      <c r="B2891" s="3" t="s">
        <v>2820</v>
      </c>
      <c r="C2891" s="3" t="str">
        <f>IFERROR(__xludf.DUMMYFUNCTION("GOOGLETRANSLATE(B2891,""id"",""en"")"),"['Disappointed', 'Explanation', 'Customer', 'Service', 'Package', 'Stop', 'Bill', '']")</f>
        <v>['Disappointed', 'Explanation', 'Customer', 'Service', 'Package', 'Stop', 'Bill', '']</v>
      </c>
      <c r="D2891" s="3">
        <v>1.0</v>
      </c>
    </row>
    <row r="2892" ht="15.75" customHeight="1">
      <c r="A2892" s="1">
        <v>3040.0</v>
      </c>
      <c r="B2892" s="3" t="s">
        <v>2821</v>
      </c>
      <c r="C2892" s="3" t="str">
        <f>IFERROR(__xludf.DUMMYFUNCTION("GOOGLETRANSLATE(B2892,""id"",""en"")"),"['slow', 'forgiveness', 'waste', 'login', 'muter', 'application', 'mending', 'waste', 'the application', 'benefits']")</f>
        <v>['slow', 'forgiveness', 'waste', 'login', 'muter', 'application', 'mending', 'waste', 'the application', 'benefits']</v>
      </c>
      <c r="D2892" s="3">
        <v>2.0</v>
      </c>
    </row>
    <row r="2893" ht="15.75" customHeight="1">
      <c r="A2893" s="1">
        <v>3041.0</v>
      </c>
      <c r="B2893" s="3" t="s">
        <v>2822</v>
      </c>
      <c r="C2893" s="3" t="str">
        <f>IFERROR(__xludf.DUMMYFUNCTION("GOOGLETRANSLATE(B2893,""id"",""en"")"),"['Points', 'exchanged', 'Closed', 'App', 'Open', 'Voucher', 'Lost', 'Please', 'Histori', 'Voucher', 'Points', 'exchanged']")</f>
        <v>['Points', 'exchanged', 'Closed', 'App', 'Open', 'Voucher', 'Lost', 'Please', 'Histori', 'Voucher', 'Points', 'exchanged']</v>
      </c>
      <c r="D2893" s="3">
        <v>1.0</v>
      </c>
    </row>
    <row r="2894" ht="15.75" customHeight="1">
      <c r="A2894" s="1">
        <v>3042.0</v>
      </c>
      <c r="B2894" s="3" t="s">
        <v>2823</v>
      </c>
      <c r="C2894" s="3" t="str">
        <f>IFERROR(__xludf.DUMMYFUNCTION("GOOGLETRANSLATE(B2894,""id"",""en"")"),"['Love', 'BTNG', 'usage', 'Indihome', 'gamas', '']")</f>
        <v>['Love', 'BTNG', 'usage', 'Indihome', 'gamas', '']</v>
      </c>
      <c r="D2894" s="3">
        <v>2.0</v>
      </c>
    </row>
    <row r="2895" ht="15.75" customHeight="1">
      <c r="A2895" s="1">
        <v>3043.0</v>
      </c>
      <c r="B2895" s="3" t="s">
        <v>2824</v>
      </c>
      <c r="C2895" s="3" t="str">
        <f>IFERROR(__xludf.DUMMYFUNCTION("GOOGLETRANSLATE(B2895,""id"",""en"")"),"['What', 'broke', 'partner', 'already', 'comfortable', 'use', 'Indihome', '']")</f>
        <v>['What', 'broke', 'partner', 'already', 'comfortable', 'use', 'Indihome', '']</v>
      </c>
      <c r="D2895" s="3">
        <v>1.0</v>
      </c>
    </row>
    <row r="2896" ht="15.75" customHeight="1">
      <c r="A2896" s="1">
        <v>3045.0</v>
      </c>
      <c r="B2896" s="3" t="s">
        <v>2825</v>
      </c>
      <c r="C2896" s="3" t="str">
        <f>IFERROR(__xludf.DUMMYFUNCTION("GOOGLETRANSLATE(B2896,""id"",""en"")"),"['Good', 'application', 'service', 'complaint', 'customer', 'file', 'morning', 'hose', 'clock', 'followed up', 'trims']")</f>
        <v>['Good', 'application', 'service', 'complaint', 'customer', 'file', 'morning', 'hose', 'clock', 'followed up', 'trims']</v>
      </c>
      <c r="D2896" s="3">
        <v>5.0</v>
      </c>
    </row>
    <row r="2897" ht="15.75" customHeight="1">
      <c r="A2897" s="1">
        <v>3046.0</v>
      </c>
      <c r="B2897" s="3" t="s">
        <v>2826</v>
      </c>
      <c r="C2897" s="3" t="str">
        <f>IFERROR(__xludf.DUMMYFUNCTION("GOOGLETRANSLATE(B2897,""id"",""en"")"),"['Severe', 'APK', 'Urus', 'Liat', 'Profile']")</f>
        <v>['Severe', 'APK', 'Urus', 'Liat', 'Profile']</v>
      </c>
      <c r="D2897" s="3">
        <v>1.0</v>
      </c>
    </row>
    <row r="2898" ht="15.75" customHeight="1">
      <c r="A2898" s="1">
        <v>3047.0</v>
      </c>
      <c r="B2898" s="3" t="s">
        <v>2827</v>
      </c>
      <c r="C2898" s="3" t="str">
        <f>IFERROR(__xludf.DUMMYFUNCTION("GOOGLETRANSLATE(B2898,""id"",""en"")"),"['The application', 'useful', 'really']")</f>
        <v>['The application', 'useful', 'really']</v>
      </c>
      <c r="D2898" s="3">
        <v>5.0</v>
      </c>
    </row>
    <row r="2899" ht="15.75" customHeight="1">
      <c r="A2899" s="1">
        <v>3048.0</v>
      </c>
      <c r="B2899" s="3" t="s">
        <v>2828</v>
      </c>
      <c r="C2899" s="3" t="str">
        <f>IFERROR(__xludf.DUMMYFUNCTION("GOOGLETRANSLATE(B2899,""id"",""en"")"),"['Rating', 'ugly', 'SYAKALI']")</f>
        <v>['Rating', 'ugly', 'SYAKALI']</v>
      </c>
      <c r="D2899" s="3">
        <v>1.0</v>
      </c>
    </row>
    <row r="2900" ht="15.75" customHeight="1">
      <c r="A2900" s="1">
        <v>3049.0</v>
      </c>
      <c r="B2900" s="3" t="s">
        <v>2829</v>
      </c>
      <c r="C2900" s="3" t="str">
        <f>IFERROR(__xludf.DUMMYFUNCTION("GOOGLETRANSLATE(B2900,""id"",""en"")"),"['open', 'application', 'login', 'reset', 'number', 'verification', 'change', 'number', 'login', 'how', 'the application']")</f>
        <v>['open', 'application', 'login', 'reset', 'number', 'verification', 'change', 'number', 'login', 'how', 'the application']</v>
      </c>
      <c r="D2900" s="3">
        <v>1.0</v>
      </c>
    </row>
    <row r="2901" ht="15.75" customHeight="1">
      <c r="A2901" s="1">
        <v>3050.0</v>
      </c>
      <c r="B2901" s="3" t="s">
        <v>2830</v>
      </c>
      <c r="C2901" s="3" t="str">
        <f>IFERROR(__xludf.DUMMYFUNCTION("GOOGLETRANSLATE(B2901,""id"",""en"")"),"['already', 'internet', 'Lemottt', 'application', 'slow', 'turn', 'pay', 'late', 'knotllll']")</f>
        <v>['already', 'internet', 'Lemottt', 'application', 'slow', 'turn', 'pay', 'late', 'knotllll']</v>
      </c>
      <c r="D2901" s="3">
        <v>1.0</v>
      </c>
    </row>
    <row r="2902" ht="15.75" customHeight="1">
      <c r="A2902" s="1">
        <v>3051.0</v>
      </c>
      <c r="B2902" s="3" t="s">
        <v>2831</v>
      </c>
      <c r="C2902" s="3" t="str">
        <f>IFERROR(__xludf.DUMMYFUNCTION("GOOGLETRANSLATE(B2902,""id"",""en"")"),"['Update', 'Application', 'Mah', 'might', 'JLAS', '']")</f>
        <v>['Update', 'Application', 'Mah', 'might', 'JLAS', '']</v>
      </c>
      <c r="D2902" s="3">
        <v>3.0</v>
      </c>
    </row>
    <row r="2903" ht="15.75" customHeight="1">
      <c r="A2903" s="1">
        <v>3052.0</v>
      </c>
      <c r="B2903" s="3" t="s">
        <v>2832</v>
      </c>
      <c r="C2903" s="3" t="str">
        <f>IFERROR(__xludf.DUMMYFUNCTION("GOOGLETRANSLATE(B2903,""id"",""en"")"),"['siiip']")</f>
        <v>['siiip']</v>
      </c>
      <c r="D2903" s="3">
        <v>5.0</v>
      </c>
    </row>
    <row r="2904" ht="15.75" customHeight="1">
      <c r="A2904" s="1">
        <v>3053.0</v>
      </c>
      <c r="B2904" s="3" t="s">
        <v>2833</v>
      </c>
      <c r="C2904" s="3" t="str">
        <f>IFERROR(__xludf.DUMMYFUNCTION("GOOGLETRANSLATE(B2904,""id"",""en"")"),"['', 'Busy', 'Looks',' server ',' Loading ',' Mulu ',' Enter ',' APK ',' check ',' Tagiahan ',' Gabisa ',' Mbps', 'Links ',' service ',' update ',' Luama ',' bet ',' Telkomsel ',' rich ',' tingakin ',' server ',' kirang ',' HR ',' recruit ',' point ', 'Wh"&amp;"ere', 'Kek', 'magician', 'heeler', 'galucu', 'wkwkw', 'hope', 'read', 'APK']")</f>
        <v>['', 'Busy', 'Looks',' server ',' Loading ',' Mulu ',' Enter ',' APK ',' check ',' Tagiahan ',' Gabisa ',' Mbps', 'Links ',' service ',' update ',' Luama ',' bet ',' Telkomsel ',' rich ',' tingakin ',' server ',' kirang ',' HR ',' recruit ',' point ', 'Where', 'Kek', 'magician', 'heeler', 'galucu', 'wkwkw', 'hope', 'read', 'APK']</v>
      </c>
      <c r="D2904" s="3">
        <v>1.0</v>
      </c>
    </row>
    <row r="2905" ht="15.75" customHeight="1">
      <c r="A2905" s="1">
        <v>3054.0</v>
      </c>
      <c r="B2905" s="3" t="s">
        <v>2834</v>
      </c>
      <c r="C2905" s="3" t="str">
        <f>IFERROR(__xludf.DUMMYFUNCTION("GOOGLETRANSLATE(B2905,""id"",""en"")"),"['Written', 'Application', 'Call', 'Free', 'Minutes', 'Turners', 'Minutes', 'Bill', 'Turnlon', ""]")</f>
        <v>['Written', 'Application', 'Call', 'Free', 'Minutes', 'Turners', 'Minutes', 'Bill', 'Turnlon', "]</v>
      </c>
      <c r="D2905" s="3">
        <v>1.0</v>
      </c>
    </row>
    <row r="2906" ht="15.75" customHeight="1">
      <c r="A2906" s="1">
        <v>3055.0</v>
      </c>
      <c r="B2906" s="3" t="s">
        <v>2835</v>
      </c>
      <c r="C2906" s="3" t="str">
        <f>IFERROR(__xludf.DUMMYFUNCTION("GOOGLETRANSLATE(B2906,""id"",""en"")"),"['']")</f>
        <v>['']</v>
      </c>
      <c r="D2906" s="3">
        <v>1.0</v>
      </c>
    </row>
    <row r="2907" ht="15.75" customHeight="1">
      <c r="A2907" s="1">
        <v>3056.0</v>
      </c>
      <c r="B2907" s="3" t="s">
        <v>2836</v>
      </c>
      <c r="C2907" s="3" t="str">
        <f>IFERROR(__xludf.DUMMYFUNCTION("GOOGLETRANSLATE(B2907,""id"",""en"")"),"['Update', 'Seh', 'Good', 'Display', 'Fresh', 'Loading', 'Application', 'Forgiveness', 'Leet', 'Really', ""]")</f>
        <v>['Update', 'Seh', 'Good', 'Display', 'Fresh', 'Loading', 'Application', 'Forgiveness', 'Leet', 'Really', "]</v>
      </c>
      <c r="D2907" s="3">
        <v>2.0</v>
      </c>
    </row>
    <row r="2908" ht="15.75" customHeight="1">
      <c r="A2908" s="1">
        <v>3057.0</v>
      </c>
      <c r="B2908" s="3" t="s">
        <v>2837</v>
      </c>
      <c r="C2908" s="3" t="str">
        <f>IFERROR(__xludf.DUMMYFUNCTION("GOOGLETRANSLATE(B2908,""id"",""en"")"),"['Top', 'really', 'myindihome', 'the application', 'makes it easy', 'user', 'complete', 'hope', 'in the future']")</f>
        <v>['Top', 'really', 'myindihome', 'the application', 'makes it easy', 'user', 'complete', 'hope', 'in the future']</v>
      </c>
      <c r="D2908" s="3">
        <v>5.0</v>
      </c>
    </row>
    <row r="2909" ht="15.75" customHeight="1">
      <c r="A2909" s="1">
        <v>3058.0</v>
      </c>
      <c r="B2909" s="3" t="s">
        <v>2838</v>
      </c>
      <c r="C2909" s="3" t="str">
        <f>IFERROR(__xludf.DUMMYFUNCTION("GOOGLETRANSLATE(B2909,""id"",""en"")"),"['The application', 'Cool', 'makes it easy', 'user', 'bill']")</f>
        <v>['The application', 'Cool', 'makes it easy', 'user', 'bill']</v>
      </c>
      <c r="D2909" s="3">
        <v>5.0</v>
      </c>
    </row>
    <row r="2910" ht="15.75" customHeight="1">
      <c r="A2910" s="1">
        <v>3059.0</v>
      </c>
      <c r="B2910" s="3" t="s">
        <v>2839</v>
      </c>
      <c r="C2910" s="3" t="str">
        <f>IFERROR(__xludf.DUMMYFUNCTION("GOOGLETRANSLATE(B2910,""id"",""en"")"),"['Like', 'version', 'printed', 'package', 'complete', 'update', 'complete', 'care', 'promotion', 'care', 'customer', 'the application', ' Return ',' Version ',' Care ',' Custumer ',' DEV ',' Please ',' Notice ',' Input ',' Rate ',' Stars', 'Trim', ""]")</f>
        <v>['Like', 'version', 'printed', 'package', 'complete', 'update', 'complete', 'care', 'promotion', 'care', 'customer', 'the application', ' Return ',' Version ',' Care ',' Custumer ',' DEV ',' Please ',' Notice ',' Input ',' Rate ',' Stars', 'Trim', "]</v>
      </c>
      <c r="D2910" s="3">
        <v>2.0</v>
      </c>
    </row>
    <row r="2911" ht="15.75" customHeight="1">
      <c r="A2911" s="1">
        <v>3060.0</v>
      </c>
      <c r="B2911" s="3" t="s">
        <v>2840</v>
      </c>
      <c r="C2911" s="3" t="str">
        <f>IFERROR(__xludf.DUMMYFUNCTION("GOOGLETRANSLATE(B2911,""id"",""en"")"),"['Application', 'Leet', '']")</f>
        <v>['Application', 'Leet', '']</v>
      </c>
      <c r="D2911" s="3">
        <v>1.0</v>
      </c>
    </row>
    <row r="2912" ht="15.75" customHeight="1">
      <c r="A2912" s="1">
        <v>3061.0</v>
      </c>
      <c r="B2912" s="3" t="s">
        <v>2841</v>
      </c>
      <c r="C2912" s="3" t="str">
        <f>IFERROR(__xludf.DUMMYFUNCTION("GOOGLETRANSLATE(B2912,""id"",""en"")"),"['Help', 'Cool', 'Info', 'Tools', 'payment']")</f>
        <v>['Help', 'Cool', 'Info', 'Tools', 'payment']</v>
      </c>
      <c r="D2912" s="3">
        <v>5.0</v>
      </c>
    </row>
    <row r="2913" ht="15.75" customHeight="1">
      <c r="A2913" s="1">
        <v>3062.0</v>
      </c>
      <c r="B2913" s="3" t="s">
        <v>1658</v>
      </c>
      <c r="C2913" s="3" t="str">
        <f>IFERROR(__xludf.DUMMYFUNCTION("GOOGLETRANSLATE(B2913,""id"",""en"")"),"['Bug']")</f>
        <v>['Bug']</v>
      </c>
      <c r="D2913" s="3">
        <v>1.0</v>
      </c>
    </row>
    <row r="2914" ht="15.75" customHeight="1">
      <c r="A2914" s="1">
        <v>3063.0</v>
      </c>
      <c r="B2914" s="3" t="s">
        <v>2842</v>
      </c>
      <c r="C2914" s="3" t="str">
        <f>IFERROR(__xludf.DUMMYFUNCTION("GOOGLETRANSLATE(B2914,""id"",""en"")"),"['late', 'pay', 'fine', 'already', 'paid', 'gaguna']")</f>
        <v>['late', 'pay', 'fine', 'already', 'paid', 'gaguna']</v>
      </c>
      <c r="D2914" s="3">
        <v>1.0</v>
      </c>
    </row>
    <row r="2915" ht="15.75" customHeight="1">
      <c r="A2915" s="1">
        <v>3065.0</v>
      </c>
      <c r="B2915" s="3" t="s">
        <v>2843</v>
      </c>
      <c r="C2915" s="3" t="str">
        <f>IFERROR(__xludf.DUMMYFUNCTION("GOOGLETRANSLATE(B2915,""id"",""en"")"),"['The application', 'slow']")</f>
        <v>['The application', 'slow']</v>
      </c>
      <c r="D2915" s="3">
        <v>1.0</v>
      </c>
    </row>
    <row r="2916" ht="15.75" customHeight="1">
      <c r="A2916" s="1">
        <v>3066.0</v>
      </c>
      <c r="B2916" s="3" t="s">
        <v>2844</v>
      </c>
      <c r="C2916" s="3" t="str">
        <f>IFERROR(__xludf.DUMMYFUNCTION("GOOGLETRANSLATE(B2916,""id"",""en"")"),"['Update', 'Muter', 'Doank', 'Hadeuuhh']")</f>
        <v>['Update', 'Muter', 'Doank', 'Hadeuuhh']</v>
      </c>
      <c r="D2916" s="3">
        <v>1.0</v>
      </c>
    </row>
    <row r="2917" ht="15.75" customHeight="1">
      <c r="A2917" s="1">
        <v>3067.0</v>
      </c>
      <c r="B2917" s="3" t="s">
        <v>2845</v>
      </c>
      <c r="C2917" s="3" t="str">
        <f>IFERROR(__xludf.DUMMYFUNCTION("GOOGLETRANSLATE(B2917,""id"",""en"")"),"['Package', 'TBTB', 'swollen', 'downgrade', 'package', 'application', 'enter', 'application', 'Eerror']")</f>
        <v>['Package', 'TBTB', 'swollen', 'downgrade', 'package', 'application', 'enter', 'application', 'Eerror']</v>
      </c>
      <c r="D2917" s="3">
        <v>2.0</v>
      </c>
    </row>
    <row r="2918" ht="15.75" customHeight="1">
      <c r="A2918" s="1">
        <v>3068.0</v>
      </c>
      <c r="B2918" s="3" t="s">
        <v>2846</v>
      </c>
      <c r="C2918" s="3" t="str">
        <f>IFERROR(__xludf.DUMMYFUNCTION("GOOGLETRANSLATE(B2918,""id"",""en"")"),"['strange', 'Indihome', 'network', 'trobble', 'Snapola', 'application', 'slow', 'applicator', 'defective']")</f>
        <v>['strange', 'Indihome', 'network', 'trobble', 'Snapola', 'application', 'slow', 'applicator', 'defective']</v>
      </c>
      <c r="D2918" s="3">
        <v>1.0</v>
      </c>
    </row>
    <row r="2919" ht="15.75" customHeight="1">
      <c r="A2919" s="1">
        <v>3069.0</v>
      </c>
      <c r="B2919" s="3" t="s">
        <v>2847</v>
      </c>
      <c r="C2919" s="3" t="str">
        <f>IFERROR(__xludf.DUMMYFUNCTION("GOOGLETRANSLATE(B2919,""id"",""en"")"),"['Since', 'update', 'loading', 'slow', 'really', 'sometimes', 'Sometimes', '']")</f>
        <v>['Since', 'update', 'loading', 'slow', 'really', 'sometimes', 'Sometimes', '']</v>
      </c>
      <c r="D2919" s="3">
        <v>1.0</v>
      </c>
    </row>
    <row r="2920" ht="15.75" customHeight="1">
      <c r="A2920" s="1">
        <v>3070.0</v>
      </c>
      <c r="B2920" s="3" t="s">
        <v>2848</v>
      </c>
      <c r="C2920" s="3" t="str">
        <f>IFERROR(__xludf.DUMMYFUNCTION("GOOGLETRANSLATE(B2920,""id"",""en"")"),"['Update', 'Loading', 'Mulu']")</f>
        <v>['Update', 'Loading', 'Mulu']</v>
      </c>
      <c r="D2920" s="3">
        <v>2.0</v>
      </c>
    </row>
    <row r="2921" ht="15.75" customHeight="1">
      <c r="A2921" s="1">
        <v>3071.0</v>
      </c>
      <c r="B2921" s="3" t="s">
        <v>2849</v>
      </c>
      <c r="C2921" s="3" t="str">
        <f>IFERROR(__xludf.DUMMYFUNCTION("GOOGLETRANSLATE(B2921,""id"",""en"")"),"['', 'update', 'slow', 'Kenceng', 'strange', 'fast', 'fix', 'customer', 'blur']")</f>
        <v>['', 'update', 'slow', 'Kenceng', 'strange', 'fast', 'fix', 'customer', 'blur']</v>
      </c>
      <c r="D2921" s="3">
        <v>1.0</v>
      </c>
    </row>
    <row r="2922" ht="15.75" customHeight="1">
      <c r="A2922" s="1">
        <v>3072.0</v>
      </c>
      <c r="B2922" s="3" t="s">
        <v>2850</v>
      </c>
      <c r="C2922" s="3" t="str">
        <f>IFERROR(__xludf.DUMMYFUNCTION("GOOGLETRANSLATE(B2922,""id"",""en"")"),"['crazy', 'spoken', 'package', 'non', 'FUP', 'get', 'FUP', 'performance', 'BUMN', 'Pairs',' Indihome ',' forced ',' Providers', 'Enter', 'MNC', 'Play', 'Enter', 'Auto', 'Out', 'Contract', 'Please', 'Bring', 'Equipment', 'Hired', 'aka' , 'Disconnect', 'con"&amp;"nection', 'disappointing']")</f>
        <v>['crazy', 'spoken', 'package', 'non', 'FUP', 'get', 'FUP', 'performance', 'BUMN', 'Pairs',' Indihome ',' forced ',' Providers', 'Enter', 'MNC', 'Play', 'Enter', 'Auto', 'Out', 'Contract', 'Please', 'Bring', 'Equipment', 'Hired', 'aka' , 'Disconnect', 'connection', 'disappointing']</v>
      </c>
      <c r="D2922" s="3">
        <v>1.0</v>
      </c>
    </row>
    <row r="2923" ht="15.75" customHeight="1">
      <c r="A2923" s="1">
        <v>3073.0</v>
      </c>
      <c r="B2923" s="3" t="s">
        <v>2851</v>
      </c>
      <c r="C2923" s="3" t="str">
        <f>IFERROR(__xludf.DUMMYFUNCTION("GOOGLETRANSLATE(B2923,""id"",""en"")"),"['Leet', 'Open']")</f>
        <v>['Leet', 'Open']</v>
      </c>
      <c r="D2923" s="3">
        <v>2.0</v>
      </c>
    </row>
    <row r="2924" ht="15.75" customHeight="1">
      <c r="A2924" s="1">
        <v>3074.0</v>
      </c>
      <c r="B2924" s="3" t="s">
        <v>2852</v>
      </c>
      <c r="C2924" s="3" t="str">
        <f>IFERROR(__xludf.DUMMYFUNCTION("GOOGLETRANSLATE(B2924,""id"",""en"")"),"['Abis', 'Update', 'Opened', 'The Application']")</f>
        <v>['Abis', 'Update', 'Opened', 'The Application']</v>
      </c>
      <c r="D2924" s="3">
        <v>1.0</v>
      </c>
    </row>
    <row r="2925" ht="15.75" customHeight="1">
      <c r="A2925" s="1">
        <v>3075.0</v>
      </c>
      <c r="B2925" s="3" t="s">
        <v>2853</v>
      </c>
      <c r="C2925" s="3" t="str">
        <f>IFERROR(__xludf.DUMMYFUNCTION("GOOGLETRANSLATE(B2925,""id"",""en"")"),"['application', 'strange', 'application', 'garbage', 'told', 'update', 'update', 'finished', 'update', 'enter', 'nyantumin', 'email', ' etc. ',' UDH ',' Lakanin ',' Tetep ',' Enter ',' Want ',' What ',' Notification ',' Improvement ',' Service ',' System "&amp;"',' Please ',' Try ' , 'think', 'update', 'improvement', 'application', 'etc.', 'update', 'improvement', 'in it', 'repair', 'so', '']")</f>
        <v>['application', 'strange', 'application', 'garbage', 'told', 'update', 'update', 'finished', 'update', 'enter', 'nyantumin', 'email', ' etc. ',' UDH ',' Lakanin ',' Tetep ',' Enter ',' Want ',' What ',' Notification ',' Improvement ',' Service ',' System ',' Please ',' Try ' , 'think', 'update', 'improvement', 'application', 'etc.', 'update', 'improvement', 'in it', 'repair', 'so', '']</v>
      </c>
      <c r="D2925" s="3">
        <v>1.0</v>
      </c>
    </row>
    <row r="2926" ht="15.75" customHeight="1">
      <c r="A2926" s="1">
        <v>3076.0</v>
      </c>
      <c r="B2926" s="3" t="s">
        <v>2854</v>
      </c>
      <c r="C2926" s="3" t="str">
        <f>IFERROR(__xludf.DUMMYFUNCTION("GOOGLETRANSLATE(B2926,""id"",""en"")"),"['', 'Allah', 'Arep', 'Enter', 'Application', 'Angel', 'Men', 'Yoo', 'Jane', 'Application', 'OPO', 'Agent', 'Secret ',' iki ']")</f>
        <v>['', 'Allah', 'Arep', 'Enter', 'Application', 'Angel', 'Men', 'Yoo', 'Jane', 'Application', 'OPO', 'Agent', 'Secret ',' iki ']</v>
      </c>
      <c r="D2926" s="3">
        <v>5.0</v>
      </c>
    </row>
    <row r="2927" ht="15.75" customHeight="1">
      <c r="A2927" s="1">
        <v>3077.0</v>
      </c>
      <c r="B2927" s="3" t="s">
        <v>2855</v>
      </c>
      <c r="C2927" s="3" t="str">
        <f>IFERROR(__xludf.DUMMYFUNCTION("GOOGLETRANSLATE(B2927,""id"",""en"")"),"['App', 'heavy', 'loading', 'slow', 'menu', 'complicated', 'class', 'Telkom', 'APP', 'Simple']")</f>
        <v>['App', 'heavy', 'loading', 'slow', 'menu', 'complicated', 'class', 'Telkom', 'APP', 'Simple']</v>
      </c>
      <c r="D2927" s="3">
        <v>2.0</v>
      </c>
    </row>
    <row r="2928" ht="15.75" customHeight="1">
      <c r="A2928" s="1">
        <v>3078.0</v>
      </c>
      <c r="B2928" s="3" t="s">
        <v>2856</v>
      </c>
      <c r="C2928" s="3" t="str">
        <f>IFERROR(__xludf.DUMMYFUNCTION("GOOGLETRANSLATE(B2928,""id"",""en"")"),"['updated', 'slow']")</f>
        <v>['updated', 'slow']</v>
      </c>
      <c r="D2928" s="3">
        <v>1.0</v>
      </c>
    </row>
    <row r="2929" ht="15.75" customHeight="1">
      <c r="A2929" s="1">
        <v>3079.0</v>
      </c>
      <c r="B2929" s="3" t="s">
        <v>2857</v>
      </c>
      <c r="C2929" s="3" t="str">
        <f>IFERROR(__xludf.DUMMYFUNCTION("GOOGLETRANSLATE(B2929,""id"",""en"")"),"['Mending', 'Application', 'Check', 'Use', 'Saying', 'Verification', 'Location', 'Network', 'Read', 'Ribet', 'Application', '']")</f>
        <v>['Mending', 'Application', 'Check', 'Use', 'Saying', 'Verification', 'Location', 'Network', 'Read', 'Ribet', 'Application', '']</v>
      </c>
      <c r="D2929" s="3">
        <v>1.0</v>
      </c>
    </row>
    <row r="2930" ht="15.75" customHeight="1">
      <c r="A2930" s="1">
        <v>3081.0</v>
      </c>
      <c r="B2930" s="3" t="s">
        <v>2858</v>
      </c>
      <c r="C2930" s="3" t="str">
        <f>IFERROR(__xludf.DUMMYFUNCTION("GOOGLETRANSLATE(B2930,""id"",""en"")"),"['really', 'slow', 'skg']")</f>
        <v>['really', 'slow', 'skg']</v>
      </c>
      <c r="D2930" s="3">
        <v>1.0</v>
      </c>
    </row>
    <row r="2931" ht="15.75" customHeight="1">
      <c r="A2931" s="1">
        <v>3083.0</v>
      </c>
      <c r="B2931" s="3" t="s">
        <v>2859</v>
      </c>
      <c r="C2931" s="3" t="str">
        <f>IFERROR(__xludf.DUMMYFUNCTION("GOOGLETRANSLATE(B2931,""id"",""en"")"),"['The application', 'heavy', 'really', '']")</f>
        <v>['The application', 'heavy', 'really', '']</v>
      </c>
      <c r="D2931" s="3">
        <v>1.0</v>
      </c>
    </row>
    <row r="2932" ht="15.75" customHeight="1">
      <c r="A2932" s="1">
        <v>3084.0</v>
      </c>
      <c r="B2932" s="3" t="s">
        <v>2860</v>
      </c>
      <c r="C2932" s="3" t="str">
        <f>IFERROR(__xludf.DUMMYFUNCTION("GOOGLETRANSLATE(B2932,""id"",""en"")"),"['Aptasi', 'Mbps',' Used ',' People ',' Maen ',' Game ',' Nge ',' Lag ',' Bener ',' Expensive ',' Signal ',' ugly ',' right']")</f>
        <v>['Aptasi', 'Mbps',' Used ',' People ',' Maen ',' Game ',' Nge ',' Lag ',' Bener ',' Expensive ',' Signal ',' ugly ',' right']</v>
      </c>
      <c r="D2932" s="3">
        <v>1.0</v>
      </c>
    </row>
    <row r="2933" ht="15.75" customHeight="1">
      <c r="A2933" s="1">
        <v>3085.0</v>
      </c>
      <c r="B2933" s="3" t="s">
        <v>2861</v>
      </c>
      <c r="C2933" s="3" t="str">
        <f>IFERROR(__xludf.DUMMYFUNCTION("GOOGLETRANSLATE(B2933,""id"",""en"")"),"['application', 'garbage', 'for a while', 'for a while', 'loading', 'loading', 'slow', 'verification', 'profile', 'fail', 'mulu', 'application', ' main ',' slow ',' love ',' star ',' inniin ']")</f>
        <v>['application', 'garbage', 'for a while', 'for a while', 'loading', 'loading', 'slow', 'verification', 'profile', 'fail', 'mulu', 'application', ' main ',' slow ',' love ',' star ',' inniin ']</v>
      </c>
      <c r="D2933" s="3">
        <v>1.0</v>
      </c>
    </row>
    <row r="2934" ht="15.75" customHeight="1">
      <c r="A2934" s="1">
        <v>3086.0</v>
      </c>
      <c r="B2934" s="3" t="s">
        <v>2862</v>
      </c>
      <c r="C2934" s="3" t="str">
        <f>IFERROR(__xludf.DUMMYFUNCTION("GOOGLETRANSLATE(B2934,""id"",""en"")"),"['Lemooooot', 'open', 'oldaaaa', 'confusing', 'tasty', 'updated', '']")</f>
        <v>['Lemooooot', 'open', 'oldaaaa', 'confusing', 'tasty', 'updated', '']</v>
      </c>
      <c r="D2934" s="3">
        <v>1.0</v>
      </c>
    </row>
    <row r="2935" ht="15.75" customHeight="1">
      <c r="A2935" s="1">
        <v>3087.0</v>
      </c>
      <c r="B2935" s="3" t="s">
        <v>2863</v>
      </c>
      <c r="C2935" s="3" t="str">
        <f>IFERROR(__xludf.DUMMYFUNCTION("GOOGLETRANSLATE(B2935,""id"",""en"")"),"['Update', 'slow']")</f>
        <v>['Update', 'slow']</v>
      </c>
      <c r="D2935" s="3">
        <v>2.0</v>
      </c>
    </row>
    <row r="2936" ht="15.75" customHeight="1">
      <c r="A2936" s="1">
        <v>3088.0</v>
      </c>
      <c r="B2936" s="3" t="s">
        <v>2864</v>
      </c>
      <c r="C2936" s="3" t="str">
        <f>IFERROR(__xludf.DUMMYFUNCTION("GOOGLETRANSLATE(B2936,""id"",""en"")"),"['', 'check', 'leftover', 'quota', 'loading', 'update', 'complicated', 'ckckckk']")</f>
        <v>['', 'check', 'leftover', 'quota', 'loading', 'update', 'complicated', 'ckckckk']</v>
      </c>
      <c r="D2936" s="3">
        <v>1.0</v>
      </c>
    </row>
    <row r="2937" ht="15.75" customHeight="1">
      <c r="A2937" s="1">
        <v>3089.0</v>
      </c>
      <c r="B2937" s="3" t="s">
        <v>2865</v>
      </c>
      <c r="C2937" s="3" t="str">
        <f>IFERROR(__xludf.DUMMYFUNCTION("GOOGLETRANSLATE(B2937,""id"",""en"")"),"['hours', 'malem', 'dead', 'wifi', 'silly']")</f>
        <v>['hours', 'malem', 'dead', 'wifi', 'silly']</v>
      </c>
      <c r="D2937" s="3">
        <v>1.0</v>
      </c>
    </row>
    <row r="2938" ht="15.75" customHeight="1">
      <c r="A2938" s="1">
        <v>3090.0</v>
      </c>
      <c r="B2938" s="3" t="s">
        <v>2866</v>
      </c>
      <c r="C2938" s="3" t="str">
        <f>IFERROR(__xludf.DUMMYFUNCTION("GOOGLETRANSLATE(B2938,""id"",""en"")"),"['update', 'apk', 'login', 'already', 'enter', 'email', 'password', 'rejected', 'login', 'web', 'right', 'ugly', ' APK ']")</f>
        <v>['update', 'apk', 'login', 'already', 'enter', 'email', 'password', 'rejected', 'login', 'web', 'right', 'ugly', ' APK ']</v>
      </c>
      <c r="D2938" s="3">
        <v>1.0</v>
      </c>
    </row>
    <row r="2939" ht="15.75" customHeight="1">
      <c r="A2939" s="1">
        <v>3091.0</v>
      </c>
      <c r="B2939" s="3" t="s">
        <v>2867</v>
      </c>
      <c r="C2939" s="3" t="str">
        <f>IFERROR(__xludf.DUMMYFUNCTION("GOOGLETRANSLATE(B2939,""id"",""en"")"),"['gave', 'input', 'just', 'replied', 'thank', 'love', 'doang', 'apk', 'pulp']")</f>
        <v>['gave', 'input', 'just', 'replied', 'thank', 'love', 'doang', 'apk', 'pulp']</v>
      </c>
      <c r="D2939" s="3">
        <v>1.0</v>
      </c>
    </row>
    <row r="2940" ht="15.75" customHeight="1">
      <c r="A2940" s="1">
        <v>3092.0</v>
      </c>
      <c r="B2940" s="3" t="s">
        <v>2868</v>
      </c>
      <c r="C2940" s="3" t="str">
        <f>IFERROR(__xludf.DUMMYFUNCTION("GOOGLETRANSLATE(B2940,""id"",""en"")"),"['little', 'little', 'disorder', 'stop', '']")</f>
        <v>['little', 'little', 'disorder', 'stop', '']</v>
      </c>
      <c r="D2940" s="3">
        <v>1.0</v>
      </c>
    </row>
    <row r="2941" ht="15.75" customHeight="1">
      <c r="A2941" s="1">
        <v>3093.0</v>
      </c>
      <c r="B2941" s="3" t="s">
        <v>2869</v>
      </c>
      <c r="C2941" s="3" t="str">
        <f>IFERROR(__xludf.DUMMYFUNCTION("GOOGLETRANSLATE(B2941,""id"",""en"")"),"['Pulp', 'ilang', 'Nilagan', 'Mulu', 'Fiber', 'Optic', 'Kek', 'Make', 'Cable', 'Copper', 'Connection', 'Stable']")</f>
        <v>['Pulp', 'ilang', 'Nilagan', 'Mulu', 'Fiber', 'Optic', 'Kek', 'Make', 'Cable', 'Copper', 'Connection', 'Stable']</v>
      </c>
      <c r="D2941" s="3">
        <v>1.0</v>
      </c>
    </row>
    <row r="2942" ht="15.75" customHeight="1">
      <c r="A2942" s="1">
        <v>3094.0</v>
      </c>
      <c r="B2942" s="3" t="s">
        <v>2870</v>
      </c>
      <c r="C2942" s="3" t="str">
        <f>IFERROR(__xludf.DUMMYFUNCTION("GOOGLETRANSLATE(B2942,""id"",""en"")"),"['application', 'difficult', 'entry', 'password', '']")</f>
        <v>['application', 'difficult', 'entry', 'password', '']</v>
      </c>
      <c r="D2942" s="3">
        <v>1.0</v>
      </c>
    </row>
    <row r="2943" ht="15.75" customHeight="1">
      <c r="A2943" s="1">
        <v>3095.0</v>
      </c>
      <c r="B2943" s="3" t="s">
        <v>2871</v>
      </c>
      <c r="C2943" s="3" t="str">
        <f>IFERROR(__xludf.DUMMYFUNCTION("GOOGLETRANSLATE(B2943,""id"",""en"")"),"['application', 'help', 'complaint', 'service', 'payment', 'features', 'easy', ""]")</f>
        <v>['application', 'help', 'complaint', 'service', 'payment', 'features', 'easy', "]</v>
      </c>
      <c r="D2943" s="3">
        <v>5.0</v>
      </c>
    </row>
    <row r="2944" ht="15.75" customHeight="1">
      <c r="A2944" s="1">
        <v>3096.0</v>
      </c>
      <c r="B2944" s="3" t="s">
        <v>2872</v>
      </c>
      <c r="C2944" s="3" t="str">
        <f>IFERROR(__xludf.DUMMYFUNCTION("GOOGLETRANSLATE(B2944,""id"",""en"")"),"['updated', 'apk', 'look', 'good', 'darling', 'service', 'complaint', 'difficult', 'previous']")</f>
        <v>['updated', 'apk', 'look', 'good', 'darling', 'service', 'complaint', 'difficult', 'previous']</v>
      </c>
      <c r="D2944" s="3">
        <v>3.0</v>
      </c>
    </row>
    <row r="2945" ht="15.75" customHeight="1">
      <c r="A2945" s="1">
        <v>3097.0</v>
      </c>
      <c r="B2945" s="3" t="s">
        <v>2873</v>
      </c>
      <c r="C2945" s="3" t="str">
        <f>IFERROR(__xludf.DUMMYFUNCTION("GOOGLETRANSLATE(B2945,""id"",""en"")"),"['ugly', 'contains', 'promo', 'service', 'consumer', '']")</f>
        <v>['ugly', 'contains', 'promo', 'service', 'consumer', '']</v>
      </c>
      <c r="D2945" s="3">
        <v>1.0</v>
      </c>
    </row>
    <row r="2946" ht="15.75" customHeight="1">
      <c r="A2946" s="1">
        <v>3098.0</v>
      </c>
      <c r="B2946" s="3" t="s">
        <v>2874</v>
      </c>
      <c r="C2946" s="3" t="str">
        <f>IFERROR(__xludf.DUMMYFUNCTION("GOOGLETRANSLATE(B2946,""id"",""en"")"),"['update', 'the latest', 'heavy', 'menu', 'confusing', 'version']")</f>
        <v>['update', 'the latest', 'heavy', 'menu', 'confusing', 'version']</v>
      </c>
      <c r="D2946" s="3">
        <v>2.0</v>
      </c>
    </row>
    <row r="2947" ht="15.75" customHeight="1">
      <c r="A2947" s="1">
        <v>3099.0</v>
      </c>
      <c r="B2947" s="3" t="s">
        <v>2875</v>
      </c>
      <c r="C2947" s="3" t="str">
        <f>IFERROR(__xludf.DUMMYFUNCTION("GOOGLETRANSLATE(B2947,""id"",""en"")"),"['Indihome', 'Law', 'Law', 'Bet', 'Pay', 'Expensive', 'Nge', 'lag']")</f>
        <v>['Indihome', 'Law', 'Law', 'Bet', 'Pay', 'Expensive', 'Nge', 'lag']</v>
      </c>
      <c r="D2947" s="3">
        <v>1.0</v>
      </c>
    </row>
    <row r="2948" ht="15.75" customHeight="1">
      <c r="A2948" s="1">
        <v>3100.0</v>
      </c>
      <c r="B2948" s="3" t="s">
        <v>2876</v>
      </c>
      <c r="C2948" s="3" t="str">
        <f>IFERROR(__xludf.DUMMYFUNCTION("GOOGLETRANSLATE(B2948,""id"",""en"")"),"['Network', 'NGTD', 'JELLEK', 'Mulu', 'expensive', 'Doang', 'asw']")</f>
        <v>['Network', 'NGTD', 'JELLEK', 'Mulu', 'expensive', 'Doang', 'asw']</v>
      </c>
      <c r="D2948" s="3">
        <v>1.0</v>
      </c>
    </row>
    <row r="2949" ht="15.75" customHeight="1">
      <c r="A2949" s="1">
        <v>3101.0</v>
      </c>
      <c r="B2949" s="3" t="s">
        <v>2877</v>
      </c>
      <c r="C2949" s="3" t="str">
        <f>IFERROR(__xludf.DUMMYFUNCTION("GOOGLETRANSLATE(B2949,""id"",""en"")"),"['already', 'renewed', 'slow', 'apk', 'heavy', 'open', 'error', 'right']")</f>
        <v>['already', 'renewed', 'slow', 'apk', 'heavy', 'open', 'error', 'right']</v>
      </c>
      <c r="D2949" s="3">
        <v>1.0</v>
      </c>
    </row>
    <row r="2950" ht="15.75" customHeight="1">
      <c r="A2950" s="1">
        <v>3102.0</v>
      </c>
      <c r="B2950" s="3" t="s">
        <v>2878</v>
      </c>
      <c r="C2950" s="3" t="str">
        <f>IFERROR(__xludf.DUMMYFUNCTION("GOOGLETRANSLATE(B2950,""id"",""en"")"),"['GMNA', 'LGI', 'LGI', 'update', 'application', 'strange', 'application', 'update', 'silly']")</f>
        <v>['GMNA', 'LGI', 'LGI', 'update', 'application', 'strange', 'application', 'update', 'silly']</v>
      </c>
      <c r="D2950" s="3">
        <v>1.0</v>
      </c>
    </row>
    <row r="2951" ht="15.75" customHeight="1">
      <c r="A2951" s="1">
        <v>3103.0</v>
      </c>
      <c r="B2951" s="3" t="s">
        <v>2879</v>
      </c>
      <c r="C2951" s="3" t="str">
        <f>IFERROR(__xludf.DUMMYFUNCTION("GOOGLETRANSLATE(B2951,""id"",""en"")"),"['Gosh', 'Appsi', 'Help', 'really', 'PKOG', 'Likeaaaa']")</f>
        <v>['Gosh', 'Appsi', 'Help', 'really', 'PKOG', 'Likeaaaa']</v>
      </c>
      <c r="D2951" s="3">
        <v>5.0</v>
      </c>
    </row>
    <row r="2952" ht="15.75" customHeight="1">
      <c r="A2952" s="1">
        <v>3104.0</v>
      </c>
      <c r="B2952" s="3" t="s">
        <v>2880</v>
      </c>
      <c r="C2952" s="3" t="str">
        <f>IFERROR(__xludf.DUMMYFUNCTION("GOOGLETRANSLATE(B2952,""id"",""en"")"),"['application', 'the latest', 'difficult', 'login', 'uda', 'list', 'update', 'difficult', 'list']")</f>
        <v>['application', 'the latest', 'difficult', 'login', 'uda', 'list', 'update', 'difficult', 'list']</v>
      </c>
      <c r="D2952" s="3">
        <v>1.0</v>
      </c>
    </row>
    <row r="2953" ht="15.75" customHeight="1">
      <c r="A2953" s="1">
        <v>3106.0</v>
      </c>
      <c r="B2953" s="3" t="s">
        <v>2881</v>
      </c>
      <c r="C2953" s="3" t="str">
        <f>IFERROR(__xludf.DUMMYFUNCTION("GOOGLETRANSLATE(B2953,""id"",""en"")"),"['Lemot', 'bet']")</f>
        <v>['Lemot', 'bet']</v>
      </c>
      <c r="D2953" s="3">
        <v>2.0</v>
      </c>
    </row>
    <row r="2954" ht="15.75" customHeight="1">
      <c r="A2954" s="1">
        <v>3107.0</v>
      </c>
      <c r="B2954" s="3" t="s">
        <v>2882</v>
      </c>
      <c r="C2954" s="3" t="str">
        <f>IFERROR(__xludf.DUMMYFUNCTION("GOOGLETRANSLATE(B2954,""id"",""en"")"),"['Telkom', 'bad', 'service', 'turn', 'late', 'pay', 'a day', 'direct', 'block', 'just', 'really', 'application', ' update ',' enter ',' code ',' verification ',' email ',' send ',' invalid ',' use ',' verification ',' email ',' yesterday ',' change ',' en"&amp;"ter ' , 'Verification', 'use', 'Dead', 'TLPN', 'Call', 'Center', 'Connect', 'Professional', 'work', 'affairs',' money ',' BANGJE ',' Blood ', ""]")</f>
        <v>['Telkom', 'bad', 'service', 'turn', 'late', 'pay', 'a day', 'direct', 'block', 'just', 'really', 'application', ' update ',' enter ',' code ',' verification ',' email ',' send ',' invalid ',' use ',' verification ',' email ',' yesterday ',' change ',' enter ' , 'Verification', 'use', 'Dead', 'TLPN', 'Call', 'Center', 'Connect', 'Professional', 'work', 'affairs',' money ',' BANGJE ',' Blood ', "]</v>
      </c>
      <c r="D2954" s="3">
        <v>1.0</v>
      </c>
    </row>
    <row r="2955" ht="15.75" customHeight="1">
      <c r="A2955" s="1">
        <v>3108.0</v>
      </c>
      <c r="B2955" s="3" t="s">
        <v>2883</v>
      </c>
      <c r="C2955" s="3" t="str">
        <f>IFERROR(__xludf.DUMMYFUNCTION("GOOGLETRANSLATE(B2955,""id"",""en"")"),"['update', 'NOT', 'Good', 'destroyed', ""]")</f>
        <v>['update', 'NOT', 'Good', 'destroyed', "]</v>
      </c>
      <c r="D2955" s="3">
        <v>1.0</v>
      </c>
    </row>
    <row r="2956" ht="15.75" customHeight="1">
      <c r="A2956" s="1">
        <v>3109.0</v>
      </c>
      <c r="B2956" s="3" t="s">
        <v>440</v>
      </c>
      <c r="C2956" s="3" t="str">
        <f>IFERROR(__xludf.DUMMYFUNCTION("GOOGLETRANSLATE(B2956,""id"",""en"")"),"['lag']")</f>
        <v>['lag']</v>
      </c>
      <c r="D2956" s="3">
        <v>1.0</v>
      </c>
    </row>
    <row r="2957" ht="15.75" customHeight="1">
      <c r="A2957" s="1">
        <v>3110.0</v>
      </c>
      <c r="B2957" s="3" t="s">
        <v>2884</v>
      </c>
      <c r="C2957" s="3" t="str">
        <f>IFERROR(__xludf.DUMMYFUNCTION("GOOGLETRANSLATE(B2957,""id"",""en"")"),"['Cool', 'really', 'Exchange', 'Point', 'See', 'Bill', 'Details', 'user', 'Friendly', 'bangettt']")</f>
        <v>['Cool', 'really', 'Exchange', 'Point', 'See', 'Bill', 'Details', 'user', 'Friendly', 'bangettt']</v>
      </c>
      <c r="D2957" s="3">
        <v>5.0</v>
      </c>
    </row>
    <row r="2958" ht="15.75" customHeight="1">
      <c r="A2958" s="1">
        <v>3111.0</v>
      </c>
      <c r="B2958" s="3" t="s">
        <v>2885</v>
      </c>
      <c r="C2958" s="3" t="str">
        <f>IFERROR(__xludf.DUMMYFUNCTION("GOOGLETRANSLATE(B2958,""id"",""en"")"),"['Paketan', 'Mbps', 'Monthly', 'Network', 'NOT', 'Good', 'Leet', 'Watch', 'Muter', 'really']")</f>
        <v>['Paketan', 'Mbps', 'Monthly', 'Network', 'NOT', 'Good', 'Leet', 'Watch', 'Muter', 'really']</v>
      </c>
      <c r="D2958" s="3">
        <v>1.0</v>
      </c>
    </row>
    <row r="2959" ht="15.75" customHeight="1">
      <c r="A2959" s="1">
        <v>3112.0</v>
      </c>
      <c r="B2959" s="3" t="s">
        <v>2886</v>
      </c>
      <c r="C2959" s="3" t="str">
        <f>IFERROR(__xludf.DUMMYFUNCTION("GOOGLETRANSLATE(B2959,""id"",""en"")"),"['kagak', 'apps',' sometimes', 'account', 'logout', 'then', 'use', 'speed', 'ngak', 'detection', 'amit', 'deh', ' UDH ',' Network ',' ugly ',' apps']")</f>
        <v>['kagak', 'apps',' sometimes', 'account', 'logout', 'then', 'use', 'speed', 'ngak', 'detection', 'amit', 'deh', ' UDH ',' Network ',' ugly ',' apps']</v>
      </c>
      <c r="D2959" s="3">
        <v>1.0</v>
      </c>
    </row>
    <row r="2960" ht="15.75" customHeight="1">
      <c r="A2960" s="1">
        <v>3113.0</v>
      </c>
      <c r="B2960" s="3" t="s">
        <v>2887</v>
      </c>
      <c r="C2960" s="3" t="str">
        <f>IFERROR(__xludf.DUMMYFUNCTION("GOOGLETRANSLATE(B2960,""id"",""en"")"),"['Disappointed', 'really', 'a year', 'Installation', 'Network', 'Disconnect', 'Disconnect', 'report', 'was arranged', 'emang', 'finished', 'technician', ' go home ',' until ',' clock ',' already ',' relapse ',' break up ',' breakup ',' severe ',' dusk ','"&amp;" night ',' ngak ',' access', 'internet' , 'Amid the', 'city', 'distance', 'office', 'indihome', 'dri', 'rmh', 'sampe', 'km', 'response', 'slow', 'reply', ' Refresh ',' Disappointed ',' Heavy ']")</f>
        <v>['Disappointed', 'really', 'a year', 'Installation', 'Network', 'Disconnect', 'Disconnect', 'report', 'was arranged', 'emang', 'finished', 'technician', ' go home ',' until ',' clock ',' already ',' relapse ',' break up ',' breakup ',' severe ',' dusk ',' night ',' ngak ',' access', 'internet' , 'Amid the', 'city', 'distance', 'office', 'indihome', 'dri', 'rmh', 'sampe', 'km', 'response', 'slow', 'reply', ' Refresh ',' Disappointed ',' Heavy ']</v>
      </c>
      <c r="D2960" s="3">
        <v>1.0</v>
      </c>
    </row>
    <row r="2961" ht="15.75" customHeight="1">
      <c r="A2961" s="1">
        <v>3114.0</v>
      </c>
      <c r="B2961" s="3" t="s">
        <v>2888</v>
      </c>
      <c r="C2961" s="3" t="str">
        <f>IFERROR(__xludf.DUMMYFUNCTION("GOOGLETRANSLATE(B2961,""id"",""en"")"),"['Network', 'stable']")</f>
        <v>['Network', 'stable']</v>
      </c>
      <c r="D2961" s="3">
        <v>1.0</v>
      </c>
    </row>
    <row r="2962" ht="15.75" customHeight="1">
      <c r="A2962" s="1">
        <v>3115.0</v>
      </c>
      <c r="B2962" s="3" t="s">
        <v>2889</v>
      </c>
      <c r="C2962" s="3" t="str">
        <f>IFERROR(__xludf.DUMMYFUNCTION("GOOGLETRANSLATE(B2962,""id"",""en"")"),"['Updated', 'Direct', 'Log', 'Out', 'Login', 'NGK', 'Update', 'Improved', 'Performance', 'Application', 'Decreases',' Performance ',' Application ',' Bravo ',' ']")</f>
        <v>['Updated', 'Direct', 'Log', 'Out', 'Login', 'NGK', 'Update', 'Improved', 'Performance', 'Application', 'Decreases',' Performance ',' Application ',' Bravo ',' ']</v>
      </c>
      <c r="D2962" s="3">
        <v>1.0</v>
      </c>
    </row>
    <row r="2963" ht="15.75" customHeight="1">
      <c r="A2963" s="1">
        <v>3116.0</v>
      </c>
      <c r="B2963" s="3" t="s">
        <v>2890</v>
      </c>
      <c r="C2963" s="3" t="str">
        <f>IFERROR(__xludf.DUMMYFUNCTION("GOOGLETRANSLATE(B2963,""id"",""en"")"),"['Update', 'version', 'the latest', 'menu', 'use', 'GB', 'please', 'fix', 'thank', 'love', ""]")</f>
        <v>['Update', 'version', 'the latest', 'menu', 'use', 'GB', 'please', 'fix', 'thank', 'love', "]</v>
      </c>
      <c r="D2963" s="3">
        <v>4.0</v>
      </c>
    </row>
    <row r="2964" ht="15.75" customHeight="1">
      <c r="A2964" s="1">
        <v>3117.0</v>
      </c>
      <c r="B2964" s="3" t="s">
        <v>2891</v>
      </c>
      <c r="C2964" s="3" t="str">
        <f>IFERROR(__xludf.DUMMYFUNCTION("GOOGLETRANSLATE(B2964,""id"",""en"")"),"['Network', 'Severe', 'Coy']")</f>
        <v>['Network', 'Severe', 'Coy']</v>
      </c>
      <c r="D2964" s="3">
        <v>1.0</v>
      </c>
    </row>
    <row r="2965" ht="15.75" customHeight="1">
      <c r="A2965" s="1">
        <v>3118.0</v>
      </c>
      <c r="B2965" s="3" t="s">
        <v>2892</v>
      </c>
      <c r="C2965" s="3" t="str">
        <f>IFERROR(__xludf.DUMMYFUNCTION("GOOGLETRANSLATE(B2965,""id"",""en"")"),"['Application', 'use', 'complain', 'network']")</f>
        <v>['Application', 'use', 'complain', 'network']</v>
      </c>
      <c r="D2965" s="3">
        <v>1.0</v>
      </c>
    </row>
    <row r="2966" ht="15.75" customHeight="1">
      <c r="A2966" s="1">
        <v>3119.0</v>
      </c>
      <c r="B2966" s="3" t="s">
        <v>2893</v>
      </c>
      <c r="C2966" s="3" t="str">
        <f>IFERROR(__xludf.DUMMYFUNCTION("GOOGLETRANSLATE(B2966,""id"",""en"")"),"['Haloo', 'Admin', 'Display', 'USE', 'the latest', 'update', 'difficult', 'he could', 'see', 'just', 'malem', 'event', ' Clay ',' just ',' trail ',' Sigundul ',' Clock ',' Afternoon ',' How ',' Impression ',' Yesterday ',' Liat ',' Event ',' Sunday ',' Ng"&amp;"ernti ' , 'difficult', 'right', 'good', 'yesterday', 'update', 'youtube', 'log', 'video', 'see', '']")</f>
        <v>['Haloo', 'Admin', 'Display', 'USE', 'the latest', 'update', 'difficult', 'he could', 'see', 'just', 'malem', 'event', ' Clay ',' just ',' trail ',' Sigundul ',' Clock ',' Afternoon ',' How ',' Impression ',' Yesterday ',' Liat ',' Event ',' Sunday ',' Ngernti ' , 'difficult', 'right', 'good', 'yesterday', 'update', 'youtube', 'log', 'video', 'see', '']</v>
      </c>
      <c r="D2966" s="3">
        <v>2.0</v>
      </c>
    </row>
    <row r="2967" ht="15.75" customHeight="1">
      <c r="A2967" s="1">
        <v>3120.0</v>
      </c>
      <c r="B2967" s="3" t="s">
        <v>2894</v>
      </c>
      <c r="C2967" s="3" t="str">
        <f>IFERROR(__xludf.DUMMYFUNCTION("GOOGLETRANSLATE(B2967,""id"",""en"")"),"['Renew', 'Speed', 'Difficult', 'Application', 'Method', 'Payment', 'Ngak', 'Bank', 'BNI', 'Application', ""]")</f>
        <v>['Renew', 'Speed', 'Difficult', 'Application', 'Method', 'Payment', 'Ngak', 'Bank', 'BNI', 'Application', "]</v>
      </c>
      <c r="D2967" s="3">
        <v>1.0</v>
      </c>
    </row>
    <row r="2968" ht="15.75" customHeight="1">
      <c r="A2968" s="1">
        <v>3121.0</v>
      </c>
      <c r="B2968" s="3" t="s">
        <v>2895</v>
      </c>
      <c r="C2968" s="3" t="str">
        <f>IFERROR(__xludf.DUMMYFUNCTION("GOOGLETRANSLATE(B2968,""id"",""en"")"),"['Please', 'APK', 'Miss', 'check', 'telephone', 'house', 'BSA', 'HRUS', 'KNTOR', 'TELKOM', 'DLU', 'JD']")</f>
        <v>['Please', 'APK', 'Miss', 'check', 'telephone', 'house', 'BSA', 'HRUS', 'KNTOR', 'TELKOM', 'DLU', 'JD']</v>
      </c>
      <c r="D2968" s="3">
        <v>3.0</v>
      </c>
    </row>
    <row r="2969" ht="15.75" customHeight="1">
      <c r="A2969" s="1">
        <v>3122.0</v>
      </c>
      <c r="B2969" s="3" t="s">
        <v>2896</v>
      </c>
      <c r="C2969" s="3" t="str">
        <f>IFERROR(__xludf.DUMMYFUNCTION("GOOGLETRANSLATE(B2969,""id"",""en"")"),"['application', 'noob']")</f>
        <v>['application', 'noob']</v>
      </c>
      <c r="D2969" s="3">
        <v>1.0</v>
      </c>
    </row>
    <row r="2970" ht="15.75" customHeight="1">
      <c r="A2970" s="1">
        <v>3123.0</v>
      </c>
      <c r="B2970" s="3" t="s">
        <v>2897</v>
      </c>
      <c r="C2970" s="3" t="str">
        <f>IFERROR(__xludf.DUMMYFUNCTION("GOOGLETRANSLATE(B2970,""id"",""en"")"),"['update', 'what', 'application', 'open', 'menu', 'fix']")</f>
        <v>['update', 'what', 'application', 'open', 'menu', 'fix']</v>
      </c>
      <c r="D2970" s="3">
        <v>1.0</v>
      </c>
    </row>
    <row r="2971" ht="15.75" customHeight="1">
      <c r="A2971" s="1">
        <v>3124.0</v>
      </c>
      <c r="B2971" s="3" t="s">
        <v>2898</v>
      </c>
      <c r="C2971" s="3" t="str">
        <f>IFERROR(__xludf.DUMMYFUNCTION("GOOGLETRANSLATE(B2971,""id"",""en"")"),"['Leg', 'Trosssssssssssssss']")</f>
        <v>['Leg', 'Trosssssssssssssss']</v>
      </c>
      <c r="D2971" s="3">
        <v>1.0</v>
      </c>
    </row>
    <row r="2972" ht="15.75" customHeight="1">
      <c r="A2972" s="1">
        <v>3125.0</v>
      </c>
      <c r="B2972" s="3" t="s">
        <v>2899</v>
      </c>
      <c r="C2972" s="3" t="str">
        <f>IFERROR(__xludf.DUMMYFUNCTION("GOOGLETRANSLATE(B2972,""id"",""en"")"),"['Baguus']")</f>
        <v>['Baguus']</v>
      </c>
      <c r="D2972" s="3">
        <v>5.0</v>
      </c>
    </row>
    <row r="2973" ht="15.75" customHeight="1">
      <c r="A2973" s="1">
        <v>3126.0</v>
      </c>
      <c r="B2973" s="3" t="s">
        <v>2900</v>
      </c>
      <c r="C2973" s="3" t="str">
        <f>IFERROR(__xludf.DUMMYFUNCTION("GOOGLETRANSLATE(B2973,""id"",""en"")"),"['NOT', 'LEMOT', 'Most', 'Adon', 'ugly']")</f>
        <v>['NOT', 'LEMOT', 'Most', 'Adon', 'ugly']</v>
      </c>
      <c r="D2973" s="3">
        <v>1.0</v>
      </c>
    </row>
    <row r="2974" ht="15.75" customHeight="1">
      <c r="A2974" s="1">
        <v>3127.0</v>
      </c>
      <c r="B2974" s="3" t="s">
        <v>14</v>
      </c>
      <c r="C2974" s="3" t="str">
        <f>IFERROR(__xludf.DUMMYFUNCTION("GOOGLETRANSLATE(B2974,""id"",""en"")"),"Of course")</f>
        <v>Of course</v>
      </c>
      <c r="D2974" s="3">
        <v>1.0</v>
      </c>
    </row>
    <row r="2975" ht="15.75" customHeight="1">
      <c r="A2975" s="1">
        <v>3128.0</v>
      </c>
      <c r="B2975" s="3" t="s">
        <v>2901</v>
      </c>
      <c r="C2975" s="3" t="str">
        <f>IFERROR(__xludf.DUMMYFUNCTION("GOOGLETRANSLATE(B2975,""id"",""en"")"),"['Indihome', 'Indonesia', 'Kayak', 'Gini', 'Trouble', 'Mulu', 'Lined', 'Turn', 'Bill', 'Number', ""]")</f>
        <v>['Indihome', 'Indonesia', 'Kayak', 'Gini', 'Trouble', 'Mulu', 'Lined', 'Turn', 'Bill', 'Number', "]</v>
      </c>
      <c r="D2975" s="3">
        <v>1.0</v>
      </c>
    </row>
    <row r="2976" ht="15.75" customHeight="1">
      <c r="A2976" s="1">
        <v>3129.0</v>
      </c>
      <c r="B2976" s="3" t="s">
        <v>2902</v>
      </c>
      <c r="C2976" s="3" t="str">
        <f>IFERROR(__xludf.DUMMYFUNCTION("GOOGLETRANSLATE(B2976,""id"",""en"")"),"['Application', 'version', 'version', 'the difference', 'version', 'Loadin', 'muter']")</f>
        <v>['Application', 'version', 'version', 'the difference', 'version', 'Loadin', 'muter']</v>
      </c>
      <c r="D2976" s="3">
        <v>1.0</v>
      </c>
    </row>
    <row r="2977" ht="15.75" customHeight="1">
      <c r="A2977" s="1">
        <v>3130.0</v>
      </c>
      <c r="B2977" s="3" t="s">
        <v>2903</v>
      </c>
      <c r="C2977" s="3" t="str">
        <f>IFERROR(__xludf.DUMMYFUNCTION("GOOGLETRANSLATE(B2977,""id"",""en"")"),"['Bagusan', 'Check', 'FUP', 'History', 'Bill', 'Cache', 'Uda', 'Clean', 'Data', 'Light', 'Application', 'Heavy', ' very', '']")</f>
        <v>['Bagusan', 'Check', 'FUP', 'History', 'Bill', 'Cache', 'Uda', 'Clean', 'Data', 'Light', 'Application', 'Heavy', ' very', '']</v>
      </c>
      <c r="D2977" s="3">
        <v>2.0</v>
      </c>
    </row>
    <row r="2978" ht="15.75" customHeight="1">
      <c r="A2978" s="1">
        <v>3131.0</v>
      </c>
      <c r="B2978" s="3" t="s">
        <v>2904</v>
      </c>
      <c r="C2978" s="3" t="str">
        <f>IFERROR(__xludf.DUMMYFUNCTION("GOOGLETRANSLATE(B2978,""id"",""en"")"),"['disappointing', '']")</f>
        <v>['disappointing', '']</v>
      </c>
      <c r="D2978" s="3">
        <v>2.0</v>
      </c>
    </row>
    <row r="2979" ht="15.75" customHeight="1">
      <c r="A2979" s="1">
        <v>3132.0</v>
      </c>
      <c r="B2979" s="3" t="s">
        <v>2905</v>
      </c>
      <c r="C2979" s="3" t="str">
        <f>IFERROR(__xludf.DUMMYFUNCTION("GOOGLETRANSLATE(B2979,""id"",""en"")"),"['Network', 'Internet', 'Ancur', 'Indonesia']")</f>
        <v>['Network', 'Internet', 'Ancur', 'Indonesia']</v>
      </c>
      <c r="D2979" s="3">
        <v>1.0</v>
      </c>
    </row>
    <row r="2980" ht="15.75" customHeight="1">
      <c r="A2980" s="1">
        <v>3134.0</v>
      </c>
      <c r="B2980" s="3" t="s">
        <v>2906</v>
      </c>
      <c r="C2980" s="3" t="str">
        <f>IFERROR(__xludf.DUMMYFUNCTION("GOOGLETRANSLATE(B2980,""id"",""en"")"),"['error', 'loss', 'it's', 'report', 'difficult', 'application']")</f>
        <v>['error', 'loss', 'it's', 'report', 'difficult', 'application']</v>
      </c>
      <c r="D2980" s="3">
        <v>2.0</v>
      </c>
    </row>
    <row r="2981" ht="15.75" customHeight="1">
      <c r="A2981" s="1">
        <v>3135.0</v>
      </c>
      <c r="B2981" s="3" t="s">
        <v>2907</v>
      </c>
      <c r="C2981" s="3" t="str">
        <f>IFERROR(__xludf.DUMMYFUNCTION("GOOGLETRANSLATE(B2981,""id"",""en"")"),"['The application', 'error', 'technician', 'report', 'already', 'finished', 'how', '']")</f>
        <v>['The application', 'error', 'technician', 'report', 'already', 'finished', 'how', '']</v>
      </c>
      <c r="D2981" s="3">
        <v>1.0</v>
      </c>
    </row>
    <row r="2982" ht="15.75" customHeight="1">
      <c r="A2982" s="1">
        <v>3136.0</v>
      </c>
      <c r="B2982" s="3" t="s">
        <v>2908</v>
      </c>
      <c r="C2982" s="3" t="str">
        <f>IFERROR(__xludf.DUMMYFUNCTION("GOOGLETRANSLATE(B2982,""id"",""en"")"),"['Bad', 'Original', 'Login', 'OTP', 'Wrong']")</f>
        <v>['Bad', 'Original', 'Login', 'OTP', 'Wrong']</v>
      </c>
      <c r="D2982" s="3">
        <v>1.0</v>
      </c>
    </row>
    <row r="2983" ht="15.75" customHeight="1">
      <c r="A2983" s="1">
        <v>3137.0</v>
      </c>
      <c r="B2983" s="3" t="s">
        <v>2909</v>
      </c>
      <c r="C2983" s="3" t="str">
        <f>IFERROR(__xludf.DUMMYFUNCTION("GOOGLETRANSLATE(B2983,""id"",""en"")"),"['Lemot', 'Application']")</f>
        <v>['Lemot', 'Application']</v>
      </c>
      <c r="D2983" s="3">
        <v>1.0</v>
      </c>
    </row>
    <row r="2984" ht="15.75" customHeight="1">
      <c r="A2984" s="1">
        <v>3138.0</v>
      </c>
      <c r="B2984" s="3" t="s">
        <v>2910</v>
      </c>
      <c r="C2984" s="3" t="str">
        <f>IFERROR(__xludf.DUMMYFUNCTION("GOOGLETRANSLATE(B2984,""id"",""en"")"),"['Login', 'number', 'email', 'downgrade', 'ajah', 'version', 'dipake', 'version', 'difficult', '']")</f>
        <v>['Login', 'number', 'email', 'downgrade', 'ajah', 'version', 'dipake', 'version', 'difficult', '']</v>
      </c>
      <c r="D2984" s="3">
        <v>1.0</v>
      </c>
    </row>
    <row r="2985" ht="15.75" customHeight="1">
      <c r="A2985" s="1">
        <v>3140.0</v>
      </c>
      <c r="B2985" s="3" t="s">
        <v>2911</v>
      </c>
      <c r="C2985" s="3" t="str">
        <f>IFERROR(__xludf.DUMMYFUNCTION("GOOGLETRANSLATE(B2985,""id"",""en"")"),"['wifi', 'internet', 'used', 'technically', 'visits', 'shortcomings', 'indihome', 'improvement', 'complain', 'where']")</f>
        <v>['wifi', 'internet', 'used', 'technically', 'visits', 'shortcomings', 'indihome', 'improvement', 'complain', 'where']</v>
      </c>
      <c r="D2985" s="3">
        <v>2.0</v>
      </c>
    </row>
    <row r="2986" ht="15.75" customHeight="1">
      <c r="A2986" s="1">
        <v>3141.0</v>
      </c>
      <c r="B2986" s="3" t="s">
        <v>2912</v>
      </c>
      <c r="C2986" s="3" t="str">
        <f>IFERROR(__xludf.DUMMYFUNCTION("GOOGLETRANSLATE(B2986,""id"",""en"")"),"['it looks', 'already', 'simple', 'menu', 'complaint', 'etc.', 'next to', 'telephone']")</f>
        <v>['it looks', 'already', 'simple', 'menu', 'complaint', 'etc.', 'next to', 'telephone']</v>
      </c>
      <c r="D2986" s="3">
        <v>3.0</v>
      </c>
    </row>
    <row r="2987" ht="15.75" customHeight="1">
      <c r="A2987" s="1">
        <v>3142.0</v>
      </c>
      <c r="B2987" s="3" t="s">
        <v>2913</v>
      </c>
      <c r="C2987" s="3" t="str">
        <f>IFERROR(__xludf.DUMMYFUNCTION("GOOGLETRANSLATE(B2987,""id"",""en"")"),"['Error', 'then', 'on', 'lights', 'red', 'signal', 'slow', 'please', 'love', 'convenience', 'customer']")</f>
        <v>['Error', 'then', 'on', 'lights', 'red', 'signal', 'slow', 'please', 'love', 'convenience', 'customer']</v>
      </c>
      <c r="D2987" s="3">
        <v>1.0</v>
      </c>
    </row>
    <row r="2988" ht="15.75" customHeight="1">
      <c r="A2988" s="1">
        <v>3143.0</v>
      </c>
      <c r="B2988" s="3" t="s">
        <v>2914</v>
      </c>
      <c r="C2988" s="3" t="str">
        <f>IFERROR(__xludf.DUMMYFUNCTION("GOOGLETRANSLATE(B2988,""id"",""en"")"),"['The application', 'heavy', 'really', 'oath']")</f>
        <v>['The application', 'heavy', 'really', 'oath']</v>
      </c>
      <c r="D2988" s="3">
        <v>2.0</v>
      </c>
    </row>
    <row r="2989" ht="15.75" customHeight="1">
      <c r="A2989" s="1">
        <v>3144.0</v>
      </c>
      <c r="B2989" s="3" t="s">
        <v>2915</v>
      </c>
      <c r="C2989" s="3" t="str">
        <f>IFERROR(__xludf.DUMMYFUNCTION("GOOGLETRANSLATE(B2989,""id"",""en"")"),"['Updated', 'slow', 'application', '']")</f>
        <v>['Updated', 'slow', 'application', '']</v>
      </c>
      <c r="D2989" s="3">
        <v>1.0</v>
      </c>
    </row>
    <row r="2990" ht="15.75" customHeight="1">
      <c r="A2990" s="1">
        <v>3145.0</v>
      </c>
      <c r="B2990" s="3" t="s">
        <v>2916</v>
      </c>
      <c r="C2990" s="3" t="str">
        <f>IFERROR(__xludf.DUMMYFUNCTION("GOOGLETRANSLATE(B2990,""id"",""en"")"),"['application', 'light', 'MB', 'Heavy', 'really', 'NOT', 'Loading', 'check', 'bill', ""]")</f>
        <v>['application', 'light', 'MB', 'Heavy', 'really', 'NOT', 'Loading', 'check', 'bill', "]</v>
      </c>
      <c r="D2990" s="3">
        <v>3.0</v>
      </c>
    </row>
    <row r="2991" ht="15.75" customHeight="1">
      <c r="A2991" s="1">
        <v>3146.0</v>
      </c>
      <c r="B2991" s="3" t="s">
        <v>2917</v>
      </c>
      <c r="C2991" s="3" t="str">
        <f>IFERROR(__xludf.DUMMYFUNCTION("GOOGLETRANSLATE(B2991,""id"",""en"")"),"['Application', 'NGK', 'Pay', 'TPI', 'Signal', 'Disease', 'Panga', 'Disease']")</f>
        <v>['Application', 'NGK', 'Pay', 'TPI', 'Signal', 'Disease', 'Panga', 'Disease']</v>
      </c>
      <c r="D2991" s="3">
        <v>1.0</v>
      </c>
    </row>
    <row r="2992" ht="15.75" customHeight="1">
      <c r="A2992" s="1">
        <v>3147.0</v>
      </c>
      <c r="B2992" s="3" t="s">
        <v>2918</v>
      </c>
      <c r="C2992" s="3" t="str">
        <f>IFERROR(__xludf.DUMMYFUNCTION("GOOGLETRANSLATE(B2992,""id"",""en"")"),"['Internet', 'Lost', 'Hall', 'Pay', 'late', 'service', 'bad', 'destroyed', 'repay', 'network', 'clock', 'repair', ' diksih ',' all ',' customers', 'love', 'notification', 'that's',' internet ',' Lost ',' oath ',' provider ',' bad ',' history ',' indihomo "&amp;"' , '']")</f>
        <v>['Internet', 'Lost', 'Hall', 'Pay', 'late', 'service', 'bad', 'destroyed', 'repay', 'network', 'clock', 'repair', ' diksih ',' all ',' customers', 'love', 'notification', 'that's',' internet ',' Lost ',' oath ',' provider ',' bad ',' history ',' indihomo ' , '']</v>
      </c>
      <c r="D2992" s="3">
        <v>1.0</v>
      </c>
    </row>
    <row r="2993" ht="15.75" customHeight="1">
      <c r="A2993" s="1">
        <v>3148.0</v>
      </c>
      <c r="B2993" s="3" t="s">
        <v>2919</v>
      </c>
      <c r="C2993" s="3" t="str">
        <f>IFERROR(__xludf.DUMMYFUNCTION("GOOGLETRANSLATE(B2993,""id"",""en"")"),"['Inhome', 'Network', 'Gabut', 'Ntar', 'Raying', 'Indihome', 'Network', 'Disconnect', 'Mulu', 'Most', 'stacked']")</f>
        <v>['Inhome', 'Network', 'Gabut', 'Ntar', 'Raying', 'Indihome', 'Network', 'Disconnect', 'Mulu', 'Most', 'stacked']</v>
      </c>
      <c r="D2993" s="3">
        <v>1.0</v>
      </c>
    </row>
    <row r="2994" ht="15.75" customHeight="1">
      <c r="A2994" s="1">
        <v>3149.0</v>
      </c>
      <c r="B2994" s="3" t="s">
        <v>2920</v>
      </c>
      <c r="C2994" s="3" t="str">
        <f>IFERROR(__xludf.DUMMYFUNCTION("GOOGLETRANSLATE(B2994,""id"",""en"")"),"['disappointing']")</f>
        <v>['disappointing']</v>
      </c>
      <c r="D2994" s="3">
        <v>3.0</v>
      </c>
    </row>
    <row r="2995" ht="15.75" customHeight="1">
      <c r="A2995" s="1">
        <v>3150.0</v>
      </c>
      <c r="B2995" s="3" t="s">
        <v>2921</v>
      </c>
      <c r="C2995" s="3" t="str">
        <f>IFERROR(__xludf.DUMMYFUNCTION("GOOGLETRANSLATE(B2995,""id"",""en"")"),"['The application', 'Loading', 'Slow', 'Verification', 'Teparted', 'Tele', ""]")</f>
        <v>['The application', 'Loading', 'Slow', 'Verification', 'Teparted', 'Tele', "]</v>
      </c>
      <c r="D2995" s="3">
        <v>1.0</v>
      </c>
    </row>
    <row r="2996" ht="15.75" customHeight="1">
      <c r="A2996" s="1">
        <v>3151.0</v>
      </c>
      <c r="B2996" s="3" t="s">
        <v>2922</v>
      </c>
      <c r="C2996" s="3" t="str">
        <f>IFERROR(__xludf.DUMMYFUNCTION("GOOGLETRANSLATE(B2996,""id"",""en"")"),"['application', 'change', 'wrong', 'only', 'reiterated', 'wait', 'response', 'request', 'network', 'minute', 'data', 'shown', ' Quality ',' service ',' internet ',' good ',' server ',' enhanced ',' ']")</f>
        <v>['application', 'change', 'wrong', 'only', 'reiterated', 'wait', 'response', 'request', 'network', 'minute', 'data', 'shown', ' Quality ',' service ',' internet ',' good ',' server ',' enhanced ',' ']</v>
      </c>
      <c r="D2996" s="3">
        <v>2.0</v>
      </c>
    </row>
    <row r="2997" ht="15.75" customHeight="1">
      <c r="A2997" s="1">
        <v>3152.0</v>
      </c>
      <c r="B2997" s="3" t="s">
        <v>2923</v>
      </c>
      <c r="C2997" s="3" t="str">
        <f>IFERROR(__xludf.DUMMYFUNCTION("GOOGLETRANSLATE(B2997,""id"",""en"")"),"['application', 'trllu', 'heavy', 'slow', 'try', 'adjust', 'dngn', 'type', '']")</f>
        <v>['application', 'trllu', 'heavy', 'slow', 'try', 'adjust', 'dngn', 'type', '']</v>
      </c>
      <c r="D2997" s="3">
        <v>1.0</v>
      </c>
    </row>
    <row r="2998" ht="15.75" customHeight="1">
      <c r="A2998" s="1">
        <v>3153.0</v>
      </c>
      <c r="B2998" s="3" t="s">
        <v>2924</v>
      </c>
      <c r="C2998" s="3" t="str">
        <f>IFERROR(__xludf.DUMMYFUNCTION("GOOGLETRANSLATE(B2998,""id"",""en"")"),"['Severe', 'UDH', 'Disappointed', 'Severe', 'Ganguan', 'Mulu', 'Handling', 'Disappointed', 'Dngan', 'Service', 'Live', 'Chat', ' ']")</f>
        <v>['Severe', 'UDH', 'Disappointed', 'Severe', 'Ganguan', 'Mulu', 'Handling', 'Disappointed', 'Dngan', 'Service', 'Live', 'Chat', ' ']</v>
      </c>
      <c r="D2998" s="3">
        <v>1.0</v>
      </c>
    </row>
    <row r="2999" ht="15.75" customHeight="1">
      <c r="A2999" s="1">
        <v>3154.0</v>
      </c>
      <c r="B2999" s="3" t="s">
        <v>2925</v>
      </c>
      <c r="C2999" s="3" t="str">
        <f>IFERROR(__xludf.DUMMYFUNCTION("GOOGLETRANSLATE(B2999,""id"",""en"")"),"['update', 'application', 'version', 'latest', 'point', 'missing', 'zero', 'point', 'point', 'completeness', 'profile', 'complete' Considered ',' blm ',' complement ',' please ',' thorough ',' update ',' application ',' software ',' thank ',' love ',' sug"&amp;"gestion ',' user ',' interface ' , 'heavy', 'try', 'light', 'version', '']")</f>
        <v>['update', 'application', 'version', 'latest', 'point', 'missing', 'zero', 'point', 'point', 'completeness', 'profile', 'complete' Considered ',' blm ',' complement ',' please ',' thorough ',' update ',' application ',' software ',' thank ',' love ',' suggestion ',' user ',' interface ' , 'heavy', 'try', 'light', 'version', '']</v>
      </c>
      <c r="D2999" s="3">
        <v>2.0</v>
      </c>
    </row>
    <row r="3000" ht="15.75" customHeight="1">
      <c r="A3000" s="1">
        <v>3155.0</v>
      </c>
      <c r="B3000" s="3" t="s">
        <v>2926</v>
      </c>
      <c r="C3000" s="3" t="str">
        <f>IFERROR(__xludf.DUMMYFUNCTION("GOOGLETRANSLATE(B3000,""id"",""en"")"),"['update', 'data', 'profile', 'private', 'finished', 'see', 'device', 'use', 'wifi', 'mending', 'ribet']")</f>
        <v>['update', 'data', 'profile', 'private', 'finished', 'see', 'device', 'use', 'wifi', 'mending', 'ribet']</v>
      </c>
      <c r="D3000" s="3">
        <v>4.0</v>
      </c>
    </row>
    <row r="3001" ht="15.75" customHeight="1">
      <c r="A3001" s="1">
        <v>3156.0</v>
      </c>
      <c r="B3001" s="3" t="s">
        <v>2927</v>
      </c>
      <c r="C3001" s="3" t="str">
        <f>IFERROR(__xludf.DUMMYFUNCTION("GOOGLETRANSLATE(B3001,""id"",""en"")"),"['Application', 'Leet', '']")</f>
        <v>['Application', 'Leet', '']</v>
      </c>
      <c r="D3001" s="3">
        <v>1.0</v>
      </c>
    </row>
    <row r="3002" ht="15.75" customHeight="1">
      <c r="A3002" s="1">
        <v>3157.0</v>
      </c>
      <c r="B3002" s="3" t="s">
        <v>2928</v>
      </c>
      <c r="C3002" s="3" t="str">
        <f>IFERROR(__xludf.DUMMYFUNCTION("GOOGLETRANSLATE(B3002,""id"",""en"")"),"['Complaints',' times', 'technicians',' agreed ',' via ',' awaited ',' on the day ',' diarea ',' mean ',' ping ',' ping ',' reply ',' Sopankah ',' Ethiquad ',' company ',' system ',' network ',' error ',' technician ',' situ ',' come ', ""]")</f>
        <v>['Complaints',' times', 'technicians',' agreed ',' via ',' awaited ',' on the day ',' diarea ',' mean ',' ping ',' ping ',' reply ',' Sopankah ',' Ethiquad ',' company ',' system ',' network ',' error ',' technician ',' situ ',' come ', "]</v>
      </c>
      <c r="D3002" s="3">
        <v>1.0</v>
      </c>
    </row>
    <row r="3003" ht="15.75" customHeight="1">
      <c r="A3003" s="1">
        <v>3158.0</v>
      </c>
      <c r="B3003" s="3" t="s">
        <v>2929</v>
      </c>
      <c r="C3003" s="3" t="str">
        <f>IFERROR(__xludf.DUMMYFUNCTION("GOOGLETRANSLATE(B3003,""id"",""en"")"),"['Network', 'ngentod']")</f>
        <v>['Network', 'ngentod']</v>
      </c>
      <c r="D3003" s="3">
        <v>1.0</v>
      </c>
    </row>
    <row r="3004" ht="15.75" customHeight="1">
      <c r="A3004" s="1">
        <v>3160.0</v>
      </c>
      <c r="B3004" s="3" t="s">
        <v>2930</v>
      </c>
      <c r="C3004" s="3" t="str">
        <f>IFERROR(__xludf.DUMMYFUNCTION("GOOGLETRANSLATE(B3004,""id"",""en"")"),"['Update', 'the application', 'slow']")</f>
        <v>['Update', 'the application', 'slow']</v>
      </c>
      <c r="D3004" s="3">
        <v>3.0</v>
      </c>
    </row>
    <row r="3005" ht="15.75" customHeight="1">
      <c r="A3005" s="1">
        <v>3161.0</v>
      </c>
      <c r="B3005" s="3" t="s">
        <v>2931</v>
      </c>
      <c r="C3005" s="3" t="str">
        <f>IFERROR(__xludf.DUMMYFUNCTION("GOOGLETRANSLATE(B3005,""id"",""en"")"),"['Please', 'repaired', 'update', 'mlh', 'forget', 'password', 'already', 'sent', 'password', 'sms',' mlh ',' description ',' used ',' how ',' Nunggin ',' clock ',' ']")</f>
        <v>['Please', 'repaired', 'update', 'mlh', 'forget', 'password', 'already', 'sent', 'password', 'sms',' mlh ',' description ',' used ',' how ',' Nunggin ',' clock ',' ']</v>
      </c>
      <c r="D3005" s="3">
        <v>2.0</v>
      </c>
    </row>
    <row r="3006" ht="15.75" customHeight="1">
      <c r="A3006" s="1">
        <v>3162.0</v>
      </c>
      <c r="B3006" s="3" t="s">
        <v>2932</v>
      </c>
      <c r="C3006" s="3" t="str">
        <f>IFERROR(__xludf.DUMMYFUNCTION("GOOGLETRANSLATE(B3006,""id"",""en"")"),"['', 'Application', 'Update', 'Data', 'ilang', 'Raying', 'Login', 'Difficult', ""]")</f>
        <v>['', 'Application', 'Update', 'Data', 'ilang', 'Raying', 'Login', 'Difficult', "]</v>
      </c>
      <c r="D3006" s="3">
        <v>1.0</v>
      </c>
    </row>
    <row r="3007" ht="15.75" customHeight="1">
      <c r="A3007" s="1">
        <v>3163.0</v>
      </c>
      <c r="B3007" s="3" t="s">
        <v>2933</v>
      </c>
      <c r="C3007" s="3" t="str">
        <f>IFERROR(__xludf.DUMMYFUNCTION("GOOGLETRANSLATE(B3007,""id"",""en"")"),"['crazy', 'apss',' bugs', 'insisted', 'release', 'ticket', 'poor', 'already', 'internet', 'disruption', 'apps',' bugs', ' Bener ',' Indihome ',' Keep ',' Customers', '']")</f>
        <v>['crazy', 'apss',' bugs', 'insisted', 'release', 'ticket', 'poor', 'already', 'internet', 'disruption', 'apps',' bugs', ' Bener ',' Indihome ',' Keep ',' Customers', '']</v>
      </c>
      <c r="D3007" s="3">
        <v>1.0</v>
      </c>
    </row>
    <row r="3008" ht="15.75" customHeight="1">
      <c r="A3008" s="1">
        <v>3164.0</v>
      </c>
      <c r="B3008" s="3" t="s">
        <v>2934</v>
      </c>
      <c r="C3008" s="3" t="str">
        <f>IFERROR(__xludf.DUMMYFUNCTION("GOOGLETRANSLATE(B3008,""id"",""en"")"),"['Application', 'heavy', 'really', 'Loading']")</f>
        <v>['Application', 'heavy', 'really', 'Loading']</v>
      </c>
      <c r="D3008" s="3">
        <v>1.0</v>
      </c>
    </row>
    <row r="3009" ht="15.75" customHeight="1">
      <c r="A3009" s="1">
        <v>3165.0</v>
      </c>
      <c r="B3009" s="3" t="s">
        <v>2935</v>
      </c>
      <c r="C3009" s="3" t="str">
        <f>IFERROR(__xludf.DUMMYFUNCTION("GOOGLETRANSLATE(B3009,""id"",""en"")"),"['expensive', 'Doang', 'Service', 'Good', '']")</f>
        <v>['expensive', 'Doang', 'Service', 'Good', '']</v>
      </c>
      <c r="D3009" s="3">
        <v>1.0</v>
      </c>
    </row>
    <row r="3010" ht="15.75" customHeight="1">
      <c r="A3010" s="1">
        <v>3166.0</v>
      </c>
      <c r="B3010" s="3" t="s">
        <v>2936</v>
      </c>
      <c r="C3010" s="3" t="str">
        <f>IFERROR(__xludf.DUMMYFUNCTION("GOOGLETRANSLATE(B3010,""id"",""en"")"),"['It's easy', 'user', 'wifi', 'indihome']")</f>
        <v>['It's easy', 'user', 'wifi', 'indihome']</v>
      </c>
      <c r="D3010" s="3">
        <v>5.0</v>
      </c>
    </row>
    <row r="3011" ht="15.75" customHeight="1">
      <c r="A3011" s="1">
        <v>3168.0</v>
      </c>
      <c r="B3011" s="3" t="s">
        <v>2937</v>
      </c>
      <c r="C3011" s="3" t="str">
        <f>IFERROR(__xludf.DUMMYFUNCTION("GOOGLETRANSLATE(B3011,""id"",""en"")"),"['Update', 'automatic', 'data', 'application', 'missing', 'application', 'disappointed', '']")</f>
        <v>['Update', 'automatic', 'data', 'application', 'missing', 'application', 'disappointed', '']</v>
      </c>
      <c r="D3011" s="3">
        <v>1.0</v>
      </c>
    </row>
    <row r="3012" ht="15.75" customHeight="1">
      <c r="A3012" s="1">
        <v>3169.0</v>
      </c>
      <c r="B3012" s="3" t="s">
        <v>2938</v>
      </c>
      <c r="C3012" s="3" t="str">
        <f>IFERROR(__xludf.DUMMYFUNCTION("GOOGLETRANSLATE(B3012,""id"",""en"")"),"['Practical', 'help']")</f>
        <v>['Practical', 'help']</v>
      </c>
      <c r="D3012" s="3">
        <v>5.0</v>
      </c>
    </row>
    <row r="3013" ht="15.75" customHeight="1">
      <c r="A3013" s="1">
        <v>3170.0</v>
      </c>
      <c r="B3013" s="3" t="s">
        <v>2939</v>
      </c>
      <c r="C3013" s="3" t="str">
        <f>IFERROR(__xludf.DUMMYFUNCTION("GOOGLETRANSLATE(B3013,""id"",""en"")"),"['Disruption', 'hours', 'work', 'lights', 'indicators', 'red', 'clock', 'work', 'interfere', 'workers', 'wfh', '']")</f>
        <v>['Disruption', 'hours', 'work', 'lights', 'indicators', 'red', 'clock', 'work', 'interfere', 'workers', 'wfh', '']</v>
      </c>
      <c r="D3013" s="3">
        <v>1.0</v>
      </c>
    </row>
    <row r="3014" ht="15.75" customHeight="1">
      <c r="A3014" s="1">
        <v>3171.0</v>
      </c>
      <c r="B3014" s="3" t="s">
        <v>2940</v>
      </c>
      <c r="C3014" s="3" t="str">
        <f>IFERROR(__xludf.DUMMYFUNCTION("GOOGLETRANSLATE(B3014,""id"",""en"")"),"['Error', 'channel', 'krng', ""]")</f>
        <v>['Error', 'channel', 'krng', "]</v>
      </c>
      <c r="D3014" s="3">
        <v>3.0</v>
      </c>
    </row>
    <row r="3015" ht="15.75" customHeight="1">
      <c r="A3015" s="1">
        <v>3172.0</v>
      </c>
      <c r="B3015" s="3" t="s">
        <v>2941</v>
      </c>
      <c r="C3015" s="3" t="str">
        <f>IFERROR(__xludf.DUMMYFUNCTION("GOOGLETRANSLATE(B3015,""id"",""en"")"),"['Good', 'report', 'PET', 'Action', 'Sheep', 'Double', 'ABOESK', 'Wulan', 'Hamzah']")</f>
        <v>['Good', 'report', 'PET', 'Action', 'Sheep', 'Double', 'ABOESK', 'Wulan', 'Hamzah']</v>
      </c>
      <c r="D3015" s="3">
        <v>5.0</v>
      </c>
    </row>
    <row r="3016" ht="15.75" customHeight="1">
      <c r="A3016" s="1">
        <v>3173.0</v>
      </c>
      <c r="B3016" s="3" t="s">
        <v>2942</v>
      </c>
      <c r="C3016" s="3" t="str">
        <f>IFERROR(__xludf.DUMMYFUNCTION("GOOGLETRANSLATE(B3016,""id"",""en"")"),"['Ticket', 'report', 'scheduling', 'repairs',' minimal ',' technician ',' repairs', 'idea', 'guarantee', 'kapok', 'subscribe', 'repair', ' Preferably ',' postponed ',' delay ']")</f>
        <v>['Ticket', 'report', 'scheduling', 'repairs',' minimal ',' technician ',' repairs', 'idea', 'guarantee', 'kapok', 'subscribe', 'repair', ' Preferably ',' postponed ',' delay ']</v>
      </c>
      <c r="D3016" s="3">
        <v>1.0</v>
      </c>
    </row>
    <row r="3017" ht="15.75" customHeight="1">
      <c r="A3017" s="1">
        <v>3174.0</v>
      </c>
      <c r="B3017" s="3" t="s">
        <v>2943</v>
      </c>
      <c r="C3017" s="3" t="str">
        <f>IFERROR(__xludf.DUMMYFUNCTION("GOOGLETRANSLATE(B3017,""id"",""en"")"),"['Benerin', 'konesi', 'eat', 'salary', 'but', 'njink']")</f>
        <v>['Benerin', 'konesi', 'eat', 'salary', 'but', 'njink']</v>
      </c>
      <c r="D3017" s="3">
        <v>1.0</v>
      </c>
    </row>
    <row r="3018" ht="15.75" customHeight="1">
      <c r="A3018" s="1">
        <v>3175.0</v>
      </c>
      <c r="B3018" s="3" t="s">
        <v>2944</v>
      </c>
      <c r="C3018" s="3" t="str">
        <f>IFERROR(__xludf.DUMMYFUNCTION("GOOGLETRANSLATE(B3018,""id"",""en"")"),"['heavy', 'TPI', 'okay']")</f>
        <v>['heavy', 'TPI', 'okay']</v>
      </c>
      <c r="D3018" s="3">
        <v>4.0</v>
      </c>
    </row>
    <row r="3019" ht="15.75" customHeight="1">
      <c r="A3019" s="1">
        <v>3176.0</v>
      </c>
      <c r="B3019" s="3" t="s">
        <v>2945</v>
      </c>
      <c r="C3019" s="3" t="str">
        <f>IFERROR(__xludf.DUMMYFUNCTION("GOOGLETRANSLATE(B3019,""id"",""en"")"),"['msh', 'like', 'high school', 'version', 'version', 'xx', 'rotten', 'login', 'passwrd', 'wrong', 'then', 'udh', ' Gnti ',' password ',' bsa ',' msuk ',' ']")</f>
        <v>['msh', 'like', 'high school', 'version', 'version', 'xx', 'rotten', 'login', 'passwrd', 'wrong', 'then', 'udh', ' Gnti ',' password ',' bsa ',' msuk ',' ']</v>
      </c>
      <c r="D3019" s="3">
        <v>1.0</v>
      </c>
    </row>
    <row r="3020" ht="15.75" customHeight="1">
      <c r="A3020" s="1">
        <v>3177.0</v>
      </c>
      <c r="B3020" s="3" t="s">
        <v>2946</v>
      </c>
      <c r="C3020" s="3" t="str">
        <f>IFERROR(__xludf.DUMMYFUNCTION("GOOGLETRANSLATE(B3020,""id"",""en"")"),"['Star', 'secret', 'disappointing', 'subscription', 'choice', 'nyampe']")</f>
        <v>['Star', 'secret', 'disappointing', 'subscription', 'choice', 'nyampe']</v>
      </c>
      <c r="D3020" s="3">
        <v>1.0</v>
      </c>
    </row>
    <row r="3021" ht="15.75" customHeight="1">
      <c r="A3021" s="1">
        <v>3178.0</v>
      </c>
      <c r="B3021" s="3" t="s">
        <v>2947</v>
      </c>
      <c r="C3021" s="3" t="str">
        <f>IFERROR(__xludf.DUMMYFUNCTION("GOOGLETRANSLATE(B3021,""id"",""en"")"),"['Network', 'smooth', 'Jaya']")</f>
        <v>['Network', 'smooth', 'Jaya']</v>
      </c>
      <c r="D3021" s="3">
        <v>5.0</v>
      </c>
    </row>
    <row r="3022" ht="15.75" customHeight="1">
      <c r="A3022" s="1">
        <v>3179.0</v>
      </c>
      <c r="B3022" s="3" t="s">
        <v>2948</v>
      </c>
      <c r="C3022" s="3" t="str">
        <f>IFERROR(__xludf.DUMMYFUNCTION("GOOGLETRANSLATE(B3022,""id"",""en"")"),"['Gakjelas', 'restart', 'modem', 'restart', 'modem', 'kaga', 'ngeta', 'obstacle', '']")</f>
        <v>['Gakjelas', 'restart', 'modem', 'restart', 'modem', 'kaga', 'ngeta', 'obstacle', '']</v>
      </c>
      <c r="D3022" s="3">
        <v>1.0</v>
      </c>
    </row>
    <row r="3023" ht="15.75" customHeight="1">
      <c r="A3023" s="1">
        <v>3180.0</v>
      </c>
      <c r="B3023" s="3" t="s">
        <v>2949</v>
      </c>
      <c r="C3023" s="3" t="str">
        <f>IFERROR(__xludf.DUMMYFUNCTION("GOOGLETRANSLATE(B3023,""id"",""en"")"),"['Weight', 'Open']")</f>
        <v>['Weight', 'Open']</v>
      </c>
      <c r="D3023" s="3">
        <v>1.0</v>
      </c>
    </row>
    <row r="3024" ht="15.75" customHeight="1">
      <c r="A3024" s="1">
        <v>3181.0</v>
      </c>
      <c r="B3024" s="3" t="s">
        <v>2950</v>
      </c>
      <c r="C3024" s="3" t="str">
        <f>IFERROR(__xludf.DUMMYFUNCTION("GOOGLETRANSLATE(B3024,""id"",""en"")"),"['Add', 'star', 'the application', 'slow', 'just', 'proposal', 'Mebuka', 'application', 'indihome', 'open', 'youtube', 'cook', ' The application ',' used ',' network ',' wifinya ',' really ',' appears', 'picture', 'notification', 'enter', 'sense', 'watch'"&amp;", 'youtube', 'saaaangaaaaaaat' , 'Lancaaaar', 'Please', 'Fix', '']")</f>
        <v>['Add', 'star', 'the application', 'slow', 'just', 'proposal', 'Mebuka', 'application', 'indihome', 'open', 'youtube', 'cook', ' The application ',' used ',' network ',' wifinya ',' really ',' appears', 'picture', 'notification', 'enter', 'sense', 'watch', 'youtube', 'saaaangaaaaaaat' , 'Lancaaaar', 'Please', 'Fix', '']</v>
      </c>
      <c r="D3024" s="3">
        <v>3.0</v>
      </c>
    </row>
    <row r="3025" ht="15.75" customHeight="1">
      <c r="A3025" s="1">
        <v>3182.0</v>
      </c>
      <c r="B3025" s="3" t="s">
        <v>2951</v>
      </c>
      <c r="C3025" s="3" t="str">
        <f>IFERROR(__xludf.DUMMYFUNCTION("GOOGLETRANSLATE(B3025,""id"",""en"")"),"['Wrong', 'Application', 'Worst', 'Try', 'Update', 'Data', 'Lost', 'Recorded', 'Repeated', 'Disappointed', 'Very']")</f>
        <v>['Wrong', 'Application', 'Worst', 'Try', 'Update', 'Data', 'Lost', 'Recorded', 'Repeated', 'Disappointed', 'Very']</v>
      </c>
      <c r="D3025" s="3">
        <v>1.0</v>
      </c>
    </row>
    <row r="3026" ht="15.75" customHeight="1">
      <c r="A3026" s="1">
        <v>3183.0</v>
      </c>
      <c r="B3026" s="3" t="s">
        <v>2952</v>
      </c>
      <c r="C3026" s="3" t="str">
        <f>IFERROR(__xludf.DUMMYFUNCTION("GOOGLETRANSLATE(B3026,""id"",""en"")"),"['Application', 'walk']")</f>
        <v>['Application', 'walk']</v>
      </c>
      <c r="D3026" s="3">
        <v>5.0</v>
      </c>
    </row>
    <row r="3027" ht="15.75" customHeight="1">
      <c r="A3027" s="1">
        <v>3184.0</v>
      </c>
      <c r="B3027" s="3" t="s">
        <v>2953</v>
      </c>
      <c r="C3027" s="3" t="str">
        <f>IFERROR(__xludf.DUMMYFUNCTION("GOOGLETRANSLATE(B3027,""id"",""en"")"),"['menu', 'Device', 'Connected', 'KOQ']")</f>
        <v>['menu', 'Device', 'Connected', 'KOQ']</v>
      </c>
      <c r="D3027" s="3">
        <v>2.0</v>
      </c>
    </row>
    <row r="3028" ht="15.75" customHeight="1">
      <c r="A3028" s="1">
        <v>3185.0</v>
      </c>
      <c r="B3028" s="3" t="s">
        <v>2954</v>
      </c>
      <c r="C3028" s="3" t="str">
        <f>IFERROR(__xludf.DUMMYFUNCTION("GOOGLETRANSLATE(B3028,""id"",""en"")"),"['Please', 'repaired', 'Bener', 'really', 'slow', 'usage', ""]")</f>
        <v>['Please', 'repaired', 'Bener', 'really', 'slow', 'usage', "]</v>
      </c>
      <c r="D3028" s="3">
        <v>1.0</v>
      </c>
    </row>
    <row r="3029" ht="15.75" customHeight="1">
      <c r="A3029" s="1">
        <v>3186.0</v>
      </c>
      <c r="B3029" s="3" t="s">
        <v>2955</v>
      </c>
      <c r="C3029" s="3" t="str">
        <f>IFERROR(__xludf.DUMMYFUNCTION("GOOGLETRANSLATE(B3029,""id"",""en"")"),"['application', 'disappointing', 'updated', 'good', 'destroyed', 'enter', 'hrs',' list ',' turn ',' list ',' click ',' intention ',' Work ',' kagak ',' application ',' fucek ',' ']")</f>
        <v>['application', 'disappointing', 'updated', 'good', 'destroyed', 'enter', 'hrs',' list ',' turn ',' list ',' click ',' intention ',' Work ',' kagak ',' application ',' fucek ',' ']</v>
      </c>
      <c r="D3029" s="3">
        <v>1.0</v>
      </c>
    </row>
    <row r="3030" ht="15.75" customHeight="1">
      <c r="A3030" s="1">
        <v>3187.0</v>
      </c>
      <c r="B3030" s="3" t="s">
        <v>2956</v>
      </c>
      <c r="C3030" s="3" t="str">
        <f>IFERROR(__xludf.DUMMYFUNCTION("GOOGLETRANSLATE(B3030,""id"",""en"")"),"['Since', 'Update', 'Gabisa', 'Login', 'Error', 'Mulu']")</f>
        <v>['Since', 'Update', 'Gabisa', 'Login', 'Error', 'Mulu']</v>
      </c>
      <c r="D3030" s="3">
        <v>1.0</v>
      </c>
    </row>
    <row r="3031" ht="15.75" customHeight="1">
      <c r="A3031" s="1">
        <v>3188.0</v>
      </c>
      <c r="B3031" s="3" t="s">
        <v>2957</v>
      </c>
      <c r="C3031" s="3" t="str">
        <f>IFERROR(__xludf.DUMMYFUNCTION("GOOGLETRANSLATE(B3031,""id"",""en"")"),"['INDIHOME', 'KNTL', 'PNTK']")</f>
        <v>['INDIHOME', 'KNTL', 'PNTK']</v>
      </c>
      <c r="D3031" s="3">
        <v>1.0</v>
      </c>
    </row>
    <row r="3032" ht="15.75" customHeight="1">
      <c r="A3032" s="1">
        <v>3189.0</v>
      </c>
      <c r="B3032" s="3" t="s">
        <v>2958</v>
      </c>
      <c r="C3032" s="3" t="str">
        <f>IFERROR(__xludf.DUMMYFUNCTION("GOOGLETRANSLATE(B3032,""id"",""en"")"),"['update', 'login', 'reset', 'Tampilan', 'menu', 'complicated', 'rame', 'loading', '']")</f>
        <v>['update', 'login', 'reset', 'Tampilan', 'menu', 'complicated', 'rame', 'loading', '']</v>
      </c>
      <c r="D3032" s="3">
        <v>1.0</v>
      </c>
    </row>
    <row r="3033" ht="15.75" customHeight="1">
      <c r="A3033" s="1">
        <v>3191.0</v>
      </c>
      <c r="B3033" s="3" t="s">
        <v>2959</v>
      </c>
      <c r="C3033" s="3" t="str">
        <f>IFERROR(__xludf.DUMMYFUNCTION("GOOGLETRANSLATE(B3033,""id"",""en"")"),"['difficult', 'request', 'pairs', 'already', 'clock', 'followed up', ""]")</f>
        <v>['difficult', 'request', 'pairs', 'already', 'clock', 'followed up', "]</v>
      </c>
      <c r="D3033" s="3">
        <v>1.0</v>
      </c>
    </row>
    <row r="3034" ht="15.75" customHeight="1">
      <c r="A3034" s="1">
        <v>3192.0</v>
      </c>
      <c r="B3034" s="3" t="s">
        <v>2960</v>
      </c>
      <c r="C3034" s="3" t="str">
        <f>IFERROR(__xludf.DUMMYFUNCTION("GOOGLETRANSLATE(B3034,""id"",""en"")"),"['Provider', 'poor', 'lag', 'Mulu', 'fix', 'usually', 'restart', 'restart', 'Doang', 'application', 'Performance', ' Class', 'BUMN', 'Rich', 'Gini']")</f>
        <v>['Provider', 'poor', 'lag', 'Mulu', 'fix', 'usually', 'restart', 'restart', 'Doang', 'application', 'Performance', ' Class', 'BUMN', 'Rich', 'Gini']</v>
      </c>
      <c r="D3034" s="3">
        <v>1.0</v>
      </c>
    </row>
    <row r="3035" ht="15.75" customHeight="1">
      <c r="A3035" s="1">
        <v>3193.0</v>
      </c>
      <c r="B3035" s="3" t="s">
        <v>2961</v>
      </c>
      <c r="C3035" s="3" t="str">
        <f>IFERROR(__xludf.DUMMYFUNCTION("GOOGLETRANSLATE(B3035,""id"",""en"")"),"['Since', 'update', 'use', 'internet', 'road', 'boundary', 'puf', 'looks',' jdi ',' customer ',' use ',' please ',' repair', '']")</f>
        <v>['Since', 'update', 'use', 'internet', 'road', 'boundary', 'puf', 'looks',' jdi ',' customer ',' use ',' please ',' repair', '']</v>
      </c>
      <c r="D3035" s="3">
        <v>1.0</v>
      </c>
    </row>
    <row r="3036" ht="15.75" customHeight="1">
      <c r="A3036" s="1">
        <v>3194.0</v>
      </c>
      <c r="B3036" s="3" t="s">
        <v>2962</v>
      </c>
      <c r="C3036" s="3" t="str">
        <f>IFERROR(__xludf.DUMMYFUNCTION("GOOGLETRANSLATE(B3036,""id"",""en"")"),"['Service', 'bad', 'features', 'application', 'run', 'smooth', 'loading', 'spoil', 'use', 'indihome', 'use', 'application']")</f>
        <v>['Service', 'bad', 'features', 'application', 'run', 'smooth', 'loading', 'spoil', 'use', 'indihome', 'use', 'application']</v>
      </c>
      <c r="D3036" s="3">
        <v>1.0</v>
      </c>
    </row>
    <row r="3037" ht="15.75" customHeight="1">
      <c r="A3037" s="1">
        <v>3195.0</v>
      </c>
      <c r="B3037" s="3" t="s">
        <v>2963</v>
      </c>
      <c r="C3037" s="3" t="str">
        <f>IFERROR(__xludf.DUMMYFUNCTION("GOOGLETRANSLATE(B3037,""id"",""en"")"),"['update', 'interesting', '']")</f>
        <v>['update', 'interesting', '']</v>
      </c>
      <c r="D3037" s="3">
        <v>5.0</v>
      </c>
    </row>
    <row r="3038" ht="15.75" customHeight="1">
      <c r="A3038" s="1">
        <v>3196.0</v>
      </c>
      <c r="B3038" s="3" t="s">
        <v>2964</v>
      </c>
      <c r="C3038" s="3" t="str">
        <f>IFERROR(__xludf.DUMMYFUNCTION("GOOGLETRANSLATE(B3038,""id"",""en"")"),"['APK', 'Latest', 'report', 'complaint']")</f>
        <v>['APK', 'Latest', 'report', 'complaint']</v>
      </c>
      <c r="D3038" s="3">
        <v>1.0</v>
      </c>
    </row>
    <row r="3039" ht="15.75" customHeight="1">
      <c r="A3039" s="1">
        <v>3197.0</v>
      </c>
      <c r="B3039" s="3" t="s">
        <v>2965</v>
      </c>
      <c r="C3039" s="3" t="str">
        <f>IFERROR(__xludf.DUMMYFUNCTION("GOOGLETRANSLATE(B3039,""id"",""en"")"),"['It seems', 'missing', 'lost', 'disease', 'update', 'ilang', 'information', 'data', 'users', 'login']")</f>
        <v>['It seems', 'missing', 'lost', 'disease', 'update', 'ilang', 'information', 'data', 'users', 'login']</v>
      </c>
      <c r="D3039" s="3">
        <v>1.0</v>
      </c>
    </row>
    <row r="3040" ht="15.75" customHeight="1">
      <c r="A3040" s="1">
        <v>3198.0</v>
      </c>
      <c r="B3040" s="3" t="s">
        <v>2966</v>
      </c>
      <c r="C3040" s="3" t="str">
        <f>IFERROR(__xludf.DUMMYFUNCTION("GOOGLETRANSLATE(B3040,""id"",""en"")"),"['Gatherin', 'Point', 'Redeem', 'Please', 'Fix']")</f>
        <v>['Gatherin', 'Point', 'Redeem', 'Please', 'Fix']</v>
      </c>
      <c r="D3040" s="3">
        <v>1.0</v>
      </c>
    </row>
    <row r="3041" ht="15.75" customHeight="1">
      <c r="A3041" s="1">
        <v>3199.0</v>
      </c>
      <c r="B3041" s="3" t="s">
        <v>2967</v>
      </c>
      <c r="C3041" s="3" t="str">
        <f>IFERROR(__xludf.DUMMYFUNCTION("GOOGLETRANSLATE(B3041,""id"",""en"")"),"['muanttabbb']")</f>
        <v>['muanttabbb']</v>
      </c>
      <c r="D3041" s="3">
        <v>5.0</v>
      </c>
    </row>
    <row r="3042" ht="15.75" customHeight="1">
      <c r="A3042" s="1">
        <v>3201.0</v>
      </c>
      <c r="B3042" s="3" t="s">
        <v>2968</v>
      </c>
      <c r="C3042" s="3" t="str">
        <f>IFERROR(__xludf.DUMMYFUNCTION("GOOGLETRANSLATE(B3042,""id"",""en"")"),"['loss', 'buy', 'wifi', 'ngeleg', 'mulu']")</f>
        <v>['loss', 'buy', 'wifi', 'ngeleg', 'mulu']</v>
      </c>
      <c r="D3042" s="3">
        <v>1.0</v>
      </c>
    </row>
    <row r="3043" ht="15.75" customHeight="1">
      <c r="A3043" s="1">
        <v>3202.0</v>
      </c>
      <c r="B3043" s="3" t="s">
        <v>2969</v>
      </c>
      <c r="C3043" s="3" t="str">
        <f>IFERROR(__xludf.DUMMYFUNCTION("GOOGLETRANSLATE(B3043,""id"",""en"")"),"['account', 'Nge', 'check', 'brp', 'rup', 'bill', 'paid', 'bill', 'tsb', 'trims']")</f>
        <v>['account', 'Nge', 'check', 'brp', 'rup', 'bill', 'paid', 'bill', 'tsb', 'trims']</v>
      </c>
      <c r="D3043" s="3">
        <v>5.0</v>
      </c>
    </row>
    <row r="3044" ht="15.75" customHeight="1">
      <c r="A3044" s="1">
        <v>3203.0</v>
      </c>
      <c r="B3044" s="3" t="s">
        <v>2970</v>
      </c>
      <c r="C3044" s="3" t="str">
        <f>IFERROR(__xludf.DUMMYFUNCTION("GOOGLETRANSLATE(B3044,""id"",""en"")"),"['Hopefully', 'slow', 'signal']")</f>
        <v>['Hopefully', 'slow', 'signal']</v>
      </c>
      <c r="D3044" s="3">
        <v>5.0</v>
      </c>
    </row>
    <row r="3045" ht="15.75" customHeight="1">
      <c r="A3045" s="1">
        <v>3204.0</v>
      </c>
      <c r="B3045" s="3" t="s">
        <v>2971</v>
      </c>
      <c r="C3045" s="3" t="str">
        <f>IFERROR(__xludf.DUMMYFUNCTION("GOOGLETRANSLATE(B3045,""id"",""en"")"),"['Indihome', 'rotten']")</f>
        <v>['Indihome', 'rotten']</v>
      </c>
      <c r="D3045" s="3">
        <v>1.0</v>
      </c>
    </row>
    <row r="3046" ht="15.75" customHeight="1">
      <c r="A3046" s="1">
        <v>3206.0</v>
      </c>
      <c r="B3046" s="3" t="s">
        <v>2972</v>
      </c>
      <c r="C3046" s="3" t="str">
        <f>IFERROR(__xludf.DUMMYFUNCTION("GOOGLETRANSLATE(B3046,""id"",""en"")"),"['application', 'the latest', 'most', 'advertising', 'heavy', 'application', 'ugly', 'loading', 'rich', 'connection', 'wkwkwk']")</f>
        <v>['application', 'the latest', 'most', 'advertising', 'heavy', 'application', 'ugly', 'loading', 'rich', 'connection', 'wkwkwk']</v>
      </c>
      <c r="D3046" s="3">
        <v>1.0</v>
      </c>
    </row>
    <row r="3047" ht="15.75" customHeight="1">
      <c r="A3047" s="1">
        <v>3207.0</v>
      </c>
      <c r="B3047" s="3" t="s">
        <v>2973</v>
      </c>
      <c r="C3047" s="3" t="str">
        <f>IFERROR(__xludf.DUMMYFUNCTION("GOOGLETRANSLATE(B3047,""id"",""en"")"),"['update', 'application', 'newest', 'strange', 'open', 'profile', 'already', 'pay', 'bill', 'application', 'writing', 'network', ' isolated ',' check ',' bill ',' zero ',' phone ',' he said ',' speeding ',' rich ',' brake ',' oath ',' understand ',' the a"&amp;"pplication ',' concern ' , 'menu', 'profile', 'open', '']")</f>
        <v>['update', 'application', 'newest', 'strange', 'open', 'profile', 'already', 'pay', 'bill', 'application', 'writing', 'network', ' isolated ',' check ',' bill ',' zero ',' phone ',' he said ',' speeding ',' rich ',' brake ',' oath ',' understand ',' the application ',' concern ' , 'menu', 'profile', 'open', '']</v>
      </c>
      <c r="D3047" s="3">
        <v>2.0</v>
      </c>
    </row>
    <row r="3048" ht="15.75" customHeight="1">
      <c r="A3048" s="1">
        <v>3208.0</v>
      </c>
      <c r="B3048" s="3" t="s">
        <v>2974</v>
      </c>
      <c r="C3048" s="3" t="str">
        <f>IFERROR(__xludf.DUMMYFUNCTION("GOOGLETRANSLATE(B3048,""id"",""en"")"),"['Register', 'Login', 'Seriously', 'Application', 'Real', 'Fake', ""]")</f>
        <v>['Register', 'Login', 'Seriously', 'Application', 'Real', 'Fake', "]</v>
      </c>
      <c r="D3048" s="3">
        <v>2.0</v>
      </c>
    </row>
    <row r="3049" ht="15.75" customHeight="1">
      <c r="A3049" s="1">
        <v>3209.0</v>
      </c>
      <c r="B3049" s="3" t="s">
        <v>2975</v>
      </c>
      <c r="C3049" s="3" t="str">
        <f>IFERROR(__xludf.DUMMYFUNCTION("GOOGLETRANSLATE(B3049,""id"",""en"")"),"['Please', 'Update', 'System', 'Application', 'Ngelag', 'Severe', 'Open', 'App', 'Sometimes', '']")</f>
        <v>['Please', 'Update', 'System', 'Application', 'Ngelag', 'Severe', 'Open', 'App', 'Sometimes', '']</v>
      </c>
      <c r="D3049" s="3">
        <v>1.0</v>
      </c>
    </row>
    <row r="3050" ht="15.75" customHeight="1">
      <c r="A3050" s="1">
        <v>3210.0</v>
      </c>
      <c r="B3050" s="3" t="s">
        <v>2976</v>
      </c>
      <c r="C3050" s="3" t="str">
        <f>IFERROR(__xludf.DUMMYFUNCTION("GOOGLETRANSLATE(B3050,""id"",""en"")"),"['Mending', 'replace', 'network', 'network', 'rotting', 'continue', 'ADJ', 'network', 'rotten', 'run', 'consumers']")</f>
        <v>['Mending', 'replace', 'network', 'network', 'rotting', 'continue', 'ADJ', 'network', 'rotten', 'run', 'consumers']</v>
      </c>
      <c r="D3050" s="3">
        <v>1.0</v>
      </c>
    </row>
    <row r="3051" ht="15.75" customHeight="1">
      <c r="A3051" s="1">
        <v>3211.0</v>
      </c>
      <c r="B3051" s="3" t="s">
        <v>2977</v>
      </c>
      <c r="C3051" s="3" t="str">
        <f>IFERROR(__xludf.DUMMYFUNCTION("GOOGLETRANSLATE(B3051,""id"",""en"")"),"['Indihome', 'slow', 'Internet', 'Call', 'Center', 'credit', 'reduce', 'complaints', 'consumers', 'Maybe', ""]")</f>
        <v>['Indihome', 'slow', 'Internet', 'Call', 'Center', 'credit', 'reduce', 'complaints', 'consumers', 'Maybe', "]</v>
      </c>
      <c r="D3051" s="3">
        <v>1.0</v>
      </c>
    </row>
    <row r="3052" ht="15.75" customHeight="1">
      <c r="A3052" s="1">
        <v>3212.0</v>
      </c>
      <c r="B3052" s="3" t="s">
        <v>2978</v>
      </c>
      <c r="C3052" s="3" t="str">
        <f>IFERROR(__xludf.DUMMYFUNCTION("GOOGLETRANSLATE(B3052,""id"",""en"")"),"['Please', 'Disorders',' Kabarin ',' Ngejin ',' Deadline ',' Office ',' get ',' Disruption ',' Application ',' Gabisa ',' Complaint ',' Give ',' Notifications', 'Payment', 'Doang']")</f>
        <v>['Please', 'Disorders',' Kabarin ',' Ngejin ',' Deadline ',' Office ',' get ',' Disruption ',' Application ',' Gabisa ',' Complaint ',' Give ',' Notifications', 'Payment', 'Doang']</v>
      </c>
      <c r="D3052" s="3">
        <v>1.0</v>
      </c>
    </row>
    <row r="3053" ht="15.75" customHeight="1">
      <c r="A3053" s="1">
        <v>3213.0</v>
      </c>
      <c r="B3053" s="3" t="s">
        <v>2979</v>
      </c>
      <c r="C3053" s="3" t="str">
        <f>IFERROR(__xludf.DUMMYFUNCTION("GOOGLETRANSLATE(B3053,""id"",""en"")"),"['heavy', 'after', 'update', 'responsive', 'point', 'member', 'missing', '']")</f>
        <v>['heavy', 'after', 'update', 'responsive', 'point', 'member', 'missing', '']</v>
      </c>
      <c r="D3053" s="3">
        <v>2.0</v>
      </c>
    </row>
    <row r="3054" ht="15.75" customHeight="1">
      <c r="A3054" s="1">
        <v>3214.0</v>
      </c>
      <c r="B3054" s="3" t="s">
        <v>2980</v>
      </c>
      <c r="C3054" s="3" t="str">
        <f>IFERROR(__xludf.DUMMYFUNCTION("GOOGLETRANSLATE(B3054,""id"",""en"")"),"['update', 'sndiri', 'application', 'playstore', 'skrg', 'slow', 'open', 'application', 'see', 'use', 'fup', 'deliberate', ' hidden ',' use ',' min ',' point ',' missing ',' lived ',' pdhl ',' before ',' missing ',' kmn ',' point ',' tens', 'thousand' , '"&amp;"Points',' ilang ',' update ',' application ',' purpose ',' eliminate ',' Points', 'then', 'use', 'given', 'point', ' Kayak ',' Gini ',' please ',' responded ']")</f>
        <v>['update', 'sndiri', 'application', 'playstore', 'skrg', 'slow', 'open', 'application', 'see', 'use', 'fup', 'deliberate', ' hidden ',' use ',' min ',' point ',' missing ',' lived ',' pdhl ',' before ',' missing ',' kmn ',' point ',' tens', 'thousand' , 'Points',' ilang ',' update ',' application ',' purpose ',' eliminate ',' Points', 'then', 'use', 'given', 'point', ' Kayak ',' Gini ',' please ',' responded ']</v>
      </c>
      <c r="D3054" s="3">
        <v>1.0</v>
      </c>
    </row>
    <row r="3055" ht="15.75" customHeight="1">
      <c r="A3055" s="1">
        <v>3215.0</v>
      </c>
      <c r="B3055" s="3" t="s">
        <v>2981</v>
      </c>
      <c r="C3055" s="3" t="str">
        <f>IFERROR(__xludf.DUMMYFUNCTION("GOOGLETRANSLATE(B3055,""id"",""en"")"),"['See', 'Kenu', 'Karu', 'Karuan', 'Repair', 'Watch', 'Film', 'Iflik', 'Full', 'Try', 'Enter', 'VIP', ' Help ',' input ',' account ',' input ',' account ',' tetep ',' tetep ',' input ',' account ',' I think ',' expensive ',' suitable ',' quality ' , '']")</f>
        <v>['See', 'Kenu', 'Karu', 'Karuan', 'Repair', 'Watch', 'Film', 'Iflik', 'Full', 'Try', 'Enter', 'VIP', ' Help ',' input ',' account ',' input ',' account ',' tetep ',' tetep ',' input ',' account ',' I think ',' expensive ',' suitable ',' quality ' , '']</v>
      </c>
      <c r="D3055" s="3">
        <v>1.0</v>
      </c>
    </row>
    <row r="3056" ht="15.75" customHeight="1">
      <c r="A3056" s="1">
        <v>3216.0</v>
      </c>
      <c r="B3056" s="3" t="s">
        <v>2982</v>
      </c>
      <c r="C3056" s="3" t="str">
        <f>IFERROR(__xludf.DUMMYFUNCTION("GOOGLETRANSLATE(B3056,""id"",""en"")"),"['hard', 'upgrade', 'speed', 'stable', '']")</f>
        <v>['hard', 'upgrade', 'speed', 'stable', '']</v>
      </c>
      <c r="D3056" s="3">
        <v>1.0</v>
      </c>
    </row>
    <row r="3057" ht="15.75" customHeight="1">
      <c r="A3057" s="1">
        <v>3217.0</v>
      </c>
      <c r="B3057" s="3" t="s">
        <v>2983</v>
      </c>
      <c r="C3057" s="3" t="str">
        <f>IFERROR(__xludf.DUMMYFUNCTION("GOOGLETRANSLATE(B3057,""id"",""en"")"),"['KNPA', 'apps', 'bise', 'checked', 'use', 'quota']")</f>
        <v>['KNPA', 'apps', 'bise', 'checked', 'use', 'quota']</v>
      </c>
      <c r="D3057" s="3">
        <v>2.0</v>
      </c>
    </row>
    <row r="3058" ht="15.75" customHeight="1">
      <c r="A3058" s="1">
        <v>3218.0</v>
      </c>
      <c r="B3058" s="3" t="s">
        <v>2984</v>
      </c>
      <c r="C3058" s="3" t="str">
        <f>IFERROR(__xludf.DUMMYFUNCTION("GOOGLETRANSLATE(B3058,""id"",""en"")"),"['complicated']")</f>
        <v>['complicated']</v>
      </c>
      <c r="D3058" s="3">
        <v>1.0</v>
      </c>
    </row>
    <row r="3059" ht="15.75" customHeight="1">
      <c r="A3059" s="1">
        <v>3219.0</v>
      </c>
      <c r="B3059" s="3" t="s">
        <v>2985</v>
      </c>
      <c r="C3059" s="3" t="str">
        <f>IFERROR(__xludf.DUMMYFUNCTION("GOOGLETRANSLATE(B3059,""id"",""en"")"),"['Good', 'Advantage', 'Application', 'Tuker', 'Points',' Use ',' Code ',' Look ',' Bill ',' Details', 'user', 'friendly', ' ']")</f>
        <v>['Good', 'Advantage', 'Application', 'Tuker', 'Points',' Use ',' Code ',' Look ',' Bill ',' Details', 'user', 'friendly', ' ']</v>
      </c>
      <c r="D3059" s="3">
        <v>5.0</v>
      </c>
    </row>
    <row r="3060" ht="15.75" customHeight="1">
      <c r="A3060" s="1">
        <v>3220.0</v>
      </c>
      <c r="B3060" s="3" t="s">
        <v>2986</v>
      </c>
      <c r="C3060" s="3" t="str">
        <f>IFERROR(__xludf.DUMMYFUNCTION("GOOGLETRANSLATE(B3060,""id"",""en"")"),"['Lemot', 'Features', 'Service', 'RUWET']")</f>
        <v>['Lemot', 'Features', 'Service', 'RUWET']</v>
      </c>
      <c r="D3060" s="3">
        <v>1.0</v>
      </c>
    </row>
    <row r="3061" ht="15.75" customHeight="1">
      <c r="A3061" s="1">
        <v>3221.0</v>
      </c>
      <c r="B3061" s="3" t="s">
        <v>2987</v>
      </c>
      <c r="C3061" s="3" t="str">
        <f>IFERROR(__xludf.DUMMYFUNCTION("GOOGLETRANSLATE(B3061,""id"",""en"")"),"['Please', 'Lahh', 'signal', 'Bgusin', 'LGii', 'Masaia', 'Udh', 'Cape', 'Pay', 'expensive', 'Ehh', 'signal', ' kek ',' taekk ',' made ',' person ',' kesell ',' hrii ',' jringan ',' pretentious', 'elite', ""]")</f>
        <v>['Please', 'Lahh', 'signal', 'Bgusin', 'LGii', 'Masaia', 'Udh', 'Cape', 'Pay', 'expensive', 'Ehh', 'signal', ' kek ',' taekk ',' made ',' person ',' kesell ',' hrii ',' jringan ',' pretentious', 'elite', "]</v>
      </c>
      <c r="D3061" s="3">
        <v>1.0</v>
      </c>
    </row>
    <row r="3062" ht="15.75" customHeight="1">
      <c r="A3062" s="1">
        <v>3222.0</v>
      </c>
      <c r="B3062" s="3" t="s">
        <v>2988</v>
      </c>
      <c r="C3062" s="3" t="str">
        <f>IFERROR(__xludf.DUMMYFUNCTION("GOOGLETRANSLATE(B3062,""id"",""en"")"),"['Internet', 'slow', 'stable', 'application', 'ugly', 'chat', 'admin']")</f>
        <v>['Internet', 'slow', 'stable', 'application', 'ugly', 'chat', 'admin']</v>
      </c>
      <c r="D3062" s="3">
        <v>1.0</v>
      </c>
    </row>
    <row r="3063" ht="15.75" customHeight="1">
      <c r="A3063" s="1">
        <v>3223.0</v>
      </c>
      <c r="B3063" s="3" t="s">
        <v>2989</v>
      </c>
      <c r="C3063" s="3" t="str">
        <f>IFERROR(__xludf.DUMMYFUNCTION("GOOGLETRANSLATE(B3063,""id"",""en"")"),"['hard', 'network', 'Indihome', 'since' since 'pairs',' network ',' prah ',' stable ',' pay ',' smooth ',' TPI ',' result ',' satisfying']")</f>
        <v>['hard', 'network', 'Indihome', 'since' since 'pairs',' network ',' prah ',' stable ',' pay ',' smooth ',' TPI ',' result ',' satisfying']</v>
      </c>
      <c r="D3063" s="3">
        <v>1.0</v>
      </c>
    </row>
    <row r="3064" ht="15.75" customHeight="1">
      <c r="A3064" s="1">
        <v>3224.0</v>
      </c>
      <c r="B3064" s="3" t="s">
        <v>2990</v>
      </c>
      <c r="C3064" s="3" t="str">
        <f>IFERROR(__xludf.DUMMYFUNCTION("GOOGLETRANSLATE(B3064,""id"",""en"")"),"['The application', 'heavy', 'really', 'severe', '']")</f>
        <v>['The application', 'heavy', 'really', 'severe', '']</v>
      </c>
      <c r="D3064" s="3">
        <v>2.0</v>
      </c>
    </row>
    <row r="3065" ht="15.75" customHeight="1">
      <c r="A3065" s="1">
        <v>3225.0</v>
      </c>
      <c r="B3065" s="3" t="s">
        <v>2991</v>
      </c>
      <c r="C3065" s="3" t="str">
        <f>IFERROR(__xludf.DUMMYFUNCTION("GOOGLETRANSLATE(B3065,""id"",""en"")"),"['See', 'Bill', 'Details', 'Users', 'Friendly']")</f>
        <v>['See', 'Bill', 'Details', 'Users', 'Friendly']</v>
      </c>
      <c r="D3065" s="3">
        <v>5.0</v>
      </c>
    </row>
    <row r="3066" ht="15.75" customHeight="1">
      <c r="A3066" s="1">
        <v>3226.0</v>
      </c>
      <c r="B3066" s="3" t="s">
        <v>2992</v>
      </c>
      <c r="C3066" s="3" t="str">
        <f>IFERROR(__xludf.DUMMYFUNCTION("GOOGLETRANSLATE(B3066,""id"",""en"")"),"['application', 'user', 'friendly', 'see', 'bill', 'detail', '']")</f>
        <v>['application', 'user', 'friendly', 'see', 'bill', 'detail', '']</v>
      </c>
      <c r="D3066" s="3">
        <v>5.0</v>
      </c>
    </row>
    <row r="3067" ht="15.75" customHeight="1">
      <c r="A3067" s="1">
        <v>3227.0</v>
      </c>
      <c r="B3067" s="3" t="s">
        <v>2993</v>
      </c>
      <c r="C3067" s="3" t="str">
        <f>IFERROR(__xludf.DUMMYFUNCTION("GOOGLETRANSLATE(B3067,""id"",""en"")"),"['Kerenn', 'really', 'Tuker', 'Points', '']")</f>
        <v>['Kerenn', 'really', 'Tuker', 'Points', '']</v>
      </c>
      <c r="D3067" s="3">
        <v>5.0</v>
      </c>
    </row>
    <row r="3068" ht="15.75" customHeight="1">
      <c r="A3068" s="1">
        <v>3228.0</v>
      </c>
      <c r="B3068" s="3" t="s">
        <v>2994</v>
      </c>
      <c r="C3068" s="3" t="str">
        <f>IFERROR(__xludf.DUMMYFUNCTION("GOOGLETRANSLATE(B3068,""id"",""en"")"),"['Please', 'Chat', 'Indita', 'Professional', 'Chat', 'Story', 'Repeated', 'Response', 'Change', 'People', 'explained', 'repeated', ' Come on ',' BUMN ']")</f>
        <v>['Please', 'Chat', 'Indita', 'Professional', 'Chat', 'Story', 'Repeated', 'Response', 'Change', 'People', 'explained', 'repeated', ' Come on ',' BUMN ']</v>
      </c>
      <c r="D3068" s="3">
        <v>1.0</v>
      </c>
    </row>
    <row r="3069" ht="15.75" customHeight="1">
      <c r="A3069" s="1">
        <v>3229.0</v>
      </c>
      <c r="B3069" s="3" t="s">
        <v>2995</v>
      </c>
      <c r="C3069" s="3" t="str">
        <f>IFERROR(__xludf.DUMMYFUNCTION("GOOGLETRANSLATE(B3069,""id"",""en"")"),"['Application', 'Help', 'See', 'Bill', 'Details', '']")</f>
        <v>['Application', 'Help', 'See', 'Bill', 'Details', '']</v>
      </c>
      <c r="D3069" s="3">
        <v>5.0</v>
      </c>
    </row>
    <row r="3070" ht="15.75" customHeight="1">
      <c r="A3070" s="1">
        <v>3230.0</v>
      </c>
      <c r="B3070" s="3" t="s">
        <v>2996</v>
      </c>
      <c r="C3070" s="3" t="str">
        <f>IFERROR(__xludf.DUMMYFUNCTION("GOOGLETRANSLATE(B3070,""id"",""en"")"),"['Good', 'APK', 'Make Easy', 'Customer', '']")</f>
        <v>['Good', 'APK', 'Make Easy', 'Customer', '']</v>
      </c>
      <c r="D3070" s="3">
        <v>5.0</v>
      </c>
    </row>
    <row r="3071" ht="15.75" customHeight="1">
      <c r="A3071" s="1">
        <v>3231.0</v>
      </c>
      <c r="B3071" s="3" t="s">
        <v>2997</v>
      </c>
      <c r="C3071" s="3" t="str">
        <f>IFERROR(__xludf.DUMMYFUNCTION("GOOGLETRANSLATE(B3071,""id"",""en"")"),"['update', 'skrg', 'slow', 'see', 'Fup', 'Load']")</f>
        <v>['update', 'skrg', 'slow', 'see', 'Fup', 'Load']</v>
      </c>
      <c r="D3071" s="3">
        <v>1.0</v>
      </c>
    </row>
    <row r="3072" ht="15.75" customHeight="1">
      <c r="A3072" s="1">
        <v>3233.0</v>
      </c>
      <c r="B3072" s="3" t="s">
        <v>2998</v>
      </c>
      <c r="C3072" s="3" t="str">
        <f>IFERROR(__xludf.DUMMYFUNCTION("GOOGLETRANSLATE(B3072,""id"",""en"")"),"['user', 'Friendly', '']")</f>
        <v>['user', 'Friendly', '']</v>
      </c>
      <c r="D3072" s="3">
        <v>5.0</v>
      </c>
    </row>
    <row r="3073" ht="15.75" customHeight="1">
      <c r="A3073" s="1">
        <v>3234.0</v>
      </c>
      <c r="B3073" s="3" t="s">
        <v>2999</v>
      </c>
      <c r="C3073" s="3" t="str">
        <f>IFERROR(__xludf.DUMMYFUNCTION("GOOGLETRANSLATE(B3073,""id"",""en"")"),"['Cool', 'Bangettt', 'Tuker', 'Points', '']")</f>
        <v>['Cool', 'Bangettt', 'Tuker', 'Points', '']</v>
      </c>
      <c r="D3073" s="3">
        <v>5.0</v>
      </c>
    </row>
    <row r="3074" ht="15.75" customHeight="1">
      <c r="A3074" s="1">
        <v>3235.0</v>
      </c>
      <c r="B3074" s="3" t="s">
        <v>3000</v>
      </c>
      <c r="C3074" s="3" t="str">
        <f>IFERROR(__xludf.DUMMYFUNCTION("GOOGLETRANSLATE(B3074,""id"",""en"")"),"['Cool', 'really', 'help', 'makes it easy', 'user', 'bill', 'detail']")</f>
        <v>['Cool', 'really', 'help', 'makes it easy', 'user', 'bill', 'detail']</v>
      </c>
      <c r="D3074" s="3">
        <v>5.0</v>
      </c>
    </row>
    <row r="3075" ht="15.75" customHeight="1">
      <c r="A3075" s="1">
        <v>3237.0</v>
      </c>
      <c r="B3075" s="3" t="s">
        <v>3001</v>
      </c>
      <c r="C3075" s="3" t="str">
        <f>IFERROR(__xludf.DUMMYFUNCTION("GOOGLETRANSLATE(B3075,""id"",""en"")"),"['USE', 'Friendly']")</f>
        <v>['USE', 'Friendly']</v>
      </c>
      <c r="D3075" s="3">
        <v>5.0</v>
      </c>
    </row>
    <row r="3076" ht="15.75" customHeight="1">
      <c r="A3076" s="1">
        <v>3238.0</v>
      </c>
      <c r="B3076" s="3" t="s">
        <v>3002</v>
      </c>
      <c r="C3076" s="3" t="str">
        <f>IFERROR(__xludf.DUMMYFUNCTION("GOOGLETRANSLATE(B3076,""id"",""en"")"),"['Display', 'Indihome', 'ugly', 'heavy', 'slow', 'open', 'the application']")</f>
        <v>['Display', 'Indihome', 'ugly', 'heavy', 'slow', 'open', 'the application']</v>
      </c>
      <c r="D3076" s="3">
        <v>1.0</v>
      </c>
    </row>
    <row r="3077" ht="15.75" customHeight="1">
      <c r="A3077" s="1">
        <v>3239.0</v>
      </c>
      <c r="B3077" s="3" t="s">
        <v>2984</v>
      </c>
      <c r="C3077" s="3" t="str">
        <f>IFERROR(__xludf.DUMMYFUNCTION("GOOGLETRANSLATE(B3077,""id"",""en"")"),"['complicated']")</f>
        <v>['complicated']</v>
      </c>
      <c r="D3077" s="3">
        <v>4.0</v>
      </c>
    </row>
    <row r="3078" ht="15.75" customHeight="1">
      <c r="A3078" s="1">
        <v>3240.0</v>
      </c>
      <c r="B3078" s="3" t="s">
        <v>3003</v>
      </c>
      <c r="C3078" s="3" t="str">
        <f>IFERROR(__xludf.DUMMYFUNCTION("GOOGLETRANSLATE(B3078,""id"",""en"")"),"['', 'application', 'report', 'repair', 'finished', 'connection', 'internet', 'hmmm']")</f>
        <v>['', 'application', 'report', 'repair', 'finished', 'connection', 'internet', 'hmmm']</v>
      </c>
      <c r="D3078" s="3">
        <v>3.0</v>
      </c>
    </row>
    <row r="3079" ht="15.75" customHeight="1">
      <c r="A3079" s="1">
        <v>3241.0</v>
      </c>
      <c r="B3079" s="3" t="s">
        <v>3004</v>
      </c>
      <c r="C3079" s="3" t="str">
        <f>IFERROR(__xludf.DUMMYFUNCTION("GOOGLETRANSLATE(B3079,""id"",""en"")"),"['wahhh', 'makes it easy', 'mantab']")</f>
        <v>['wahhh', 'makes it easy', 'mantab']</v>
      </c>
      <c r="D3079" s="3">
        <v>5.0</v>
      </c>
    </row>
    <row r="3080" ht="15.75" customHeight="1">
      <c r="A3080" s="1">
        <v>3242.0</v>
      </c>
      <c r="B3080" s="3" t="s">
        <v>3005</v>
      </c>
      <c r="C3080" s="3" t="str">
        <f>IFERROR(__xludf.DUMMYFUNCTION("GOOGLETRANSLATE(B3080,""id"",""en"")"),"['difficult', 'access', 'most', 'error']")</f>
        <v>['difficult', 'access', 'most', 'error']</v>
      </c>
      <c r="D3080" s="3">
        <v>1.0</v>
      </c>
    </row>
    <row r="3081" ht="15.75" customHeight="1">
      <c r="A3081" s="1">
        <v>3243.0</v>
      </c>
      <c r="B3081" s="3" t="s">
        <v>3006</v>
      </c>
      <c r="C3081" s="3" t="str">
        <f>IFERROR(__xludf.DUMMYFUNCTION("GOOGLETRANSLATE(B3081,""id"",""en"")"),"['sorry', 'star', 'registration', 'pairs',' until ',' news', 'technician', 'dateng', 'call', 'number', 'told', 'waiting', ' The results', 'UDH', 'MUST', 'MAKE', 'SALES', 'Gercep', ""]")</f>
        <v>['sorry', 'star', 'registration', 'pairs',' until ',' news', 'technician', 'dateng', 'call', 'number', 'told', 'waiting', ' The results', 'UDH', 'MUST', 'MAKE', 'SALES', 'Gercep', "]</v>
      </c>
      <c r="D3081" s="3">
        <v>2.0</v>
      </c>
    </row>
    <row r="3082" ht="15.75" customHeight="1">
      <c r="A3082" s="1">
        <v>3244.0</v>
      </c>
      <c r="B3082" s="3" t="s">
        <v>3007</v>
      </c>
      <c r="C3082" s="3" t="str">
        <f>IFERROR(__xludf.DUMMYFUNCTION("GOOGLETRANSLATE(B3082,""id"",""en"")"),"['Application', 'Caskek', 'use', 'data', 'info', 'promo', 'promo', 'myindihome']")</f>
        <v>['Application', 'Caskek', 'use', 'data', 'info', 'promo', 'promo', 'myindihome']</v>
      </c>
      <c r="D3082" s="3">
        <v>5.0</v>
      </c>
    </row>
    <row r="3083" ht="15.75" customHeight="1">
      <c r="A3083" s="1">
        <v>3245.0</v>
      </c>
      <c r="B3083" s="3" t="s">
        <v>3008</v>
      </c>
      <c r="C3083" s="3" t="str">
        <f>IFERROR(__xludf.DUMMYFUNCTION("GOOGLETRANSLATE(B3083,""id"",""en"")"),"['APK', 'Slow', 'response', 'darling', 'replace', 'passwore', 'wifi', 'direct', 'apk', 'hope', 'enter', ' Web ',' Web ',' Ribet ',' ']")</f>
        <v>['APK', 'Slow', 'response', 'darling', 'replace', 'passwore', 'wifi', 'direct', 'apk', 'hope', 'enter', ' Web ',' Web ',' Ribet ',' ']</v>
      </c>
      <c r="D3083" s="3">
        <v>2.0</v>
      </c>
    </row>
    <row r="3084" ht="15.75" customHeight="1">
      <c r="A3084" s="1">
        <v>3246.0</v>
      </c>
      <c r="B3084" s="3" t="s">
        <v>3009</v>
      </c>
      <c r="C3084" s="3" t="str">
        <f>IFERROR(__xludf.DUMMYFUNCTION("GOOGLETRANSLATE(B3084,""id"",""en"")"),"['Update', 'Login', 'account', 'hmmmm']")</f>
        <v>['Update', 'Login', 'account', 'hmmmm']</v>
      </c>
      <c r="D3084" s="3">
        <v>1.0</v>
      </c>
    </row>
    <row r="3085" ht="15.75" customHeight="1">
      <c r="A3085" s="1">
        <v>3247.0</v>
      </c>
      <c r="B3085" s="3" t="s">
        <v>3010</v>
      </c>
      <c r="C3085" s="3" t="str">
        <f>IFERROR(__xludf.DUMMYFUNCTION("GOOGLETRANSLATE(B3085,""id"",""en"")"),"['', 'BSA', 'enter', 'Register', 'said', 'Blum', 'DFTAR', 'DBIngi', 'list']")</f>
        <v>['', 'BSA', 'enter', 'Register', 'said', 'Blum', 'DFTAR', 'DBIngi', 'list']</v>
      </c>
      <c r="D3085" s="3">
        <v>1.0</v>
      </c>
    </row>
    <row r="3086" ht="15.75" customHeight="1">
      <c r="A3086" s="1">
        <v>3250.0</v>
      </c>
      <c r="B3086" s="3" t="s">
        <v>3011</v>
      </c>
      <c r="C3086" s="3" t="str">
        <f>IFERROR(__xludf.DUMMYFUNCTION("GOOGLETRANSLATE(B3086,""id"",""en"")"),"['application', 'heavy', 'application', '']")</f>
        <v>['application', 'heavy', 'application', '']</v>
      </c>
      <c r="D3086" s="3">
        <v>3.0</v>
      </c>
    </row>
    <row r="3087" ht="15.75" customHeight="1">
      <c r="A3087" s="1">
        <v>3251.0</v>
      </c>
      <c r="B3087" s="3" t="s">
        <v>3012</v>
      </c>
      <c r="C3087" s="3" t="str">
        <f>IFERROR(__xludf.DUMMYFUNCTION("GOOGLETRANSLATE(B3087,""id"",""en"")"),"['Wihhh', 'Cool', 'Poll', 'Application', 'Exchange', 'Points', 'Lohh', 'Yukkk', 'User', 'Friendly', ""]")</f>
        <v>['Wihhh', 'Cool', 'Poll', 'Application', 'Exchange', 'Points', 'Lohh', 'Yukkk', 'User', 'Friendly', "]</v>
      </c>
      <c r="D3087" s="3">
        <v>5.0</v>
      </c>
    </row>
    <row r="3088" ht="15.75" customHeight="1">
      <c r="A3088" s="1">
        <v>3252.0</v>
      </c>
      <c r="B3088" s="3" t="s">
        <v>3013</v>
      </c>
      <c r="C3088" s="3" t="str">
        <f>IFERROR(__xludf.DUMMYFUNCTION("GOOGLETRANSLATE(B3088,""id"",""en"")"),"['Service', 'Bad', 'Report', 'Remote', 'Fix', 'Center', 'Side', 'Network', 'Report', 'Litu', 'Morning', 'Officer', ' the admin ',' officer ',' bring ',' remote ',' clock ',' officer ',' field ',' thank ',' report ',' ticket ',' clock ',' determine ',' off"&amp;"icer ' , 'home', 'Costumer', 'officer', 'his field', 'receive', 'ticket', 'reporting', 'work', 'like', 'SOP', ""]")</f>
        <v>['Service', 'Bad', 'Report', 'Remote', 'Fix', 'Center', 'Side', 'Network', 'Report', 'Litu', 'Morning', 'Officer', ' the admin ',' officer ',' bring ',' remote ',' clock ',' officer ',' field ',' thank ',' report ',' ticket ',' clock ',' determine ',' officer ' , 'home', 'Costumer', 'officer', 'his field', 'receive', 'ticket', 'reporting', 'work', 'like', 'SOP', "]</v>
      </c>
      <c r="D3088" s="3">
        <v>1.0</v>
      </c>
    </row>
    <row r="3089" ht="15.75" customHeight="1">
      <c r="A3089" s="1">
        <v>3253.0</v>
      </c>
      <c r="B3089" s="3" t="s">
        <v>3014</v>
      </c>
      <c r="C3089" s="3" t="str">
        <f>IFERROR(__xludf.DUMMYFUNCTION("GOOGLETRANSLATE(B3089,""id"",""en"")"),"['bad connection']")</f>
        <v>['bad connection']</v>
      </c>
      <c r="D3089" s="3">
        <v>1.0</v>
      </c>
    </row>
    <row r="3090" ht="15.75" customHeight="1">
      <c r="A3090" s="1">
        <v>3254.0</v>
      </c>
      <c r="B3090" s="3" t="s">
        <v>3015</v>
      </c>
      <c r="C3090" s="3" t="str">
        <f>IFERROR(__xludf.DUMMYFUNCTION("GOOGLETRANSLATE(B3090,""id"",""en"")"),"['Koq', 'Login']")</f>
        <v>['Koq', 'Login']</v>
      </c>
      <c r="D3090" s="3">
        <v>5.0</v>
      </c>
    </row>
    <row r="3091" ht="15.75" customHeight="1">
      <c r="A3091" s="1">
        <v>3255.0</v>
      </c>
      <c r="B3091" s="3" t="s">
        <v>3016</v>
      </c>
      <c r="C3091" s="3" t="str">
        <f>IFERROR(__xludf.DUMMYFUNCTION("GOOGLETRANSLATE(B3091,""id"",""en"")"),"['Network', 'good']")</f>
        <v>['Network', 'good']</v>
      </c>
      <c r="D3091" s="3">
        <v>5.0</v>
      </c>
    </row>
    <row r="3092" ht="15.75" customHeight="1">
      <c r="A3092" s="1">
        <v>3256.0</v>
      </c>
      <c r="B3092" s="3" t="s">
        <v>3017</v>
      </c>
      <c r="C3092" s="3" t="str">
        <f>IFERROR(__xludf.DUMMYFUNCTION("GOOGLETRANSLATE(B3092,""id"",""en"")"),"['The application', 'Heavy', 'Sampe', 'Loading', 'Try', 'Application', 'Karna', 'Customer', 'Indihome', 'Spec', 'Karna', 'Game', ' online ',' heavy ',' menu ',' light ',' use ',' update ',' weight ',' increase ',' tlg ',' new ', ""]")</f>
        <v>['The application', 'Heavy', 'Sampe', 'Loading', 'Try', 'Application', 'Karna', 'Customer', 'Indihome', 'Spec', 'Karna', 'Game', ' online ',' heavy ',' menu ',' light ',' use ',' update ',' weight ',' increase ',' tlg ',' new ', "]</v>
      </c>
      <c r="D3092" s="3">
        <v>1.0</v>
      </c>
    </row>
    <row r="3093" ht="15.75" customHeight="1">
      <c r="A3093" s="1">
        <v>3257.0</v>
      </c>
      <c r="B3093" s="3" t="s">
        <v>3018</v>
      </c>
      <c r="C3093" s="3" t="str">
        <f>IFERROR(__xludf.DUMMYFUNCTION("GOOGLETRANSLATE(B3093,""id"",""en"")"),"['Facilitates', 'Tracking', 'Network', 'Check', 'Bill', 'User']")</f>
        <v>['Facilitates', 'Tracking', 'Network', 'Check', 'Bill', 'User']</v>
      </c>
      <c r="D3093" s="3">
        <v>5.0</v>
      </c>
    </row>
    <row r="3094" ht="15.75" customHeight="1">
      <c r="A3094" s="1">
        <v>3258.0</v>
      </c>
      <c r="B3094" s="3" t="s">
        <v>3019</v>
      </c>
      <c r="C3094" s="3" t="str">
        <f>IFERROR(__xludf.DUMMYFUNCTION("GOOGLETRANSLATE(B3094,""id"",""en"")"),"['menu', 'report', 'wifi', 'loss']")</f>
        <v>['menu', 'report', 'wifi', 'loss']</v>
      </c>
      <c r="D3094" s="3">
        <v>1.0</v>
      </c>
    </row>
    <row r="3095" ht="15.75" customHeight="1">
      <c r="A3095" s="1">
        <v>3259.0</v>
      </c>
      <c r="B3095" s="3" t="s">
        <v>3020</v>
      </c>
      <c r="C3095" s="3" t="str">
        <f>IFERROR(__xludf.DUMMYFUNCTION("GOOGLETRANSLATE(B3095,""id"",""en"")"),"['Good', 'The application', 'makes it easy', 'Candidate', 'Customer', 'Registration', 'Order', 'Service']")</f>
        <v>['Good', 'The application', 'makes it easy', 'Candidate', 'Customer', 'Registration', 'Order', 'Service']</v>
      </c>
      <c r="D3095" s="3">
        <v>5.0</v>
      </c>
    </row>
    <row r="3096" ht="15.75" customHeight="1">
      <c r="A3096" s="1">
        <v>3260.0</v>
      </c>
      <c r="B3096" s="3" t="s">
        <v>3021</v>
      </c>
      <c r="C3096" s="3" t="str">
        <f>IFERROR(__xludf.DUMMYFUNCTION("GOOGLETRANSLATE(B3096,""id"",""en"")"),"['application', 'good', 'really']")</f>
        <v>['application', 'good', 'really']</v>
      </c>
      <c r="D3096" s="3">
        <v>5.0</v>
      </c>
    </row>
    <row r="3097" ht="15.75" customHeight="1">
      <c r="A3097" s="1">
        <v>3261.0</v>
      </c>
      <c r="B3097" s="3" t="s">
        <v>3022</v>
      </c>
      <c r="C3097" s="3" t="str">
        <f>IFERROR(__xludf.DUMMYFUNCTION("GOOGLETRANSLATE(B3097,""id"",""en"")"),"['easy', 'user', 'friendly', 'really', 'see', 'bill', 'directly', 'also', 'basically', 'help', 'den']")</f>
        <v>['easy', 'user', 'friendly', 'really', 'see', 'bill', 'directly', 'also', 'basically', 'help', 'den']</v>
      </c>
      <c r="D3097" s="3">
        <v>5.0</v>
      </c>
    </row>
    <row r="3098" ht="15.75" customHeight="1">
      <c r="A3098" s="1">
        <v>3262.0</v>
      </c>
      <c r="B3098" s="3" t="s">
        <v>3023</v>
      </c>
      <c r="C3098" s="3" t="str">
        <f>IFERROR(__xludf.DUMMYFUNCTION("GOOGLETRANSLATE(B3098,""id"",""en"")"),"['Application', 'right', 'checked', 'bills', 'etc.', 'error', 'Please', 'fix']")</f>
        <v>['Application', 'right', 'checked', 'bills', 'etc.', 'error', 'Please', 'fix']</v>
      </c>
      <c r="D3098" s="3">
        <v>1.0</v>
      </c>
    </row>
    <row r="3099" ht="15.75" customHeight="1">
      <c r="A3099" s="1">
        <v>3263.0</v>
      </c>
      <c r="B3099" s="3" t="s">
        <v>3024</v>
      </c>
      <c r="C3099" s="3" t="str">
        <f>IFERROR(__xludf.DUMMYFUNCTION("GOOGLETRANSLATE(B3099,""id"",""en"")"),"['update', 'application', 'lag']")</f>
        <v>['update', 'application', 'lag']</v>
      </c>
      <c r="D3099" s="3">
        <v>3.0</v>
      </c>
    </row>
    <row r="3100" ht="15.75" customHeight="1">
      <c r="A3100" s="1">
        <v>3264.0</v>
      </c>
      <c r="B3100" s="3" t="s">
        <v>3025</v>
      </c>
      <c r="C3100" s="3" t="str">
        <f>IFERROR(__xludf.DUMMYFUNCTION("GOOGLETRANSLATE(B3100,""id"",""en"")"),"['Please', 'answered', 'why', 'komakak', 'pahamm', 'kokgak', 'entered', 'sihhh']")</f>
        <v>['Please', 'answered', 'why', 'komakak', 'pahamm', 'kokgak', 'entered', 'sihhh']</v>
      </c>
      <c r="D3100" s="3">
        <v>3.0</v>
      </c>
    </row>
    <row r="3101" ht="15.75" customHeight="1">
      <c r="A3101" s="1">
        <v>3265.0</v>
      </c>
      <c r="B3101" s="3" t="s">
        <v>3026</v>
      </c>
      <c r="C3101" s="3" t="str">
        <f>IFERROR(__xludf.DUMMYFUNCTION("GOOGLETRANSLATE(B3101,""id"",""en"")"),"['apk', 'indihome', 'help', 'makes it easier', 'service', 'ngak', 'binung', 'binung', 'see', 'his bill', 'steady']")</f>
        <v>['apk', 'indihome', 'help', 'makes it easier', 'service', 'ngak', 'binung', 'binung', 'see', 'his bill', 'steady']</v>
      </c>
      <c r="D3101" s="3">
        <v>5.0</v>
      </c>
    </row>
    <row r="3102" ht="15.75" customHeight="1">
      <c r="A3102" s="1">
        <v>3266.0</v>
      </c>
      <c r="B3102" s="3" t="s">
        <v>3027</v>
      </c>
      <c r="C3102" s="3" t="str">
        <f>IFERROR(__xludf.DUMMYFUNCTION("GOOGLETRANSLATE(B3102,""id"",""en"")"),"['Service', 'ugly', 'really', 'report', 'internet', 'via', 'application', 'repair', ""]")</f>
        <v>['Service', 'ugly', 'really', 'report', 'internet', 'via', 'application', 'repair', "]</v>
      </c>
      <c r="D3102" s="3">
        <v>1.0</v>
      </c>
    </row>
    <row r="3103" ht="15.75" customHeight="1">
      <c r="A3103" s="1">
        <v>3267.0</v>
      </c>
      <c r="B3103" s="3" t="s">
        <v>3028</v>
      </c>
      <c r="C3103" s="3" t="str">
        <f>IFERROR(__xludf.DUMMYFUNCTION("GOOGLETRANSLATE(B3103,""id"",""en"")"),"['update', 'difficult', 'enter', 'enter', 'email', 'enter', 'anjrittt', 'use', 'the application']")</f>
        <v>['update', 'difficult', 'enter', 'enter', 'email', 'enter', 'anjrittt', 'use', 'the application']</v>
      </c>
      <c r="D3103" s="3">
        <v>1.0</v>
      </c>
    </row>
    <row r="3104" ht="15.75" customHeight="1">
      <c r="A3104" s="1">
        <v>3268.0</v>
      </c>
      <c r="B3104" s="3" t="s">
        <v>3029</v>
      </c>
      <c r="C3104" s="3" t="str">
        <f>IFERROR(__xludf.DUMMYFUNCTION("GOOGLETRANSLATE(B3104,""id"",""en"")"),"['Internet', 'Connect', 'for days', 'settlement', 'Call', 'repeat', 'times', 'Tetep', 'repaired', 'until', 'finished', 'pulses']")</f>
        <v>['Internet', 'Connect', 'for days', 'settlement', 'Call', 'repeat', 'times', 'Tetep', 'repaired', 'until', 'finished', 'pulses']</v>
      </c>
      <c r="D3104" s="3">
        <v>1.0</v>
      </c>
    </row>
    <row r="3105" ht="15.75" customHeight="1">
      <c r="A3105" s="1">
        <v>3269.0</v>
      </c>
      <c r="B3105" s="3" t="s">
        <v>3030</v>
      </c>
      <c r="C3105" s="3" t="str">
        <f>IFERROR(__xludf.DUMMYFUNCTION("GOOGLETRANSLATE(B3105,""id"",""en"")"),"['Good', 'menu', 'user', 'interface', '']")</f>
        <v>['Good', 'menu', 'user', 'interface', '']</v>
      </c>
      <c r="D3105" s="3">
        <v>5.0</v>
      </c>
    </row>
    <row r="3106" ht="15.75" customHeight="1">
      <c r="A3106" s="1">
        <v>3270.0</v>
      </c>
      <c r="B3106" s="3" t="s">
        <v>3031</v>
      </c>
      <c r="C3106" s="3" t="str">
        <f>IFERROR(__xludf.DUMMYFUNCTION("GOOGLETRANSLATE(B3106,""id"",""en"")"),"['connection', 'stable', 'already', 'some', 'times', 'complain', 'broadcast', 'reduced']")</f>
        <v>['connection', 'stable', 'already', 'some', 'times', 'complain', 'broadcast', 'reduced']</v>
      </c>
      <c r="D3106" s="3">
        <v>1.0</v>
      </c>
    </row>
    <row r="3107" ht="15.75" customHeight="1">
      <c r="A3107" s="1">
        <v>3271.0</v>
      </c>
      <c r="B3107" s="3" t="s">
        <v>3032</v>
      </c>
      <c r="C3107" s="3" t="str">
        <f>IFERROR(__xludf.DUMMYFUNCTION("GOOGLETRANSLATE(B3107,""id"",""en"")"),"['FUP', 'already', 'date', 'deficiency', 'menu', 'update', 'profile', 'choice', 'menu', 'increase', 'the application', 'forget', ' his service ',' star ',' in the future ',' update ',' good ',' love ',' star ',' ']")</f>
        <v>['FUP', 'already', 'date', 'deficiency', 'menu', 'update', 'profile', 'choice', 'menu', 'increase', 'the application', 'forget', ' his service ',' star ',' in the future ',' update ',' good ',' love ',' star ',' ']</v>
      </c>
      <c r="D3107" s="3">
        <v>3.0</v>
      </c>
    </row>
    <row r="3108" ht="15.75" customHeight="1">
      <c r="A3108" s="1">
        <v>3272.0</v>
      </c>
      <c r="B3108" s="3" t="s">
        <v>3033</v>
      </c>
      <c r="C3108" s="3" t="str">
        <f>IFERROR(__xludf.DUMMYFUNCTION("GOOGLETRANSLATE(B3108,""id"",""en"")"),"['channel', 'complete', 'channel', 'reduced', '']")</f>
        <v>['channel', 'complete', 'channel', 'reduced', '']</v>
      </c>
      <c r="D3108" s="3">
        <v>3.0</v>
      </c>
    </row>
    <row r="3109" ht="15.75" customHeight="1">
      <c r="A3109" s="1">
        <v>3273.0</v>
      </c>
      <c r="B3109" s="3" t="s">
        <v>3034</v>
      </c>
      <c r="C3109" s="3" t="str">
        <f>IFERROR(__xludf.DUMMYFUNCTION("GOOGLETRANSLATE(B3109,""id"",""en"")"),"['version', 'good', 'it looks', 'accessed', 'version', '']")</f>
        <v>['version', 'good', 'it looks', 'accessed', 'version', '']</v>
      </c>
      <c r="D3109" s="3">
        <v>1.0</v>
      </c>
    </row>
    <row r="3110" ht="15.75" customHeight="1">
      <c r="A3110" s="1">
        <v>3274.0</v>
      </c>
      <c r="B3110" s="3" t="s">
        <v>3035</v>
      </c>
      <c r="C3110" s="3" t="str">
        <f>IFERROR(__xludf.DUMMYFUNCTION("GOOGLETRANSLATE(B3110,""id"",""en"")"),"['Upgrade', 'Speed', 'Mbps', 'Laplep', 'Change', 'Significant', 'Sousal', 'ilang', 'Please', 'Repaired', 'Donk', 'Thank you']")</f>
        <v>['Upgrade', 'Speed', 'Mbps', 'Laplep', 'Change', 'Significant', 'Sousal', 'ilang', 'Please', 'Repaired', 'Donk', 'Thank you']</v>
      </c>
      <c r="D3110" s="3">
        <v>3.0</v>
      </c>
    </row>
    <row r="3111" ht="15.75" customHeight="1">
      <c r="A3111" s="1">
        <v>3275.0</v>
      </c>
      <c r="B3111" s="3" t="s">
        <v>3036</v>
      </c>
      <c r="C3111" s="3" t="str">
        <f>IFERROR(__xludf.DUMMYFUNCTION("GOOGLETRANSLATE(B3111,""id"",""en"")"),"['Since', 'Application', 'Myindihome', 'Help', 'Check', 'Use', 'Data', 'Penybanan', 'Promo', 'Offered', '']")</f>
        <v>['Since', 'Application', 'Myindihome', 'Help', 'Check', 'Use', 'Data', 'Penybanan', 'Promo', 'Offered', '']</v>
      </c>
      <c r="D3111" s="3">
        <v>5.0</v>
      </c>
    </row>
    <row r="3112" ht="15.75" customHeight="1">
      <c r="A3112" s="1">
        <v>3276.0</v>
      </c>
      <c r="B3112" s="3" t="s">
        <v>3037</v>
      </c>
      <c r="C3112" s="3" t="str">
        <f>IFERROR(__xludf.DUMMYFUNCTION("GOOGLETRANSLATE(B3112,""id"",""en"")"),"['oton', 'efficient', 'really', 'updated', 'data', 'like']")</f>
        <v>['oton', 'efficient', 'really', 'updated', 'data', 'like']</v>
      </c>
      <c r="D3112" s="3">
        <v>5.0</v>
      </c>
    </row>
    <row r="3113" ht="15.75" customHeight="1">
      <c r="A3113" s="1">
        <v>3277.0</v>
      </c>
      <c r="B3113" s="3" t="s">
        <v>3038</v>
      </c>
      <c r="C3113" s="3" t="str">
        <f>IFERROR(__xludf.DUMMYFUNCTION("GOOGLETRANSLATE(B3113,""id"",""en"")"),"['easy']")</f>
        <v>['easy']</v>
      </c>
      <c r="D3113" s="3">
        <v>5.0</v>
      </c>
    </row>
    <row r="3114" ht="15.75" customHeight="1">
      <c r="A3114" s="1">
        <v>3278.0</v>
      </c>
      <c r="B3114" s="3" t="s">
        <v>3039</v>
      </c>
      <c r="C3114" s="3" t="str">
        <f>IFERROR(__xludf.DUMMYFUNCTION("GOOGLETRANSLATE(B3114,""id"",""en"")"),"['', 'update', 'ugly', 'APK', 'Loading', 'Pay', 'Ribet', '']")</f>
        <v>['', 'update', 'ugly', 'APK', 'Loading', 'Pay', 'Ribet', '']</v>
      </c>
      <c r="D3114" s="3">
        <v>1.0</v>
      </c>
    </row>
    <row r="3115" ht="15.75" customHeight="1">
      <c r="A3115" s="1">
        <v>3279.0</v>
      </c>
      <c r="B3115" s="3" t="s">
        <v>3040</v>
      </c>
      <c r="C3115" s="3" t="str">
        <f>IFERROR(__xludf.DUMMYFUNCTION("GOOGLETRANSLATE(B3115,""id"",""en"")"),"['The application', 'help', 'thank', 'love', 'lotkkk', ""]")</f>
        <v>['The application', 'help', 'thank', 'love', 'lotkkk', "]</v>
      </c>
      <c r="D3115" s="3">
        <v>5.0</v>
      </c>
    </row>
    <row r="3116" ht="15.75" customHeight="1">
      <c r="A3116" s="1">
        <v>3280.0</v>
      </c>
      <c r="B3116" s="3" t="s">
        <v>3041</v>
      </c>
      <c r="C3116" s="3" t="str">
        <f>IFERROR(__xludf.DUMMYFUNCTION("GOOGLETRANSLATE(B3116,""id"",""en"")"),"['experience', 'Trouble', 'Direct', 'Contact', 'Operator', 'Chat', 'Application', 'Help']")</f>
        <v>['experience', 'Trouble', 'Direct', 'Contact', 'Operator', 'Chat', 'Application', 'Help']</v>
      </c>
      <c r="D3116" s="3">
        <v>5.0</v>
      </c>
    </row>
    <row r="3117" ht="15.75" customHeight="1">
      <c r="A3117" s="1">
        <v>3281.0</v>
      </c>
      <c r="B3117" s="3" t="s">
        <v>3042</v>
      </c>
      <c r="C3117" s="3" t="str">
        <f>IFERROR(__xludf.DUMMYFUNCTION("GOOGLETRANSLATE(B3117,""id"",""en"")"),"['times', 'manteb', 'doang', 'get', 'rb', 'link']")</f>
        <v>['times', 'manteb', 'doang', 'get', 'rb', 'link']</v>
      </c>
      <c r="D3117" s="3">
        <v>5.0</v>
      </c>
    </row>
    <row r="3118" ht="15.75" customHeight="1">
      <c r="A3118" s="1">
        <v>3282.0</v>
      </c>
      <c r="B3118" s="3" t="s">
        <v>1927</v>
      </c>
      <c r="C3118" s="3" t="str">
        <f>IFERROR(__xludf.DUMMYFUNCTION("GOOGLETRANSLATE(B3118,""id"",""en"")"),"['Application', 'help', ""]")</f>
        <v>['Application', 'help', "]</v>
      </c>
      <c r="D3118" s="3">
        <v>5.0</v>
      </c>
    </row>
    <row r="3119" ht="15.75" customHeight="1">
      <c r="A3119" s="1">
        <v>3283.0</v>
      </c>
      <c r="B3119" s="3" t="s">
        <v>441</v>
      </c>
      <c r="C3119" s="3" t="str">
        <f>IFERROR(__xludf.DUMMYFUNCTION("GOOGLETRANSLATE(B3119,""id"",""en"")"),"['', '']")</f>
        <v>['', '']</v>
      </c>
      <c r="D3119" s="3">
        <v>1.0</v>
      </c>
    </row>
    <row r="3120" ht="15.75" customHeight="1">
      <c r="A3120" s="1">
        <v>3285.0</v>
      </c>
      <c r="B3120" s="3" t="s">
        <v>3043</v>
      </c>
      <c r="C3120" s="3" t="str">
        <f>IFERROR(__xludf.DUMMYFUNCTION("GOOGLETRANSLATE(B3120,""id"",""en"")"),"['Service', 'bad', 'slow', 'repair']")</f>
        <v>['Service', 'bad', 'slow', 'repair']</v>
      </c>
      <c r="D3120" s="3">
        <v>1.0</v>
      </c>
    </row>
    <row r="3121" ht="15.75" customHeight="1">
      <c r="A3121" s="1">
        <v>3286.0</v>
      </c>
      <c r="B3121" s="3" t="s">
        <v>3044</v>
      </c>
      <c r="C3121" s="3" t="str">
        <f>IFERROR(__xludf.DUMMYFUNCTION("GOOGLETRANSLATE(B3121,""id"",""en"")"),"['What', 'the story', 'on', 'lights',' red ',' connection ',' internet ',' report ',' tangepin ',' pay ',' hade ',' UDH ',' Accept ',' Loss']")</f>
        <v>['What', 'the story', 'on', 'lights',' red ',' connection ',' internet ',' report ',' tangepin ',' pay ',' hade ',' UDH ',' Accept ',' Loss']</v>
      </c>
      <c r="D3121" s="3">
        <v>1.0</v>
      </c>
    </row>
    <row r="3122" ht="15.75" customHeight="1">
      <c r="A3122" s="1">
        <v>3287.0</v>
      </c>
      <c r="B3122" s="3" t="s">
        <v>3045</v>
      </c>
      <c r="C3122" s="3" t="str">
        <f>IFERROR(__xludf.DUMMYFUNCTION("GOOGLETRANSLATE(B3122,""id"",""en"")"),"['application', 'good', 'bjsa', 'pay', 'bill', 'instant', '']")</f>
        <v>['application', 'good', 'bjsa', 'pay', 'bill', 'instant', '']</v>
      </c>
      <c r="D3122" s="3">
        <v>5.0</v>
      </c>
    </row>
    <row r="3123" ht="15.75" customHeight="1">
      <c r="A3123" s="1">
        <v>3288.0</v>
      </c>
      <c r="B3123" s="3" t="s">
        <v>3046</v>
      </c>
      <c r="C3123" s="3" t="str">
        <f>IFERROR(__xludf.DUMMYFUNCTION("GOOGLETRANSLATE(B3123,""id"",""en"")"),"['access', 'easy']")</f>
        <v>['access', 'easy']</v>
      </c>
      <c r="D3123" s="3">
        <v>4.0</v>
      </c>
    </row>
    <row r="3124" ht="15.75" customHeight="1">
      <c r="A3124" s="1">
        <v>3289.0</v>
      </c>
      <c r="B3124" s="3" t="s">
        <v>3047</v>
      </c>
      <c r="C3124" s="3" t="str">
        <f>IFERROR(__xludf.DUMMYFUNCTION("GOOGLETRANSLATE(B3124,""id"",""en"")"),"['stupid']")</f>
        <v>['stupid']</v>
      </c>
      <c r="D3124" s="3">
        <v>1.0</v>
      </c>
    </row>
    <row r="3125" ht="15.75" customHeight="1">
      <c r="A3125" s="1">
        <v>3291.0</v>
      </c>
      <c r="B3125" s="3" t="s">
        <v>1263</v>
      </c>
      <c r="C3125" s="3" t="str">
        <f>IFERROR(__xludf.DUMMYFUNCTION("GOOGLETRANSLATE(B3125,""id"",""en"")"),"['service']")</f>
        <v>['service']</v>
      </c>
      <c r="D3125" s="3">
        <v>2.0</v>
      </c>
    </row>
    <row r="3126" ht="15.75" customHeight="1">
      <c r="A3126" s="1">
        <v>3292.0</v>
      </c>
      <c r="B3126" s="3" t="s">
        <v>3048</v>
      </c>
      <c r="C3126" s="3" t="str">
        <f>IFERROR(__xludf.DUMMYFUNCTION("GOOGLETRANSLATE(B3126,""id"",""en"")"),"['Congratulations', 'Morning', 'at home', 'Package', 'Indihome', 'Internet', 'Phone', 'Change', 'Internet', 'Costs', 'How', 'Solosi']")</f>
        <v>['Congratulations', 'Morning', 'at home', 'Package', 'Indihome', 'Internet', 'Phone', 'Change', 'Internet', 'Costs', 'How', 'Solosi']</v>
      </c>
      <c r="D3126" s="3">
        <v>4.0</v>
      </c>
    </row>
    <row r="3127" ht="15.75" customHeight="1">
      <c r="A3127" s="1">
        <v>3293.0</v>
      </c>
      <c r="B3127" s="3" t="s">
        <v>3049</v>
      </c>
      <c r="C3127" s="3" t="str">
        <f>IFERROR(__xludf.DUMMYFUNCTION("GOOGLETRANSLATE(B3127,""id"",""en"")"),"['see', 'bill', 'detail', 'pokonya', 'application', 'usefull', 'really']")</f>
        <v>['see', 'bill', 'detail', 'pokonya', 'application', 'usefull', 'really']</v>
      </c>
      <c r="D3127" s="3">
        <v>5.0</v>
      </c>
    </row>
    <row r="3128" ht="15.75" customHeight="1">
      <c r="A3128" s="1">
        <v>3294.0</v>
      </c>
      <c r="B3128" s="3" t="s">
        <v>3050</v>
      </c>
      <c r="C3128" s="3" t="str">
        <f>IFERROR(__xludf.DUMMYFUNCTION("GOOGLETRANSLATE(B3128,""id"",""en"")"),"['stop', 'Download', 'aka', 'Download']")</f>
        <v>['stop', 'Download', 'aka', 'Download']</v>
      </c>
      <c r="D3128" s="3">
        <v>2.0</v>
      </c>
    </row>
    <row r="3129" ht="15.75" customHeight="1">
      <c r="A3129" s="1">
        <v>3295.0</v>
      </c>
      <c r="B3129" s="3" t="s">
        <v>3051</v>
      </c>
      <c r="C3129" s="3" t="str">
        <f>IFERROR(__xludf.DUMMYFUNCTION("GOOGLETRANSLATE(B3129,""id"",""en"")"),"['Exchange', 'Points', 'Merchandise', 'Region', 'Dkijakarta', '']")</f>
        <v>['Exchange', 'Points', 'Merchandise', 'Region', 'Dkijakarta', '']</v>
      </c>
      <c r="D3129" s="3">
        <v>1.0</v>
      </c>
    </row>
    <row r="3130" ht="15.75" customHeight="1">
      <c r="A3130" s="1">
        <v>3296.0</v>
      </c>
      <c r="B3130" s="3" t="s">
        <v>3052</v>
      </c>
      <c r="C3130" s="3" t="str">
        <f>IFERROR(__xludf.DUMMYFUNCTION("GOOGLETRANSLATE(B3130,""id"",""en"")"),"['Disappointed', 'Indihome', 'bill', 'bill', 'Rp', 'okay', 'gapapa', 'bill', 'that way', 'bsk', 'Rp', ' Report ',' application ',' changed ',' bills', 'pay', 'bill', 'bill', 'Rp', '']")</f>
        <v>['Disappointed', 'Indihome', 'bill', 'bill', 'Rp', 'okay', 'gapapa', 'bill', 'that way', 'bsk', 'Rp', ' Report ',' application ',' changed ',' bills', 'pay', 'bill', 'bill', 'Rp', '']</v>
      </c>
      <c r="D3130" s="3">
        <v>1.0</v>
      </c>
    </row>
    <row r="3131" ht="15.75" customHeight="1">
      <c r="A3131" s="1">
        <v>3298.0</v>
      </c>
      <c r="B3131" s="3" t="s">
        <v>3053</v>
      </c>
      <c r="C3131" s="3" t="str">
        <f>IFERROR(__xludf.DUMMYFUNCTION("GOOGLETRANSLATE(B3131,""id"",""en"")"),"['application', 'service', 'internet', 'access', 'bad', 'application', 'professional', '']")</f>
        <v>['application', 'service', 'internet', 'access', 'bad', 'application', 'professional', '']</v>
      </c>
      <c r="D3131" s="3">
        <v>2.0</v>
      </c>
    </row>
    <row r="3132" ht="15.75" customHeight="1">
      <c r="A3132" s="1">
        <v>3300.0</v>
      </c>
      <c r="B3132" s="3" t="s">
        <v>3054</v>
      </c>
      <c r="C3132" s="3" t="str">
        <f>IFERROR(__xludf.DUMMYFUNCTION("GOOGLETRANSLATE(B3132,""id"",""en"")"),"['Cool', 'Bangett']")</f>
        <v>['Cool', 'Bangett']</v>
      </c>
      <c r="D3132" s="3">
        <v>5.0</v>
      </c>
    </row>
    <row r="3133" ht="15.75" customHeight="1">
      <c r="A3133" s="1">
        <v>3301.0</v>
      </c>
      <c r="B3133" s="3" t="s">
        <v>3055</v>
      </c>
      <c r="C3133" s="3" t="str">
        <f>IFERROR(__xludf.DUMMYFUNCTION("GOOGLETRANSLATE(B3133,""id"",""en"")"),"['fast', 'responsive', 'complaints', 'disorder', 'signal']")</f>
        <v>['fast', 'responsive', 'complaints', 'disorder', 'signal']</v>
      </c>
      <c r="D3133" s="3">
        <v>5.0</v>
      </c>
    </row>
    <row r="3134" ht="15.75" customHeight="1">
      <c r="A3134" s="1">
        <v>3302.0</v>
      </c>
      <c r="B3134" s="3" t="s">
        <v>3056</v>
      </c>
      <c r="C3134" s="3" t="str">
        <f>IFERROR(__xludf.DUMMYFUNCTION("GOOGLETRANSLATE(B3134,""id"",""en"")"),"['Internet', 'slow']")</f>
        <v>['Internet', 'slow']</v>
      </c>
      <c r="D3134" s="3">
        <v>1.0</v>
      </c>
    </row>
    <row r="3135" ht="15.75" customHeight="1">
      <c r="A3135" s="1">
        <v>3303.0</v>
      </c>
      <c r="B3135" s="3" t="s">
        <v>3057</v>
      </c>
      <c r="C3135" s="3" t="str">
        <f>IFERROR(__xludf.DUMMYFUNCTION("GOOGLETRANSLATE(B3135,""id"",""en"")"),"['', 'slow', 'user', 'friendly', 'status', 'bills', 'accessed']")</f>
        <v>['', 'slow', 'user', 'friendly', 'status', 'bills', 'accessed']</v>
      </c>
      <c r="D3135" s="3">
        <v>1.0</v>
      </c>
    </row>
    <row r="3136" ht="15.75" customHeight="1">
      <c r="A3136" s="1">
        <v>3305.0</v>
      </c>
      <c r="B3136" s="3" t="s">
        <v>3058</v>
      </c>
      <c r="C3136" s="3" t="str">
        <f>IFERROR(__xludf.DUMMYFUNCTION("GOOGLETRANSLATE(B3136,""id"",""en"")"),"['Application', 'ResponsifF']")</f>
        <v>['Application', 'ResponsifF']</v>
      </c>
      <c r="D3136" s="3">
        <v>5.0</v>
      </c>
    </row>
    <row r="3137" ht="15.75" customHeight="1">
      <c r="A3137" s="1">
        <v>3306.0</v>
      </c>
      <c r="B3137" s="3" t="s">
        <v>3059</v>
      </c>
      <c r="C3137" s="3" t="str">
        <f>IFERROR(__xludf.DUMMYFUNCTION("GOOGLETRANSLATE(B3137,""id"",""en"")"),"['response', 'disorder', 'fast', 'thank you']")</f>
        <v>['response', 'disorder', 'fast', 'thank you']</v>
      </c>
      <c r="D3137" s="3">
        <v>4.0</v>
      </c>
    </row>
    <row r="3138" ht="15.75" customHeight="1">
      <c r="A3138" s="1">
        <v>3307.0</v>
      </c>
      <c r="B3138" s="3" t="s">
        <v>3060</v>
      </c>
      <c r="C3138" s="3" t="str">
        <f>IFERROR(__xludf.DUMMYFUNCTION("GOOGLETRANSLATE(B3138,""id"",""en"")"),"['regret', 'use', 'Indihome', 'Often', 'bills', 'soaring', 'wisdom', 'Telkom']")</f>
        <v>['regret', 'use', 'Indihome', 'Often', 'bills', 'soaring', 'wisdom', 'Telkom']</v>
      </c>
      <c r="D3138" s="3">
        <v>1.0</v>
      </c>
    </row>
    <row r="3139" ht="15.75" customHeight="1">
      <c r="A3139" s="1">
        <v>3308.0</v>
      </c>
      <c r="B3139" s="3" t="s">
        <v>3061</v>
      </c>
      <c r="C3139" s="3" t="str">
        <f>IFERROR(__xludf.DUMMYFUNCTION("GOOGLETRANSLATE(B3139,""id"",""en"")"),"['Helpful', 'help', 'details', 'usage', 'bill', 'suggest', 'friend', 'download', 'application', 'like', 'use', 'application']")</f>
        <v>['Helpful', 'help', 'details', 'usage', 'bill', 'suggest', 'friend', 'download', 'application', 'like', 'use', 'application']</v>
      </c>
      <c r="D3139" s="3">
        <v>5.0</v>
      </c>
    </row>
    <row r="3140" ht="15.75" customHeight="1">
      <c r="A3140" s="1">
        <v>3309.0</v>
      </c>
      <c r="B3140" s="3" t="s">
        <v>3062</v>
      </c>
      <c r="C3140" s="3" t="str">
        <f>IFERROR(__xludf.DUMMYFUNCTION("GOOGLETRANSLATE(B3140,""id"",""en"")"),"['', 'application', 'Help', 'boundary', 'use', 'monthly', 'easy', 'complaint', 'Layaan', 'response', 'call', 'center', 'vepat ',' service ',' chat ',' gnguan ',' ganmpang ',' ticket ',' stts', 'ganguan', 'payment', 'easy', 'merchnt', 'box', 'point', 'chee"&amp;"se', 'event', 'gift', 'syg', 'blm', 'dpet', 'thank', 'love', 'success']")</f>
        <v>['', 'application', 'Help', 'boundary', 'use', 'monthly', 'easy', 'complaint', 'Layaan', 'response', 'call', 'center', 'vepat ',' service ',' chat ',' gnguan ',' ganmpang ',' ticket ',' stts', 'ganguan', 'payment', 'easy', 'merchnt', 'box', 'point', 'cheese', 'event', 'gift', 'syg', 'blm', 'dpet', 'thank', 'love', 'success']</v>
      </c>
      <c r="D3140" s="3">
        <v>5.0</v>
      </c>
    </row>
    <row r="3141" ht="15.75" customHeight="1">
      <c r="A3141" s="1">
        <v>3310.0</v>
      </c>
      <c r="B3141" s="3" t="s">
        <v>3063</v>
      </c>
      <c r="C3141" s="3" t="str">
        <f>IFERROR(__xludf.DUMMYFUNCTION("GOOGLETRANSLATE(B3141,""id"",""en"")"),"['Disease', 'App', 'Indonesia', 'Data', 'Saved', 'App', 'Version', 'Lost', 'Update', 'Register', 'Fill', ' Ribet ',' Try ',' App ',' Developer ',' Paid ',' Cheap ',' Nganembin ',' Application ',' Good ',' Ribet ',' Kzl ', ""]")</f>
        <v>['Disease', 'App', 'Indonesia', 'Data', 'Saved', 'App', 'Version', 'Lost', 'Update', 'Register', 'Fill', ' Ribet ',' Try ',' App ',' Developer ',' Paid ',' Cheap ',' Nganembin ',' Application ',' Good ',' Ribet ',' Kzl ', "]</v>
      </c>
      <c r="D3141" s="3">
        <v>1.0</v>
      </c>
    </row>
    <row r="3142" ht="15.75" customHeight="1">
      <c r="A3142" s="1">
        <v>3312.0</v>
      </c>
      <c r="B3142" s="3" t="s">
        <v>3064</v>
      </c>
      <c r="C3142" s="3" t="str">
        <f>IFERROR(__xludf.DUMMYFUNCTION("GOOGLETRANSLATE(B3142,""id"",""en"")"),"['Steady', 'nyensat', 'Hopefully', 'smooth', 'blessing']")</f>
        <v>['Steady', 'nyensat', 'Hopefully', 'smooth', 'blessing']</v>
      </c>
      <c r="D3142" s="3">
        <v>5.0</v>
      </c>
    </row>
    <row r="3143" ht="15.75" customHeight="1">
      <c r="A3143" s="1">
        <v>3313.0</v>
      </c>
      <c r="B3143" s="3" t="s">
        <v>3065</v>
      </c>
      <c r="C3143" s="3" t="str">
        <f>IFERROR(__xludf.DUMMYFUNCTION("GOOGLETRANSLATE(B3143,""id"",""en"")"),"['already', 'Install', 'open', 'list', 'already', 'actip', 'duh', 'severe', 'delet', 'the application']")</f>
        <v>['already', 'Install', 'open', 'list', 'already', 'actip', 'duh', 'severe', 'delet', 'the application']</v>
      </c>
      <c r="D3143" s="3">
        <v>1.0</v>
      </c>
    </row>
    <row r="3144" ht="15.75" customHeight="1">
      <c r="A3144" s="1">
        <v>3314.0</v>
      </c>
      <c r="B3144" s="3" t="s">
        <v>3066</v>
      </c>
      <c r="C3144" s="3" t="str">
        <f>IFERROR(__xludf.DUMMYFUNCTION("GOOGLETRANSLATE(B3144,""id"",""en"")"),"['Baguss', 'open', 'HBO', '']")</f>
        <v>['Baguss', 'open', 'HBO', '']</v>
      </c>
      <c r="D3144" s="3">
        <v>5.0</v>
      </c>
    </row>
    <row r="3145" ht="15.75" customHeight="1">
      <c r="A3145" s="1">
        <v>3315.0</v>
      </c>
      <c r="B3145" s="3" t="s">
        <v>3067</v>
      </c>
      <c r="C3145" s="3" t="str">
        <f>IFERROR(__xludf.DUMMYFUNCTION("GOOGLETRANSLATE(B3145,""id"",""en"")"),"['Alhamdulillah', 'subscribe', 'obstacles', ""]")</f>
        <v>['Alhamdulillah', 'subscribe', 'obstacles', "]</v>
      </c>
      <c r="D3145" s="3">
        <v>5.0</v>
      </c>
    </row>
    <row r="3146" ht="15.75" customHeight="1">
      <c r="A3146" s="1">
        <v>3316.0</v>
      </c>
      <c r="B3146" s="3" t="s">
        <v>3068</v>
      </c>
      <c r="C3146" s="3" t="str">
        <f>IFERROR(__xludf.DUMMYFUNCTION("GOOGLETRANSLATE(B3146,""id"",""en"")"),"['work', 'delayed', 'confused', 'because', 'skrg', 'home', 'indihome', 'makasih', 'indihone']")</f>
        <v>['work', 'delayed', 'confused', 'because', 'skrg', 'home', 'indihome', 'makasih', 'indihone']</v>
      </c>
      <c r="D3146" s="3">
        <v>5.0</v>
      </c>
    </row>
    <row r="3147" ht="15.75" customHeight="1">
      <c r="A3147" s="1">
        <v>3317.0</v>
      </c>
      <c r="B3147" s="3" t="s">
        <v>3069</v>
      </c>
      <c r="C3147" s="3" t="str">
        <f>IFERROR(__xludf.DUMMYFUNCTION("GOOGLETRANSLATE(B3147,""id"",""en"")"),"['open']")</f>
        <v>['open']</v>
      </c>
      <c r="D3147" s="3">
        <v>2.0</v>
      </c>
    </row>
    <row r="3148" ht="15.75" customHeight="1">
      <c r="A3148" s="1">
        <v>3318.0</v>
      </c>
      <c r="B3148" s="3" t="s">
        <v>3070</v>
      </c>
      <c r="C3148" s="3" t="str">
        <f>IFERROR(__xludf.DUMMYFUNCTION("GOOGLETRANSLATE(B3148,""id"",""en"")"),"['Mantulll']")</f>
        <v>['Mantulll']</v>
      </c>
      <c r="D3148" s="3">
        <v>5.0</v>
      </c>
    </row>
    <row r="3149" ht="15.75" customHeight="1">
      <c r="A3149" s="1">
        <v>3319.0</v>
      </c>
      <c r="B3149" s="3" t="s">
        <v>3071</v>
      </c>
      <c r="C3149" s="3" t="str">
        <f>IFERROR(__xludf.DUMMYFUNCTION("GOOGLETRANSLATE(B3149,""id"",""en"")"),"['Indihome', 'effective', 'date', 'payment', 'JULOH', 'TEMPO', 'EASY', 'Thank you']")</f>
        <v>['Indihome', 'effective', 'date', 'payment', 'JULOH', 'TEMPO', 'EASY', 'Thank you']</v>
      </c>
      <c r="D3149" s="3">
        <v>5.0</v>
      </c>
    </row>
    <row r="3150" ht="15.75" customHeight="1">
      <c r="A3150" s="1">
        <v>3320.0</v>
      </c>
      <c r="B3150" s="3" t="s">
        <v>3072</v>
      </c>
      <c r="C3150" s="3" t="str">
        <f>IFERROR(__xludf.DUMMYFUNCTION("GOOGLETRANSLATE(B3150,""id"",""en"")"),"['already', 'version', 'already', 'try', 'wallet', 'application', 'payment', 'easy', ""]")</f>
        <v>['already', 'version', 'already', 'try', 'wallet', 'application', 'payment', 'easy', "]</v>
      </c>
      <c r="D3150" s="3">
        <v>5.0</v>
      </c>
    </row>
    <row r="3151" ht="15.75" customHeight="1">
      <c r="A3151" s="1">
        <v>3321.0</v>
      </c>
      <c r="B3151" s="3" t="s">
        <v>3073</v>
      </c>
      <c r="C3151" s="3" t="str">
        <f>IFERROR(__xludf.DUMMYFUNCTION("GOOGLETRANSLATE(B3151,""id"",""en"")"),"['Thanks', 'really', 'TELKOM', 'already', 'networked', 'application', 'original', 'useful', 'really', 'Millennial', 'Kayak', 'I']")</f>
        <v>['Thanks', 'really', 'TELKOM', 'already', 'networked', 'application', 'original', 'useful', 'really', 'Millennial', 'Kayak', 'I']</v>
      </c>
      <c r="D3151" s="3">
        <v>5.0</v>
      </c>
    </row>
    <row r="3152" ht="15.75" customHeight="1">
      <c r="A3152" s="1">
        <v>3322.0</v>
      </c>
      <c r="B3152" s="3" t="s">
        <v>3074</v>
      </c>
      <c r="C3152" s="3" t="str">
        <f>IFERROR(__xludf.DUMMYFUNCTION("GOOGLETRANSLATE(B3152,""id"",""en"")"),"['Missial', 'enter', 'application', '']")</f>
        <v>['Missial', 'enter', 'application', '']</v>
      </c>
      <c r="D3152" s="3">
        <v>5.0</v>
      </c>
    </row>
    <row r="3153" ht="15.75" customHeight="1">
      <c r="A3153" s="1">
        <v>3323.0</v>
      </c>
      <c r="B3153" s="3" t="s">
        <v>3075</v>
      </c>
      <c r="C3153" s="3" t="str">
        <f>IFERROR(__xludf.DUMMYFUNCTION("GOOGLETRANSLATE(B3153,""id"",""en"")"),"['already', 'list', 'enter', '']")</f>
        <v>['already', 'list', 'enter', '']</v>
      </c>
      <c r="D3153" s="3">
        <v>1.0</v>
      </c>
    </row>
    <row r="3154" ht="15.75" customHeight="1">
      <c r="A3154" s="1">
        <v>3326.0</v>
      </c>
      <c r="B3154" s="3" t="s">
        <v>3076</v>
      </c>
      <c r="C3154" s="3" t="str">
        <f>IFERROR(__xludf.DUMMYFUNCTION("GOOGLETRANSLATE(B3154,""id"",""en"")"),"['Cool', 'Very', 'Application', 'Indihome', 'Latest', 'Application', 'Latest', 'Make Easy', 'Use', 'Features', 'Firut', 'Latest' so cool', '']")</f>
        <v>['Cool', 'Very', 'Application', 'Indihome', 'Latest', 'Application', 'Latest', 'Make Easy', 'Use', 'Features', 'Firut', 'Latest' so cool', '']</v>
      </c>
      <c r="D3154" s="3">
        <v>5.0</v>
      </c>
    </row>
    <row r="3155" ht="15.75" customHeight="1">
      <c r="A3155" s="1">
        <v>3327.0</v>
      </c>
      <c r="B3155" s="3" t="s">
        <v>3077</v>
      </c>
      <c r="C3155" s="3" t="str">
        <f>IFERROR(__xludf.DUMMYFUNCTION("GOOGLETRANSLATE(B3155,""id"",""en"")"),"['thank', 'love', 'Help']")</f>
        <v>['thank', 'love', 'Help']</v>
      </c>
      <c r="D3155" s="3">
        <v>5.0</v>
      </c>
    </row>
    <row r="3156" ht="15.75" customHeight="1">
      <c r="A3156" s="1">
        <v>3328.0</v>
      </c>
      <c r="B3156" s="3" t="s">
        <v>3078</v>
      </c>
      <c r="C3156" s="3" t="str">
        <f>IFERROR(__xludf.DUMMYFUNCTION("GOOGLETRANSLATE(B3156,""id"",""en"")"),"['Alhamdulillah', 'Indihome', 'Internet', 'smooth', 'disorder', 'service', 'direct', 'fast', 'dtng', 'swift', 'work', 'fast', ' ']")</f>
        <v>['Alhamdulillah', 'Indihome', 'Internet', 'smooth', 'disorder', 'service', 'direct', 'fast', 'dtng', 'swift', 'work', 'fast', ' ']</v>
      </c>
      <c r="D3156" s="3">
        <v>5.0</v>
      </c>
    </row>
    <row r="3157" ht="15.75" customHeight="1">
      <c r="A3157" s="1">
        <v>3330.0</v>
      </c>
      <c r="B3157" s="3" t="s">
        <v>3079</v>
      </c>
      <c r="C3157" s="3" t="str">
        <f>IFERROR(__xludf.DUMMYFUNCTION("GOOGLETRANSLATE(B3157,""id"",""en"")"),"['Steady', 'qual']")</f>
        <v>['Steady', 'qual']</v>
      </c>
      <c r="D3157" s="3">
        <v>5.0</v>
      </c>
    </row>
    <row r="3158" ht="15.75" customHeight="1">
      <c r="A3158" s="1">
        <v>3331.0</v>
      </c>
      <c r="B3158" s="3" t="s">
        <v>739</v>
      </c>
      <c r="C3158" s="3" t="str">
        <f>IFERROR(__xludf.DUMMYFUNCTION("GOOGLETRANSLATE(B3158,""id"",""en"")"),"['Informative']")</f>
        <v>['Informative']</v>
      </c>
      <c r="D3158" s="3">
        <v>4.0</v>
      </c>
    </row>
    <row r="3159" ht="15.75" customHeight="1">
      <c r="A3159" s="1">
        <v>3332.0</v>
      </c>
      <c r="B3159" s="3" t="s">
        <v>3080</v>
      </c>
      <c r="C3159" s="3" t="str">
        <f>IFERROR(__xludf.DUMMYFUNCTION("GOOGLETRANSLATE(B3159,""id"",""en"")"),"['Its', 'good', 'detail', 'menu', 'offer', 'install', 'version', 'newest', 'slow', 'skrng', 'already', 'fast']")</f>
        <v>['Its', 'good', 'detail', 'menu', 'offer', 'install', 'version', 'newest', 'slow', 'skrng', 'already', 'fast']</v>
      </c>
      <c r="D3159" s="3">
        <v>4.0</v>
      </c>
    </row>
    <row r="3160" ht="15.75" customHeight="1">
      <c r="A3160" s="1">
        <v>3333.0</v>
      </c>
      <c r="B3160" s="3" t="s">
        <v>3081</v>
      </c>
      <c r="C3160" s="3" t="str">
        <f>IFERROR(__xludf.DUMMYFUNCTION("GOOGLETRANSLATE(B3160,""id"",""en"")"),"['Help', 'use', 'data', 'used']")</f>
        <v>['Help', 'use', 'data', 'used']</v>
      </c>
      <c r="D3160" s="3">
        <v>5.0</v>
      </c>
    </row>
    <row r="3161" ht="15.75" customHeight="1">
      <c r="A3161" s="1">
        <v>3334.0</v>
      </c>
      <c r="B3161" s="3" t="s">
        <v>3082</v>
      </c>
      <c r="C3161" s="3" t="str">
        <f>IFERROR(__xludf.DUMMYFUNCTION("GOOGLETRANSLATE(B3161,""id"",""en"")"),"['application', 'usefull', 'really', 'Millennial', 'really', 'productive', 'application', 'thank', 'love', 'telkom', 'provides',' application ',' Friend ',' Indihome ',' Search ',' Cuan ',' Causes', '']")</f>
        <v>['application', 'usefull', 'really', 'Millennial', 'really', 'productive', 'application', 'thank', 'love', 'telkom', 'provides',' application ',' Friend ',' Indihome ',' Search ',' Cuan ',' Causes', '']</v>
      </c>
      <c r="D3161" s="3">
        <v>5.0</v>
      </c>
    </row>
    <row r="3162" ht="15.75" customHeight="1">
      <c r="A3162" s="1">
        <v>3335.0</v>
      </c>
      <c r="B3162" s="3" t="s">
        <v>3083</v>
      </c>
      <c r="C3162" s="3" t="str">
        <f>IFERROR(__xludf.DUMMYFUNCTION("GOOGLETRANSLATE(B3162,""id"",""en"")"),"['', 'Indihome', 'application', 'update', 'open', '']")</f>
        <v>['', 'Indihome', 'application', 'update', 'open', '']</v>
      </c>
      <c r="D3162" s="3">
        <v>2.0</v>
      </c>
    </row>
    <row r="3163" ht="15.75" customHeight="1">
      <c r="A3163" s="1">
        <v>3336.0</v>
      </c>
      <c r="B3163" s="3" t="s">
        <v>3084</v>
      </c>
      <c r="C3163" s="3" t="str">
        <f>IFERROR(__xludf.DUMMYFUNCTION("GOOGLETRANSLATE(B3163,""id"",""en"")"),"['sad', 'access', 'super', 'lemooooootttttttttt', '']")</f>
        <v>['sad', 'access', 'super', 'lemooooootttttttttt', '']</v>
      </c>
      <c r="D3163" s="3">
        <v>1.0</v>
      </c>
    </row>
    <row r="3164" ht="15.75" customHeight="1">
      <c r="A3164" s="1">
        <v>3337.0</v>
      </c>
      <c r="B3164" s="3" t="s">
        <v>3085</v>
      </c>
      <c r="C3164" s="3" t="str">
        <f>IFERROR(__xludf.DUMMYFUNCTION("GOOGLETRANSLATE(B3164,""id"",""en"")"),"['Cool', 'really', 'buddy', 'indihome', 'application', 'usefull', 'millennial', 'really']")</f>
        <v>['Cool', 'really', 'buddy', 'indihome', 'application', 'usefull', 'millennial', 'really']</v>
      </c>
      <c r="D3164" s="3">
        <v>5.0</v>
      </c>
    </row>
    <row r="3165" ht="15.75" customHeight="1">
      <c r="A3165" s="1">
        <v>3338.0</v>
      </c>
      <c r="B3165" s="3" t="s">
        <v>3086</v>
      </c>
      <c r="C3165" s="3" t="str">
        <f>IFERROR(__xludf.DUMMYFUNCTION("GOOGLETRANSLATE(B3165,""id"",""en"")"),"['wahh', 'mantepp', 'really', 'the application', 'see', 'detail', 'bill', 'also', '']")</f>
        <v>['wahh', 'mantepp', 'really', 'the application', 'see', 'detail', 'bill', 'also', '']</v>
      </c>
      <c r="D3165" s="3">
        <v>5.0</v>
      </c>
    </row>
    <row r="3166" ht="15.75" customHeight="1">
      <c r="A3166" s="1">
        <v>3339.0</v>
      </c>
      <c r="B3166" s="3" t="s">
        <v>3087</v>
      </c>
      <c r="C3166" s="3" t="str">
        <f>IFERROR(__xludf.DUMMYFUNCTION("GOOGLETRANSLATE(B3166,""id"",""en"")"),"['Internet', 'fast', 'cheap']")</f>
        <v>['Internet', 'fast', 'cheap']</v>
      </c>
      <c r="D3166" s="3">
        <v>5.0</v>
      </c>
    </row>
    <row r="3167" ht="15.75" customHeight="1">
      <c r="A3167" s="1">
        <v>3341.0</v>
      </c>
      <c r="B3167" s="3" t="s">
        <v>3088</v>
      </c>
      <c r="C3167" s="3" t="str">
        <f>IFERROR(__xludf.DUMMYFUNCTION("GOOGLETRANSLATE(B3167,""id"",""en"")"),"['The application', 'cool', 'really', 'see', 'bills', 'detail', 'tuker', 'point', '']")</f>
        <v>['The application', 'cool', 'really', 'see', 'bills', 'detail', 'tuker', 'point', '']</v>
      </c>
      <c r="D3167" s="3">
        <v>5.0</v>
      </c>
    </row>
    <row r="3168" ht="15.75" customHeight="1">
      <c r="A3168" s="1">
        <v>3342.0</v>
      </c>
      <c r="B3168" s="3" t="s">
        <v>3089</v>
      </c>
      <c r="C3168" s="3" t="str">
        <f>IFERROR(__xludf.DUMMYFUNCTION("GOOGLETRANSLATE(B3168,""id"",""en"")"),"['usefull', 'really', 'the application']")</f>
        <v>['usefull', 'really', 'the application']</v>
      </c>
      <c r="D3168" s="3">
        <v>5.0</v>
      </c>
    </row>
    <row r="3169" ht="15.75" customHeight="1">
      <c r="A3169" s="1">
        <v>3343.0</v>
      </c>
      <c r="B3169" s="3" t="s">
        <v>3090</v>
      </c>
      <c r="C3169" s="3" t="str">
        <f>IFERROR(__xludf.DUMMYFUNCTION("GOOGLETRANSLATE(B3169,""id"",""en"")"),"['Congratulations',' afternoon ',' Since ',' Indihome ',' Internet ',' Browsing ',' Trading ',' Access', 'Inet', 'Current', 'Disconnect', 'Child', ' Betah ',' home ',' broadcast ',' Like ',' Didton ',' Indihome ',' Kenyan ',' Down ',' Thank you ',' Indiho"&amp;"me ',' Succes']")</f>
        <v>['Congratulations',' afternoon ',' Since ',' Indihome ',' Internet ',' Browsing ',' Trading ',' Access', 'Inet', 'Current', 'Disconnect', 'Child', ' Betah ',' home ',' broadcast ',' Like ',' Didton ',' Indihome ',' Kenyan ',' Down ',' Thank you ',' Indihome ',' Succes']</v>
      </c>
      <c r="D3169" s="3">
        <v>5.0</v>
      </c>
    </row>
    <row r="3170" ht="15.75" customHeight="1">
      <c r="A3170" s="1">
        <v>3344.0</v>
      </c>
      <c r="B3170" s="3" t="s">
        <v>3091</v>
      </c>
      <c r="C3170" s="3" t="str">
        <f>IFERROR(__xludf.DUMMYFUNCTION("GOOGLETRANSLATE(B3170,""id"",""en"")"),"['Application', 'Updated', 'Indihome', 'Effective', 'Latest', 'Impressed', 'Monoton', 'Feature', 'Bill', 'Use', 'Quota', 'Pekang', ' Application ',' Come ',' Update ',' Indihome ',' Playstore ',' AppStore ',' Yach ',' ']")</f>
        <v>['Application', 'Updated', 'Indihome', 'Effective', 'Latest', 'Impressed', 'Monoton', 'Feature', 'Bill', 'Use', 'Quota', 'Pekang', ' Application ',' Come ',' Update ',' Indihome ',' Playstore ',' AppStore ',' Yach ',' ']</v>
      </c>
      <c r="D3170" s="3">
        <v>5.0</v>
      </c>
    </row>
    <row r="3171" ht="15.75" customHeight="1">
      <c r="A3171" s="1">
        <v>3347.0</v>
      </c>
      <c r="B3171" s="3" t="s">
        <v>3092</v>
      </c>
      <c r="C3171" s="3" t="str">
        <f>IFERROR(__xludf.DUMMYFUNCTION("GOOGLETRANSLATE(B3171,""id"",""en"")"),"['waah', 'see', 'bill', 'detail', '']")</f>
        <v>['waah', 'see', 'bill', 'detail', '']</v>
      </c>
      <c r="D3171" s="3">
        <v>5.0</v>
      </c>
    </row>
    <row r="3172" ht="15.75" customHeight="1">
      <c r="A3172" s="1">
        <v>3348.0</v>
      </c>
      <c r="B3172" s="3" t="s">
        <v>3093</v>
      </c>
      <c r="C3172" s="3" t="str">
        <f>IFERROR(__xludf.DUMMYFUNCTION("GOOGLETRANSLATE(B3172,""id"",""en"")"),"['easy', 'abis', 'upgrade', 'features', 'makes it easy']")</f>
        <v>['easy', 'abis', 'upgrade', 'features', 'makes it easy']</v>
      </c>
      <c r="D3172" s="3">
        <v>5.0</v>
      </c>
    </row>
    <row r="3173" ht="15.75" customHeight="1">
      <c r="A3173" s="1">
        <v>3349.0</v>
      </c>
      <c r="B3173" s="3" t="s">
        <v>3094</v>
      </c>
      <c r="C3173" s="3" t="str">
        <f>IFERROR(__xludf.DUMMYFUNCTION("GOOGLETRANSLATE(B3173,""id"",""en"")"),"['Easy']")</f>
        <v>['Easy']</v>
      </c>
      <c r="D3173" s="3">
        <v>5.0</v>
      </c>
    </row>
    <row r="3174" ht="15.75" customHeight="1">
      <c r="A3174" s="1">
        <v>3350.0</v>
      </c>
      <c r="B3174" s="3" t="s">
        <v>3095</v>
      </c>
      <c r="C3174" s="3" t="str">
        <f>IFERROR(__xludf.DUMMYFUNCTION("GOOGLETRANSLATE(B3174,""id"",""en"")"),"['', 'Indihome', 'Version', 'Ribet', 'Mending', 'Use', 'Version', 'Jam', 'Ribbet', 'Thorrier']")</f>
        <v>['', 'Indihome', 'Version', 'Ribet', 'Mending', 'Use', 'Version', 'Jam', 'Ribbet', 'Thorrier']</v>
      </c>
      <c r="D3174" s="3">
        <v>2.0</v>
      </c>
    </row>
    <row r="3175" ht="15.75" customHeight="1">
      <c r="A3175" s="1">
        <v>3351.0</v>
      </c>
      <c r="B3175" s="3" t="s">
        <v>3096</v>
      </c>
      <c r="C3175" s="3" t="str">
        <f>IFERROR(__xludf.DUMMYFUNCTION("GOOGLETRANSLATE(B3175,""id"",""en"")"),"['Top', 'really', 'Myindihome', 'Application', 'Complete', 'Palihanan', 'Call', 'Center', 'friendly', 'hope', 'Success', 'best']")</f>
        <v>['Top', 'really', 'Myindihome', 'Application', 'Complete', 'Palihanan', 'Call', 'Center', 'friendly', 'hope', 'Success', 'best']</v>
      </c>
      <c r="D3175" s="3">
        <v>5.0</v>
      </c>
    </row>
    <row r="3176" ht="15.75" customHeight="1">
      <c r="A3176" s="1">
        <v>3352.0</v>
      </c>
      <c r="B3176" s="3" t="s">
        <v>3097</v>
      </c>
      <c r="C3176" s="3" t="str">
        <f>IFERROR(__xludf.DUMMYFUNCTION("GOOGLETRANSLATE(B3176,""id"",""en"")"),"['week', 'report', 'internet', 'problematic', 'an hour', 'direct', 'technician', 'fast', 'really', 'work', 'Alhamdulillah', 'Beres',' Thank, 'You']")</f>
        <v>['week', 'report', 'internet', 'problematic', 'an hour', 'direct', 'technician', 'fast', 'really', 'work', 'Alhamdulillah', 'Beres',' Thank, 'You']</v>
      </c>
      <c r="D3176" s="3">
        <v>5.0</v>
      </c>
    </row>
    <row r="3177" ht="15.75" customHeight="1">
      <c r="A3177" s="1">
        <v>3353.0</v>
      </c>
      <c r="B3177" s="3" t="s">
        <v>3098</v>
      </c>
      <c r="C3177" s="3" t="str">
        <f>IFERROR(__xludf.DUMMYFUNCTION("GOOGLETRANSLATE(B3177,""id"",""en"")"),"['It's easy', 'really', 'See', 'bills']")</f>
        <v>['It's easy', 'really', 'See', 'bills']</v>
      </c>
      <c r="D3177" s="3">
        <v>5.0</v>
      </c>
    </row>
    <row r="3178" ht="15.75" customHeight="1">
      <c r="A3178" s="1">
        <v>3354.0</v>
      </c>
      <c r="B3178" s="3" t="s">
        <v>3099</v>
      </c>
      <c r="C3178" s="3" t="str">
        <f>IFERROR(__xludf.DUMMYFUNCTION("GOOGLETRANSLATE(B3178,""id"",""en"")"),"['Cool', 'really', 'exchange', 'Points', '']")</f>
        <v>['Cool', 'really', 'exchange', 'Points', '']</v>
      </c>
      <c r="D3178" s="3">
        <v>5.0</v>
      </c>
    </row>
    <row r="3179" ht="15.75" customHeight="1">
      <c r="A3179" s="1">
        <v>3355.0</v>
      </c>
      <c r="B3179" s="3" t="s">
        <v>3100</v>
      </c>
      <c r="C3179" s="3" t="str">
        <f>IFERROR(__xludf.DUMMYFUNCTION("GOOGLETRANSLATE(B3179,""id"",""en"")"),"['The application', 'Cool', 'really', 'user', 'friendly']")</f>
        <v>['The application', 'Cool', 'really', 'user', 'friendly']</v>
      </c>
      <c r="D3179" s="3">
        <v>5.0</v>
      </c>
    </row>
    <row r="3180" ht="15.75" customHeight="1">
      <c r="A3180" s="1">
        <v>3356.0</v>
      </c>
      <c r="B3180" s="3" t="s">
        <v>3101</v>
      </c>
      <c r="C3180" s="3" t="str">
        <f>IFERROR(__xludf.DUMMYFUNCTION("GOOGLETRANSLATE(B3180,""id"",""en"")"),"['Good', 'BLM', 'Understand', 'Transaction']")</f>
        <v>['Good', 'BLM', 'Understand', 'Transaction']</v>
      </c>
      <c r="D3180" s="3">
        <v>5.0</v>
      </c>
    </row>
    <row r="3181" ht="15.75" customHeight="1">
      <c r="A3181" s="1">
        <v>3358.0</v>
      </c>
      <c r="B3181" s="3" t="s">
        <v>3102</v>
      </c>
      <c r="C3181" s="3" t="str">
        <f>IFERROR(__xludf.DUMMYFUNCTION("GOOGLETRANSLATE(B3181,""id"",""en"")"),"['The application', 'usefull', 'Cool', 'Thank "",' Kasih ',' Telkom ',' already ',' provides', 'application', 'buddy', 'indihome']")</f>
        <v>['The application', 'usefull', 'Cool', 'Thank ",' Kasih ',' Telkom ',' already ',' provides', 'application', 'buddy', 'indihome']</v>
      </c>
      <c r="D3181" s="3">
        <v>5.0</v>
      </c>
    </row>
    <row r="3182" ht="15.75" customHeight="1">
      <c r="A3182" s="1">
        <v>3359.0</v>
      </c>
      <c r="B3182" s="3" t="s">
        <v>3103</v>
      </c>
      <c r="C3182" s="3" t="str">
        <f>IFERROR(__xludf.DUMMYFUNCTION("GOOGLETRANSLATE(B3182,""id"",""en"")"),"['strange', 'submit', 'complaint', 'Internet', 'Los',' Ask ',' APK ',' Kasi ',' Choice ',' Repair ',' Walah ',' Sevicenya ',' satisfying ',' slow ',' nimble ',' turn ',' late ',' pay ',' directly ',' fine ',' heheh ',' RUWET ']")</f>
        <v>['strange', 'submit', 'complaint', 'Internet', 'Los',' Ask ',' APK ',' Kasi ',' Choice ',' Repair ',' Walah ',' Sevicenya ',' satisfying ',' slow ',' nimble ',' turn ',' late ',' pay ',' directly ',' fine ',' heheh ',' RUWET ']</v>
      </c>
      <c r="D3182" s="3">
        <v>1.0</v>
      </c>
    </row>
    <row r="3183" ht="15.75" customHeight="1">
      <c r="A3183" s="1">
        <v>3360.0</v>
      </c>
      <c r="B3183" s="3" t="s">
        <v>3104</v>
      </c>
      <c r="C3183" s="3" t="str">
        <f>IFERROR(__xludf.DUMMYFUNCTION("GOOGLETRANSLATE(B3183,""id"",""en"")"),"['The application', 'cool', 'easy', 'tuker', 'coin', 'use', 'code']")</f>
        <v>['The application', 'cool', 'easy', 'tuker', 'coin', 'use', 'code']</v>
      </c>
      <c r="D3183" s="3">
        <v>5.0</v>
      </c>
    </row>
    <row r="3184" ht="15.75" customHeight="1">
      <c r="A3184" s="1">
        <v>3361.0</v>
      </c>
      <c r="B3184" s="3" t="s">
        <v>3105</v>
      </c>
      <c r="C3184" s="3" t="str">
        <f>IFERROR(__xludf.DUMMYFUNCTION("GOOGLETRANSLATE(B3184,""id"",""en"")"),"['', 'Far', 'Good', '']")</f>
        <v>['', 'Far', 'Good', '']</v>
      </c>
      <c r="D3184" s="3">
        <v>5.0</v>
      </c>
    </row>
    <row r="3185" ht="15.75" customHeight="1">
      <c r="A3185" s="1">
        <v>3362.0</v>
      </c>
      <c r="B3185" s="3" t="s">
        <v>3106</v>
      </c>
      <c r="C3185" s="3" t="str">
        <f>IFERROR(__xludf.DUMMYFUNCTION("GOOGLETRANSLATE(B3185,""id"",""en"")"),"['Choose', 'Package', 'Chanel', 'Foxsports', 'Chanel', 'Lost', 'Harmed']")</f>
        <v>['Choose', 'Package', 'Chanel', 'Foxsports', 'Chanel', 'Lost', 'Harmed']</v>
      </c>
      <c r="D3185" s="3">
        <v>1.0</v>
      </c>
    </row>
    <row r="3186" ht="15.75" customHeight="1">
      <c r="A3186" s="1">
        <v>3363.0</v>
      </c>
      <c r="B3186" s="3" t="s">
        <v>3107</v>
      </c>
      <c r="C3186" s="3" t="str">
        <f>IFERROR(__xludf.DUMMYFUNCTION("GOOGLETRANSLATE(B3186,""id"",""en"")"),"['updte', 'the latest', 'good', 'bug', 'ngejump', 'the application']")</f>
        <v>['updte', 'the latest', 'good', 'bug', 'ngejump', 'the application']</v>
      </c>
      <c r="D3186" s="3">
        <v>3.0</v>
      </c>
    </row>
    <row r="3187" ht="15.75" customHeight="1">
      <c r="A3187" s="1">
        <v>3364.0</v>
      </c>
      <c r="B3187" s="3" t="s">
        <v>3108</v>
      </c>
      <c r="C3187" s="3" t="str">
        <f>IFERROR(__xludf.DUMMYFUNCTION("GOOGLETRANSLATE(B3187,""id"",""en"")"),"['Good', 'help', 'information']")</f>
        <v>['Good', 'help', 'information']</v>
      </c>
      <c r="D3187" s="3">
        <v>5.0</v>
      </c>
    </row>
    <row r="3188" ht="15.75" customHeight="1">
      <c r="A3188" s="1">
        <v>3365.0</v>
      </c>
      <c r="B3188" s="3" t="s">
        <v>3109</v>
      </c>
      <c r="C3188" s="3" t="str">
        <f>IFERROR(__xludf.DUMMYFUNCTION("GOOGLETRANSLATE(B3188,""id"",""en"")"),"['Payment', 'Krang', 'printed', 'PKE', 'Card', 'Credit', 'Complete', 'Virtual']")</f>
        <v>['Payment', 'Krang', 'printed', 'PKE', 'Card', 'Credit', 'Complete', 'Virtual']</v>
      </c>
      <c r="D3188" s="3">
        <v>1.0</v>
      </c>
    </row>
    <row r="3189" ht="15.75" customHeight="1">
      <c r="A3189" s="1">
        <v>3366.0</v>
      </c>
      <c r="B3189" s="3" t="s">
        <v>3110</v>
      </c>
      <c r="C3189" s="3" t="str">
        <f>IFERROR(__xludf.DUMMYFUNCTION("GOOGLETRANSLATE(B3189,""id"",""en"")"),"['already', 'good', 'already', 'goes', 'smooth']")</f>
        <v>['already', 'good', 'already', 'goes', 'smooth']</v>
      </c>
      <c r="D3189" s="3">
        <v>5.0</v>
      </c>
    </row>
    <row r="3190" ht="15.75" customHeight="1">
      <c r="A3190" s="1">
        <v>3367.0</v>
      </c>
      <c r="B3190" s="3" t="s">
        <v>3111</v>
      </c>
      <c r="C3190" s="3" t="str">
        <f>IFERROR(__xludf.DUMMYFUNCTION("GOOGLETRANSLATE(B3190,""id"",""en"")"),"['Display', 'Okay', 'Exchange', 'Point', '']")</f>
        <v>['Display', 'Okay', 'Exchange', 'Point', '']</v>
      </c>
      <c r="D3190" s="3">
        <v>4.0</v>
      </c>
    </row>
    <row r="3191" ht="15.75" customHeight="1">
      <c r="A3191" s="1">
        <v>3368.0</v>
      </c>
      <c r="B3191" s="3" t="s">
        <v>3112</v>
      </c>
      <c r="C3191" s="3" t="str">
        <f>IFERROR(__xludf.DUMMYFUNCTION("GOOGLETRANSLATE(B3191,""id"",""en"")"),"['Pay', 'bill', 'use', 'link', 'skrg', 'already', 'yaa', 'use', 'balance', 'top', 'also', 'chaotic']")</f>
        <v>['Pay', 'bill', 'use', 'link', 'skrg', 'already', 'yaa', 'use', 'balance', 'top', 'also', 'chaotic']</v>
      </c>
      <c r="D3191" s="3">
        <v>1.0</v>
      </c>
    </row>
    <row r="3192" ht="15.75" customHeight="1">
      <c r="A3192" s="1">
        <v>3369.0</v>
      </c>
      <c r="B3192" s="3" t="s">
        <v>2333</v>
      </c>
      <c r="C3192" s="3" t="str">
        <f>IFERROR(__xludf.DUMMYFUNCTION("GOOGLETRANSLATE(B3192,""id"",""en"")"),"['Login', '']")</f>
        <v>['Login', '']</v>
      </c>
      <c r="D3192" s="3">
        <v>1.0</v>
      </c>
    </row>
    <row r="3193" ht="15.75" customHeight="1">
      <c r="A3193" s="1">
        <v>3370.0</v>
      </c>
      <c r="B3193" s="3" t="s">
        <v>1671</v>
      </c>
      <c r="C3193" s="3" t="str">
        <f>IFERROR(__xludf.DUMMYFUNCTION("GOOGLETRANSLATE(B3193,""id"",""en"")"),"['', 'The', 'Best']")</f>
        <v>['', 'The', 'Best']</v>
      </c>
      <c r="D3193" s="3">
        <v>5.0</v>
      </c>
    </row>
    <row r="3194" ht="15.75" customHeight="1">
      <c r="A3194" s="1">
        <v>3371.0</v>
      </c>
      <c r="B3194" s="3" t="s">
        <v>3113</v>
      </c>
      <c r="C3194" s="3" t="str">
        <f>IFERROR(__xludf.DUMMYFUNCTION("GOOGLETRANSLATE(B3194,""id"",""en"")"),"['already', 'expensive', 'slow', 'disorder', 'clock', 'night', 'disorder', 'emotion', '']")</f>
        <v>['already', 'expensive', 'slow', 'disorder', 'clock', 'night', 'disorder', 'emotion', '']</v>
      </c>
      <c r="D3194" s="3">
        <v>1.0</v>
      </c>
    </row>
    <row r="3195" ht="15.75" customHeight="1">
      <c r="A3195" s="1">
        <v>3372.0</v>
      </c>
      <c r="B3195" s="3" t="s">
        <v>3114</v>
      </c>
      <c r="C3195" s="3" t="str">
        <f>IFERROR(__xludf.DUMMYFUNCTION("GOOGLETRANSLATE(B3195,""id"",""en"")"),"['History', 'bills', 'detailed', 'consumers', 'signs', 'renewal', 'easy']")</f>
        <v>['History', 'bills', 'detailed', 'consumers', 'signs', 'renewal', 'easy']</v>
      </c>
      <c r="D3195" s="3">
        <v>2.0</v>
      </c>
    </row>
    <row r="3196" ht="15.75" customHeight="1">
      <c r="A3196" s="1">
        <v>3373.0</v>
      </c>
      <c r="B3196" s="3" t="s">
        <v>3115</v>
      </c>
      <c r="C3196" s="3" t="str">
        <f>IFERROR(__xludf.DUMMYFUNCTION("GOOGLETRANSLATE(B3196,""id"",""en"")"),"['Application', 'Myindihome', 'Times', 'Update', 'Bug', 'Loading', 'Slow', 'Please', 'Repair']")</f>
        <v>['Application', 'Myindihome', 'Times', 'Update', 'Bug', 'Loading', 'Slow', 'Please', 'Repair']</v>
      </c>
      <c r="D3196" s="3">
        <v>3.0</v>
      </c>
    </row>
    <row r="3197" ht="15.75" customHeight="1">
      <c r="A3197" s="1">
        <v>3374.0</v>
      </c>
      <c r="B3197" s="3" t="s">
        <v>3116</v>
      </c>
      <c r="C3197" s="3" t="str">
        <f>IFERROR(__xludf.DUMMYFUNCTION("GOOGLETRANSLATE(B3197,""id"",""en"")"),"['Since', 'Application', 'Indihome', 'Help', 'Check', 'Use', 'Data', 'Promo', 'Promo', 'Offer', 'Interesting', 'Application', ' Products', 'Promos',' Access', 'Application', 'Indihome', 'The', 'Best', 'Telkom', 'Indihome', ""]")</f>
        <v>['Since', 'Application', 'Indihome', 'Help', 'Check', 'Use', 'Data', 'Promo', 'Promo', 'Offer', 'Interesting', 'Application', ' Products', 'Promos',' Access', 'Application', 'Indihome', 'The', 'Best', 'Telkom', 'Indihome', "]</v>
      </c>
      <c r="D3197" s="3">
        <v>5.0</v>
      </c>
    </row>
    <row r="3198" ht="15.75" customHeight="1">
      <c r="A3198" s="1">
        <v>3375.0</v>
      </c>
      <c r="B3198" s="3" t="s">
        <v>3117</v>
      </c>
      <c r="C3198" s="3" t="str">
        <f>IFERROR(__xludf.DUMMYFUNCTION("GOOGLETRANSLATE(B3198,""id"",""en"")"),"['Love', 'Bintang', 'Problem', 'Hopefully', 'TTP', 'Network', 'Internet', 'The', 'Best', 'Thankyou', 'Indihome', ""]")</f>
        <v>['Love', 'Bintang', 'Problem', 'Hopefully', 'TTP', 'Network', 'Internet', 'The', 'Best', 'Thankyou', 'Indihome', "]</v>
      </c>
      <c r="D3198" s="3">
        <v>5.0</v>
      </c>
    </row>
    <row r="3199" ht="15.75" customHeight="1">
      <c r="A3199" s="1">
        <v>3376.0</v>
      </c>
      <c r="B3199" s="3" t="s">
        <v>3118</v>
      </c>
      <c r="C3199" s="3" t="str">
        <f>IFERROR(__xludf.DUMMYFUNCTION("GOOGLETRANSLATE(B3199,""id"",""en"")"),"['check', 'quota', 'userangimana', 'update', 'puyeng', 'indihome']")</f>
        <v>['check', 'quota', 'userangimana', 'update', 'puyeng', 'indihome']</v>
      </c>
      <c r="D3199" s="3">
        <v>3.0</v>
      </c>
    </row>
    <row r="3200" ht="15.75" customHeight="1">
      <c r="A3200" s="1">
        <v>3377.0</v>
      </c>
      <c r="B3200" s="3" t="s">
        <v>3119</v>
      </c>
      <c r="C3200" s="3" t="str">
        <f>IFERROR(__xludf.DUMMYFUNCTION("GOOGLETRANSLATE(B3200,""id"",""en"")"),"['service', 'complaint', 'direct', 'clock', 'outside', 'waiting', 'tomorrow', 'managed', 'direct', 'handy', 'processed', 'fast', ' response', '']")</f>
        <v>['service', 'complaint', 'direct', 'clock', 'outside', 'waiting', 'tomorrow', 'managed', 'direct', 'handy', 'processed', 'fast', ' response', '']</v>
      </c>
      <c r="D3200" s="3">
        <v>1.0</v>
      </c>
    </row>
    <row r="3201" ht="15.75" customHeight="1">
      <c r="A3201" s="1">
        <v>3378.0</v>
      </c>
      <c r="B3201" s="3" t="s">
        <v>3120</v>
      </c>
      <c r="C3201" s="3" t="str">
        <f>IFERROR(__xludf.DUMMYFUNCTION("GOOGLETRANSLATE(B3201,""id"",""en"")"),"['Cool', 'really', 'Tuker', 'Points', 'Easy', 'really', '']")</f>
        <v>['Cool', 'really', 'Tuker', 'Points', 'Easy', 'really', '']</v>
      </c>
      <c r="D3201" s="3">
        <v>5.0</v>
      </c>
    </row>
    <row r="3202" ht="15.75" customHeight="1">
      <c r="A3202" s="1">
        <v>3379.0</v>
      </c>
      <c r="B3202" s="3" t="s">
        <v>395</v>
      </c>
      <c r="C3202" s="3" t="str">
        <f>IFERROR(__xludf.DUMMYFUNCTION("GOOGLETRANSLATE(B3202,""id"",""en"")"),"['bad connection']")</f>
        <v>['bad connection']</v>
      </c>
      <c r="D3202" s="3">
        <v>1.0</v>
      </c>
    </row>
    <row r="3203" ht="15.75" customHeight="1">
      <c r="A3203" s="1">
        <v>3380.0</v>
      </c>
      <c r="B3203" s="3" t="s">
        <v>3121</v>
      </c>
      <c r="C3203" s="3" t="str">
        <f>IFERROR(__xludf.DUMMYFUNCTION("GOOGLETRANSLATE(B3203,""id"",""en"")"),"['Application', 'usefull', 'really']")</f>
        <v>['Application', 'usefull', 'really']</v>
      </c>
      <c r="D3203" s="3">
        <v>5.0</v>
      </c>
    </row>
    <row r="3204" ht="15.75" customHeight="1">
      <c r="A3204" s="1">
        <v>3381.0</v>
      </c>
      <c r="B3204" s="3" t="s">
        <v>3122</v>
      </c>
      <c r="C3204" s="3" t="str">
        <f>IFERROR(__xludf.DUMMYFUNCTION("GOOGLETRANSLATE(B3204,""id"",""en"")"),"['network', 'broad', 'easy', 'access', 'rare', 'troble']")</f>
        <v>['network', 'broad', 'easy', 'access', 'rare', 'troble']</v>
      </c>
      <c r="D3204" s="3">
        <v>5.0</v>
      </c>
    </row>
    <row r="3205" ht="15.75" customHeight="1">
      <c r="A3205" s="1">
        <v>3382.0</v>
      </c>
      <c r="B3205" s="3" t="s">
        <v>3123</v>
      </c>
      <c r="C3205" s="3" t="str">
        <f>IFERROR(__xludf.DUMMYFUNCTION("GOOGLETRANSLATE(B3205,""id"",""en"")"),"['Please', 'technician', 'Kastamer', 'service', 'call', 'credit', 'answer', 'ber', 'tele', 'tele', 'wifi', 'problematic', ' Pay ',' Tempo ']")</f>
        <v>['Please', 'technician', 'Kastamer', 'service', 'call', 'credit', 'answer', 'ber', 'tele', 'tele', 'wifi', 'problematic', ' Pay ',' Tempo ']</v>
      </c>
      <c r="D3205" s="3">
        <v>1.0</v>
      </c>
    </row>
    <row r="3206" ht="15.75" customHeight="1">
      <c r="A3206" s="1">
        <v>3383.0</v>
      </c>
      <c r="B3206" s="3" t="s">
        <v>3124</v>
      </c>
      <c r="C3206" s="3" t="str">
        <f>IFERROR(__xludf.DUMMYFUNCTION("GOOGLETRANSLATE(B3206,""id"",""en"")"),"['Langbang', 'wifi', 'neighbors', 'replace', 'password', 'affect', 'router', 'wifi', 'main', 'owner', 'wifi', ""]")</f>
        <v>['Langbang', 'wifi', 'neighbors', 'replace', 'password', 'affect', 'router', 'wifi', 'main', 'owner', 'wifi', "]</v>
      </c>
      <c r="D3206" s="3">
        <v>2.0</v>
      </c>
    </row>
    <row r="3207" ht="15.75" customHeight="1">
      <c r="A3207" s="1">
        <v>3384.0</v>
      </c>
      <c r="B3207" s="3" t="s">
        <v>3125</v>
      </c>
      <c r="C3207" s="3" t="str">
        <f>IFERROR(__xludf.DUMMYFUNCTION("GOOGLETRANSLATE(B3207,""id"",""en"")"),"['Lemot', 'Application', 'Come', 'Excelent', 'Work', '']")</f>
        <v>['Lemot', 'Application', 'Come', 'Excelent', 'Work', '']</v>
      </c>
      <c r="D3207" s="3">
        <v>5.0</v>
      </c>
    </row>
    <row r="3208" ht="15.75" customHeight="1">
      <c r="A3208" s="1">
        <v>3385.0</v>
      </c>
      <c r="B3208" s="3" t="s">
        <v>3126</v>
      </c>
      <c r="C3208" s="3" t="str">
        <f>IFERROR(__xludf.DUMMYFUNCTION("GOOGLETRANSLATE(B3208,""id"",""en"")"),"['Watch', 'broadcast', 'direct', 'slow', 'loading', 'raise', 'speed']")</f>
        <v>['Watch', 'broadcast', 'direct', 'slow', 'loading', 'raise', 'speed']</v>
      </c>
      <c r="D3208" s="3">
        <v>1.0</v>
      </c>
    </row>
    <row r="3209" ht="15.75" customHeight="1">
      <c r="A3209" s="1">
        <v>3386.0</v>
      </c>
      <c r="B3209" s="3" t="s">
        <v>3127</v>
      </c>
      <c r="C3209" s="3" t="str">
        <f>IFERROR(__xludf.DUMMYFUNCTION("GOOGLETRANSLATE(B3209,""id"",""en"")"),"['Appaction', 'Good']")</f>
        <v>['Appaction', 'Good']</v>
      </c>
      <c r="D3209" s="3">
        <v>5.0</v>
      </c>
    </row>
    <row r="3210" ht="15.75" customHeight="1">
      <c r="A3210" s="1">
        <v>3387.0</v>
      </c>
      <c r="B3210" s="3" t="s">
        <v>3128</v>
      </c>
      <c r="C3210" s="3" t="str">
        <f>IFERROR(__xludf.DUMMYFUNCTION("GOOGLETRANSLATE(B3210,""id"",""en"")"),"['feeling', 'pay', 'disorder', 'wae', 'kmaha', 'iye', 'see']")</f>
        <v>['feeling', 'pay', 'disorder', 'wae', 'kmaha', 'iye', 'see']</v>
      </c>
      <c r="D3210" s="3">
        <v>1.0</v>
      </c>
    </row>
    <row r="3211" ht="15.75" customHeight="1">
      <c r="A3211" s="1">
        <v>3388.0</v>
      </c>
      <c r="B3211" s="3" t="s">
        <v>3129</v>
      </c>
      <c r="C3211" s="3" t="str">
        <f>IFERROR(__xludf.DUMMYFUNCTION("GOOGLETRANSLATE(B3211,""id"",""en"")"),"['menu', 'complaints',' connect ',' where ',' heart ',' pairs', 'channel', 'falling', 'reduced', 'according to', 'channel', 'agreed', ' Unfortunately ',' complex ',' choice ',' Indihome ',' mah ',' moved ', ""]")</f>
        <v>['menu', 'complaints',' connect ',' where ',' heart ',' pairs', 'channel', 'falling', 'reduced', 'according to', 'channel', 'agreed', ' Unfortunately ',' complex ',' choice ',' Indihome ',' mah ',' moved ', "]</v>
      </c>
      <c r="D3211" s="3">
        <v>1.0</v>
      </c>
    </row>
    <row r="3212" ht="15.75" customHeight="1">
      <c r="A3212" s="1">
        <v>3389.0</v>
      </c>
      <c r="B3212" s="3" t="s">
        <v>3130</v>
      </c>
      <c r="C3212" s="3" t="str">
        <f>IFERROR(__xludf.DUMMYFUNCTION("GOOGLETRANSLATE(B3212,""id"",""en"")"),"['Login', 'Improved', 'Service', 'Sampek', 'Improved', 'Service', ""]")</f>
        <v>['Login', 'Improved', 'Service', 'Sampek', 'Improved', 'Service', "]</v>
      </c>
      <c r="D3212" s="3">
        <v>1.0</v>
      </c>
    </row>
    <row r="3213" ht="15.75" customHeight="1">
      <c r="A3213" s="1">
        <v>3390.0</v>
      </c>
      <c r="B3213" s="3" t="s">
        <v>3131</v>
      </c>
      <c r="C3213" s="3" t="str">
        <f>IFERROR(__xludf.DUMMYFUNCTION("GOOGLETRANSLATE(B3213,""id"",""en"")"),"['experience', 'use', 'Indihome', 'Alhamdulillah', 'satisfying', 'service', 'Alhamdulillah', 'fast', 'outside', 'expectations',' Sya ',' Satisfied ',' Enjoy ',' Internet ',' STB ',' Hopefully ',' Service ',' Best ',' Customer ',' Customer ',' Faithful ','"&amp;" Indihome ',' Aamiin ', ""]")</f>
        <v>['experience', 'use', 'Indihome', 'Alhamdulillah', 'satisfying', 'service', 'Alhamdulillah', 'fast', 'outside', 'expectations',' Sya ',' Satisfied ',' Enjoy ',' Internet ',' STB ',' Hopefully ',' Service ',' Best ',' Customer ',' Customer ',' Faithful ',' Indihome ',' Aamiin ', "]</v>
      </c>
      <c r="D3213" s="3">
        <v>5.0</v>
      </c>
    </row>
    <row r="3214" ht="15.75" customHeight="1">
      <c r="A3214" s="1">
        <v>3391.0</v>
      </c>
      <c r="B3214" s="3" t="s">
        <v>3132</v>
      </c>
      <c r="C3214" s="3" t="str">
        <f>IFERROR(__xludf.DUMMYFUNCTION("GOOGLETRANSLATE(B3214,""id"",""en"")"),"['Entering', 'INDIHOME', 'YAA']")</f>
        <v>['Entering', 'INDIHOME', 'YAA']</v>
      </c>
      <c r="D3214" s="3">
        <v>1.0</v>
      </c>
    </row>
    <row r="3215" ht="15.75" customHeight="1">
      <c r="A3215" s="1">
        <v>3392.0</v>
      </c>
      <c r="B3215" s="3" t="s">
        <v>3133</v>
      </c>
      <c r="C3215" s="3" t="str">
        <f>IFERROR(__xludf.DUMMYFUNCTION("GOOGLETRANSLATE(B3215,""id"",""en"")"),"['update', 'update', 'application', 'slow', 'enter', 'bill', 'times',' fold ',' unique ',' application ',' package ',' service ',' Detected ']")</f>
        <v>['update', 'update', 'application', 'slow', 'enter', 'bill', 'times',' fold ',' unique ',' application ',' package ',' service ',' Detected ']</v>
      </c>
      <c r="D3215" s="3">
        <v>2.0</v>
      </c>
    </row>
    <row r="3216" ht="15.75" customHeight="1">
      <c r="A3216" s="1">
        <v>3393.0</v>
      </c>
      <c r="B3216" s="3" t="s">
        <v>3134</v>
      </c>
      <c r="C3216" s="3" t="str">
        <f>IFERROR(__xludf.DUMMYFUNCTION("GOOGLETRANSLATE(B3216,""id"",""en"")"),"['Thank', 'Update', 'Display', 'Fresh', 'Help', 'Pela', 'Nggan', 'Selection', 'Package', 'Upgrade', 'ADD', 'As appropriate', ' Check ',' Availability ',' Network ',' Lose ',' Features', 'Exchange', 'Point', 'Not bad', 'Exchange', 'Voucher', 'disc', 'compl"&amp;"aint', 'Live' , 'Chat', 'Indita', 'Thank', 'Indihome']")</f>
        <v>['Thank', 'Update', 'Display', 'Fresh', 'Help', 'Pela', 'Nggan', 'Selection', 'Package', 'Upgrade', 'ADD', 'As appropriate', ' Check ',' Availability ',' Network ',' Lose ',' Features', 'Exchange', 'Point', 'Not bad', 'Exchange', 'Voucher', 'disc', 'complaint', 'Live' , 'Chat', 'Indita', 'Thank', 'Indihome']</v>
      </c>
      <c r="D3216" s="3">
        <v>5.0</v>
      </c>
    </row>
    <row r="3217" ht="15.75" customHeight="1">
      <c r="A3217" s="1">
        <v>3394.0</v>
      </c>
      <c r="B3217" s="3" t="s">
        <v>3135</v>
      </c>
      <c r="C3217" s="3" t="str">
        <f>IFERROR(__xludf.DUMMYFUNCTION("GOOGLETRANSLATE(B3217,""id"",""en"")"),"['Since', 'Application', 'Myindihome', 'Bill', 'Payment', 'Fast', 'Effective', 'Application', 'Myindihome', 'Help', 'at the ""WiFi', ' constraints', 'disruption', 'direct', 'chat', 'contac', 'myindihomen', 'see', 'point', '']")</f>
        <v>['Since', 'Application', 'Myindihome', 'Bill', 'Payment', 'Fast', 'Effective', 'Application', 'Myindihome', 'Help', 'at the "WiFi', ' constraints', 'disruption', 'direct', 'chat', 'contac', 'myindihomen', 'see', 'point', '']</v>
      </c>
      <c r="D3217" s="3">
        <v>5.0</v>
      </c>
    </row>
    <row r="3218" ht="15.75" customHeight="1">
      <c r="A3218" s="1">
        <v>3396.0</v>
      </c>
      <c r="B3218" s="3" t="s">
        <v>3136</v>
      </c>
      <c r="C3218" s="3" t="str">
        <f>IFERROR(__xludf.DUMMYFUNCTION("GOOGLETRANSLATE(B3218,""id"",""en"")"),"['Save', 'Helpful', 'Indihome', 'Member', 'Klrga', 'Practical', ""]")</f>
        <v>['Save', 'Helpful', 'Indihome', 'Member', 'Klrga', 'Practical', "]</v>
      </c>
      <c r="D3218" s="3">
        <v>5.0</v>
      </c>
    </row>
    <row r="3219" ht="15.75" customHeight="1">
      <c r="A3219" s="1">
        <v>3397.0</v>
      </c>
      <c r="B3219" s="3" t="s">
        <v>3137</v>
      </c>
      <c r="C3219" s="3" t="str">
        <f>IFERROR(__xludf.DUMMYFUNCTION("GOOGLETRANSLATE(B3219,""id"",""en"")"),"['easy', 'tempo', 'payment', 'it's easy', 'process', 'payment']")</f>
        <v>['easy', 'tempo', 'payment', 'it's easy', 'process', 'payment']</v>
      </c>
      <c r="D3219" s="3">
        <v>5.0</v>
      </c>
    </row>
    <row r="3220" ht="15.75" customHeight="1">
      <c r="A3220" s="1">
        <v>3398.0</v>
      </c>
      <c r="B3220" s="3" t="s">
        <v>3138</v>
      </c>
      <c r="C3220" s="3" t="str">
        <f>IFERROR(__xludf.DUMMYFUNCTION("GOOGLETRANSLATE(B3220,""id"",""en"")"),"['version', 'good', 'just', 'speed', 'performance', 'applyais']")</f>
        <v>['version', 'good', 'just', 'speed', 'performance', 'applyais']</v>
      </c>
      <c r="D3220" s="3">
        <v>5.0</v>
      </c>
    </row>
    <row r="3221" ht="15.75" customHeight="1">
      <c r="A3221" s="1">
        <v>3399.0</v>
      </c>
      <c r="B3221" s="3" t="s">
        <v>794</v>
      </c>
      <c r="C3221" s="3" t="str">
        <f>IFERROR(__xludf.DUMMYFUNCTION("GOOGLETRANSLATE(B3221,""id"",""en"")"),"['exciting']")</f>
        <v>['exciting']</v>
      </c>
      <c r="D3221" s="3">
        <v>5.0</v>
      </c>
    </row>
    <row r="3222" ht="15.75" customHeight="1">
      <c r="A3222" s="1">
        <v>3400.0</v>
      </c>
      <c r="B3222" s="3" t="s">
        <v>3139</v>
      </c>
      <c r="C3222" s="3" t="str">
        <f>IFERROR(__xludf.DUMMYFUNCTION("GOOGLETRANSLATE(B3222,""id"",""en"")"),"['mantaaaaaapzzzzzz', 'bangeeeeeeet', 'deeeeehhh', '']")</f>
        <v>['mantaaaaaapzzzzzz', 'bangeeeeeeet', 'deeeeehhh', '']</v>
      </c>
      <c r="D3222" s="3">
        <v>5.0</v>
      </c>
    </row>
    <row r="3223" ht="15.75" customHeight="1">
      <c r="A3223" s="1">
        <v>3401.0</v>
      </c>
      <c r="B3223" s="3" t="s">
        <v>3140</v>
      </c>
      <c r="C3223" s="3" t="str">
        <f>IFERROR(__xludf.DUMMYFUNCTION("GOOGLETRANSLATE(B3223,""id"",""en"")"),"['really good']")</f>
        <v>['really good']</v>
      </c>
      <c r="D3223" s="3">
        <v>5.0</v>
      </c>
    </row>
    <row r="3224" ht="15.75" customHeight="1">
      <c r="A3224" s="1">
        <v>3404.0</v>
      </c>
      <c r="B3224" s="3" t="s">
        <v>3141</v>
      </c>
      <c r="C3224" s="3" t="str">
        <f>IFERROR(__xludf.DUMMYFUNCTION("GOOGLETRANSLATE(B3224,""id"",""en"")"),"['Application', 'Helpful', 'User', 'Indihome', 'The', 'Best', 'Lahh', 'Anyway']")</f>
        <v>['Application', 'Helpful', 'User', 'Indihome', 'The', 'Best', 'Lahh', 'Anyway']</v>
      </c>
      <c r="D3224" s="3">
        <v>5.0</v>
      </c>
    </row>
    <row r="3225" ht="15.75" customHeight="1">
      <c r="A3225" s="1">
        <v>3405.0</v>
      </c>
      <c r="B3225" s="3" t="s">
        <v>3142</v>
      </c>
      <c r="C3225" s="3" t="str">
        <f>IFERROR(__xludf.DUMMYFUNCTION("GOOGLETRANSLATE(B3225,""id"",""en"")"),"['Easy', 'use', 'very', 'useful']")</f>
        <v>['Easy', 'use', 'very', 'useful']</v>
      </c>
      <c r="D3225" s="3">
        <v>5.0</v>
      </c>
    </row>
    <row r="3226" ht="15.75" customHeight="1">
      <c r="A3226" s="1">
        <v>3406.0</v>
      </c>
      <c r="B3226" s="3" t="s">
        <v>3143</v>
      </c>
      <c r="C3226" s="3" t="str">
        <f>IFERROR(__xludf.DUMMYFUNCTION("GOOGLETRANSLATE(B3226,""id"",""en"")"),"['Difficult', 'Download']")</f>
        <v>['Difficult', 'Download']</v>
      </c>
      <c r="D3226" s="3">
        <v>5.0</v>
      </c>
    </row>
    <row r="3227" ht="15.75" customHeight="1">
      <c r="A3227" s="1">
        <v>3408.0</v>
      </c>
      <c r="B3227" s="3" t="s">
        <v>3144</v>
      </c>
      <c r="C3227" s="3" t="str">
        <f>IFERROR(__xludf.DUMMYFUNCTION("GOOGLETRANSLATE(B3227,""id"",""en"")"),"['It's easy', 'payment', 'bother', 'pay', 'monthly', '']")</f>
        <v>['It's easy', 'payment', 'bother', 'pay', 'monthly', '']</v>
      </c>
      <c r="D3227" s="3">
        <v>5.0</v>
      </c>
    </row>
    <row r="3228" ht="15.75" customHeight="1">
      <c r="A3228" s="1">
        <v>3409.0</v>
      </c>
      <c r="B3228" s="3" t="s">
        <v>3145</v>
      </c>
      <c r="C3228" s="3" t="str">
        <f>IFERROR(__xludf.DUMMYFUNCTION("GOOGLETRANSLATE(B3228,""id"",""en"")"),"['Cool', 'Gausah', 'Telkom', 'Pay', 'Bill']")</f>
        <v>['Cool', 'Gausah', 'Telkom', 'Pay', 'Bill']</v>
      </c>
      <c r="D3228" s="3">
        <v>5.0</v>
      </c>
    </row>
    <row r="3229" ht="15.75" customHeight="1">
      <c r="A3229" s="1">
        <v>3410.0</v>
      </c>
      <c r="B3229" s="3" t="s">
        <v>3146</v>
      </c>
      <c r="C3229" s="3" t="str">
        <f>IFERROR(__xludf.DUMMYFUNCTION("GOOGLETRANSLATE(B3229,""id"",""en"")"),"['The application', 'good', 'usefull', 'really']")</f>
        <v>['The application', 'good', 'usefull', 'really']</v>
      </c>
      <c r="D3229" s="3">
        <v>5.0</v>
      </c>
    </row>
    <row r="3230" ht="15.75" customHeight="1">
      <c r="A3230" s="1">
        <v>3411.0</v>
      </c>
      <c r="B3230" s="3" t="s">
        <v>3147</v>
      </c>
      <c r="C3230" s="3" t="str">
        <f>IFERROR(__xludf.DUMMYFUNCTION("GOOGLETRANSLATE(B3230,""id"",""en"")"),"['Nee', 'Nee', 'Kalimantan', 'South', 'Disruption', 'Boss', 'Please', 'Fix', '']")</f>
        <v>['Nee', 'Nee', 'Kalimantan', 'South', 'Disruption', 'Boss', 'Please', 'Fix', '']</v>
      </c>
      <c r="D3230" s="3">
        <v>2.0</v>
      </c>
    </row>
    <row r="3231" ht="15.75" customHeight="1">
      <c r="A3231" s="1">
        <v>3412.0</v>
      </c>
      <c r="B3231" s="3" t="s">
        <v>3148</v>
      </c>
      <c r="C3231" s="3" t="str">
        <f>IFERROR(__xludf.DUMMYFUNCTION("GOOGLETRANSLATE(B3231,""id"",""en"")"),"['The application', 'Cool', 'really', 'See', 'bills', 'App', 'Direct', '']")</f>
        <v>['The application', 'Cool', 'really', 'See', 'bills', 'App', 'Direct', '']</v>
      </c>
      <c r="D3231" s="3">
        <v>5.0</v>
      </c>
    </row>
    <row r="3232" ht="15.75" customHeight="1">
      <c r="A3232" s="1">
        <v>3413.0</v>
      </c>
      <c r="B3232" s="3" t="s">
        <v>3149</v>
      </c>
      <c r="C3232" s="3" t="str">
        <f>IFERROR(__xludf.DUMMYFUNCTION("GOOGLETRANSLATE(B3232,""id"",""en"")"),"['Level', 'service']")</f>
        <v>['Level', 'service']</v>
      </c>
      <c r="D3232" s="3">
        <v>5.0</v>
      </c>
    </row>
    <row r="3233" ht="15.75" customHeight="1">
      <c r="A3233" s="1">
        <v>3414.0</v>
      </c>
      <c r="B3233" s="3" t="s">
        <v>3150</v>
      </c>
      <c r="C3233" s="3" t="str">
        <f>IFERROR(__xludf.DUMMYFUNCTION("GOOGLETRANSLATE(B3233,""id"",""en"")"),"['application', 'help', 'customer', 'reporting', 'disruption', 'technical', 'indihome', 'report', 'fast', 'responded', 'technician', 'direct', ' Life ',' finish ',' ']")</f>
        <v>['application', 'help', 'customer', 'reporting', 'disruption', 'technical', 'indihome', 'report', 'fast', 'responded', 'technician', 'direct', ' Life ',' finish ',' ']</v>
      </c>
      <c r="D3233" s="3">
        <v>5.0</v>
      </c>
    </row>
    <row r="3234" ht="15.75" customHeight="1">
      <c r="A3234" s="1">
        <v>3415.0</v>
      </c>
      <c r="B3234" s="3" t="s">
        <v>3151</v>
      </c>
      <c r="C3234" s="3" t="str">
        <f>IFERROR(__xludf.DUMMYFUNCTION("GOOGLETRANSLATE(B3234,""id"",""en"")"),"['report', '']")</f>
        <v>['report', '']</v>
      </c>
      <c r="D3234" s="3">
        <v>1.0</v>
      </c>
    </row>
    <row r="3235" ht="15.75" customHeight="1">
      <c r="A3235" s="1">
        <v>3416.0</v>
      </c>
      <c r="B3235" s="3" t="s">
        <v>3152</v>
      </c>
      <c r="C3235" s="3" t="str">
        <f>IFERROR(__xludf.DUMMYFUNCTION("GOOGLETRANSLATE(B3235,""id"",""en"")"),"['updated', 'slow', 'really', 'apps']")</f>
        <v>['updated', 'slow', 'really', 'apps']</v>
      </c>
      <c r="D3235" s="3">
        <v>1.0</v>
      </c>
    </row>
    <row r="3236" ht="15.75" customHeight="1">
      <c r="A3236" s="1">
        <v>3417.0</v>
      </c>
      <c r="B3236" s="3" t="s">
        <v>3153</v>
      </c>
      <c r="C3236" s="3" t="str">
        <f>IFERROR(__xludf.DUMMYFUNCTION("GOOGLETRANSLATE(B3236,""id"",""en"")"),"['thank', 'love', 'makes it easy', 'communicating', 'Alhamdulillah', 'usage', 'thank', 'love', 'indihome']")</f>
        <v>['thank', 'love', 'makes it easy', 'communicating', 'Alhamdulillah', 'usage', 'thank', 'love', 'indihome']</v>
      </c>
      <c r="D3236" s="3">
        <v>5.0</v>
      </c>
    </row>
    <row r="3237" ht="15.75" customHeight="1">
      <c r="A3237" s="1">
        <v>3418.0</v>
      </c>
      <c r="B3237" s="3" t="s">
        <v>3154</v>
      </c>
      <c r="C3237" s="3" t="str">
        <f>IFERROR(__xludf.DUMMYFUNCTION("GOOGLETRANSLATE(B3237,""id"",""en"")"),"['Steady', 'Pay', 'Direct', 'home', 'application']")</f>
        <v>['Steady', 'Pay', 'Direct', 'home', 'application']</v>
      </c>
      <c r="D3237" s="3">
        <v>5.0</v>
      </c>
    </row>
    <row r="3238" ht="15.75" customHeight="1">
      <c r="A3238" s="1">
        <v>3419.0</v>
      </c>
      <c r="B3238" s="3" t="s">
        <v>3155</v>
      </c>
      <c r="C3238" s="3" t="str">
        <f>IFERROR(__xludf.DUMMYFUNCTION("GOOGLETRANSLATE(B3238,""id"",""en"")"),"['The application', 'Cool', 'really', 'Tuker', 'Points', 'Liat', 'Bill', 'Details', 'USE', 'Friendly']")</f>
        <v>['The application', 'Cool', 'really', 'Tuker', 'Points', 'Liat', 'Bill', 'Details', 'USE', 'Friendly']</v>
      </c>
      <c r="D3238" s="3">
        <v>5.0</v>
      </c>
    </row>
    <row r="3239" ht="15.75" customHeight="1">
      <c r="A3239" s="1">
        <v>3420.0</v>
      </c>
      <c r="B3239" s="3" t="s">
        <v>3156</v>
      </c>
      <c r="C3239" s="3" t="str">
        <f>IFERROR(__xludf.DUMMYFUNCTION("GOOGLETRANSLATE(B3239,""id"",""en"")"),"['Cool', 'The application', 'Good', 'Partners']")</f>
        <v>['Cool', 'The application', 'Good', 'Partners']</v>
      </c>
      <c r="D3239" s="3">
        <v>5.0</v>
      </c>
    </row>
    <row r="3240" ht="15.75" customHeight="1">
      <c r="A3240" s="1">
        <v>3421.0</v>
      </c>
      <c r="B3240" s="3" t="s">
        <v>3157</v>
      </c>
      <c r="C3240" s="3" t="str">
        <f>IFERROR(__xludf.DUMMYFUNCTION("GOOGLETRANSLATE(B3240,""id"",""en"")"),"['Network', 'stable', 'missing', 'connected', 'hadeeeeh']")</f>
        <v>['Network', 'stable', 'missing', 'connected', 'hadeeeeh']</v>
      </c>
      <c r="D3240" s="3">
        <v>1.0</v>
      </c>
    </row>
    <row r="3241" ht="15.75" customHeight="1">
      <c r="A3241" s="1">
        <v>3422.0</v>
      </c>
      <c r="B3241" s="3" t="s">
        <v>3158</v>
      </c>
      <c r="C3241" s="3" t="str">
        <f>IFERROR(__xludf.DUMMYFUNCTION("GOOGLETRANSLATE(B3241,""id"",""en"")"),"['Thank you', 'Telkom', 'already', 'provides', 'application', 'Myindihome', 'help', 'really']")</f>
        <v>['Thank you', 'Telkom', 'already', 'provides', 'application', 'Myindihome', 'help', 'really']</v>
      </c>
      <c r="D3241" s="3">
        <v>5.0</v>
      </c>
    </row>
    <row r="3242" ht="15.75" customHeight="1">
      <c r="A3242" s="1">
        <v>3423.0</v>
      </c>
      <c r="B3242" s="3" t="s">
        <v>3159</v>
      </c>
      <c r="C3242" s="3" t="str">
        <f>IFERROR(__xludf.DUMMYFUNCTION("GOOGLETRANSLATE(B3242,""id"",""en"")"),"['application', 'cool', 'really', 'see', 'bill', 'detail', 'mksh', 'telkom']")</f>
        <v>['application', 'cool', 'really', 'see', 'bill', 'detail', 'mksh', 'telkom']</v>
      </c>
      <c r="D3242" s="3">
        <v>5.0</v>
      </c>
    </row>
    <row r="3243" ht="15.75" customHeight="1">
      <c r="A3243" s="1">
        <v>3425.0</v>
      </c>
      <c r="B3243" s="3" t="s">
        <v>3160</v>
      </c>
      <c r="C3243" s="3" t="str">
        <f>IFERROR(__xludf.DUMMYFUNCTION("GOOGLETRANSLATE(B3243,""id"",""en"")"),"['Cool', 'Tuker', 'Points', 'See', 'Bill', 'Details']")</f>
        <v>['Cool', 'Tuker', 'Points', 'See', 'Bill', 'Details']</v>
      </c>
      <c r="D3243" s="3">
        <v>5.0</v>
      </c>
    </row>
    <row r="3244" ht="15.75" customHeight="1">
      <c r="A3244" s="1">
        <v>3426.0</v>
      </c>
      <c r="B3244" s="3" t="s">
        <v>726</v>
      </c>
      <c r="C3244" s="3" t="str">
        <f>IFERROR(__xludf.DUMMYFUNCTION("GOOGLETRANSLATE(B3244,""id"",""en"")"),"['application', 'good']")</f>
        <v>['application', 'good']</v>
      </c>
      <c r="D3244" s="3">
        <v>5.0</v>
      </c>
    </row>
    <row r="3245" ht="15.75" customHeight="1">
      <c r="A3245" s="1">
        <v>3427.0</v>
      </c>
      <c r="B3245" s="3" t="s">
        <v>3161</v>
      </c>
      <c r="C3245" s="3" t="str">
        <f>IFERROR(__xludf.DUMMYFUNCTION("GOOGLETRANSLATE(B3245,""id"",""en"")"),"['It's easy', 'user', 'service']")</f>
        <v>['It's easy', 'user', 'service']</v>
      </c>
      <c r="D3245" s="3">
        <v>5.0</v>
      </c>
    </row>
    <row r="3246" ht="15.75" customHeight="1">
      <c r="A3246" s="1">
        <v>3428.0</v>
      </c>
      <c r="B3246" s="3" t="s">
        <v>3162</v>
      </c>
      <c r="C3246" s="3" t="str">
        <f>IFERROR(__xludf.DUMMYFUNCTION("GOOGLETRANSLATE(B3246,""id"",""en"")"),"['Application', 'Cool', 'Help']")</f>
        <v>['Application', 'Cool', 'Help']</v>
      </c>
      <c r="D3246" s="3">
        <v>5.0</v>
      </c>
    </row>
    <row r="3247" ht="15.75" customHeight="1">
      <c r="A3247" s="1">
        <v>3429.0</v>
      </c>
      <c r="B3247" s="3" t="s">
        <v>3163</v>
      </c>
      <c r="C3247" s="3" t="str">
        <f>IFERROR(__xludf.DUMMYFUNCTION("GOOGLETRANSLATE(B3247,""id"",""en"")"),"['Cool', 'really', 'Tuker', 'Points', 'See', 'Bill', 'Details', 'User', 'Friendly']")</f>
        <v>['Cool', 'really', 'Tuker', 'Points', 'See', 'Bill', 'Details', 'User', 'Friendly']</v>
      </c>
      <c r="D3247" s="3">
        <v>5.0</v>
      </c>
    </row>
    <row r="3248" ht="15.75" customHeight="1">
      <c r="A3248" s="1">
        <v>3430.0</v>
      </c>
      <c r="B3248" s="3" t="s">
        <v>3164</v>
      </c>
      <c r="C3248" s="3" t="str">
        <f>IFERROR(__xludf.DUMMYFUNCTION("GOOGLETRANSLATE(B3248,""id"",""en"")"),"['Download', 'Application', 'Pay', 'Bill', 'Gampang']")</f>
        <v>['Download', 'Application', 'Pay', 'Bill', 'Gampang']</v>
      </c>
      <c r="D3248" s="3">
        <v>5.0</v>
      </c>
    </row>
    <row r="3249" ht="15.75" customHeight="1">
      <c r="A3249" s="1">
        <v>3431.0</v>
      </c>
      <c r="B3249" s="3" t="s">
        <v>3165</v>
      </c>
      <c r="C3249" s="3" t="str">
        <f>IFERROR(__xludf.DUMMYFUNCTION("GOOGLETRANSLATE(B3249,""id"",""en"")"),"['Good', 'The application', 'looks',' user ',' friendly ',' Thank ',' You ',' Telkom ',' already ',' Neletain ',' APK ',' usefull ',' BGTT ']")</f>
        <v>['Good', 'The application', 'looks',' user ',' friendly ',' Thank ',' You ',' Telkom ',' already ',' Neletain ',' APK ',' usefull ',' BGTT ']</v>
      </c>
      <c r="D3249" s="3">
        <v>5.0</v>
      </c>
    </row>
    <row r="3250" ht="15.75" customHeight="1">
      <c r="A3250" s="1">
        <v>3432.0</v>
      </c>
      <c r="B3250" s="3" t="s">
        <v>3166</v>
      </c>
      <c r="C3250" s="3" t="str">
        <f>IFERROR(__xludf.DUMMYFUNCTION("GOOGLETRANSLATE(B3250,""id"",""en"")"),"['Lemot', 'APK']")</f>
        <v>['Lemot', 'APK']</v>
      </c>
      <c r="D3250" s="3">
        <v>2.0</v>
      </c>
    </row>
    <row r="3251" ht="15.75" customHeight="1">
      <c r="A3251" s="1">
        <v>3434.0</v>
      </c>
      <c r="B3251" s="3" t="s">
        <v>3167</v>
      </c>
      <c r="C3251" s="3" t="str">
        <f>IFERROR(__xludf.DUMMYFUNCTION("GOOGLETRANSLATE(B3251,""id"",""en"")"),"['Cool', 'App']")</f>
        <v>['Cool', 'App']</v>
      </c>
      <c r="D3251" s="3">
        <v>5.0</v>
      </c>
    </row>
    <row r="3252" ht="15.75" customHeight="1">
      <c r="A3252" s="1">
        <v>3435.0</v>
      </c>
      <c r="B3252" s="3" t="s">
        <v>3168</v>
      </c>
      <c r="C3252" s="3" t="str">
        <f>IFERROR(__xludf.DUMMYFUNCTION("GOOGLETRANSLATE(B3252,""id"",""en"")"),"['menu', 'the application', 'good', 'complete', 'information', 'speed', 'login', 'sometimes',' like ',' users', 'dependent', 'signal', ' Good ',' Application ',' ']")</f>
        <v>['menu', 'the application', 'good', 'complete', 'information', 'speed', 'login', 'sometimes',' like ',' users', 'dependent', 'signal', ' Good ',' Application ',' ']</v>
      </c>
      <c r="D3252" s="3">
        <v>4.0</v>
      </c>
    </row>
    <row r="3253" ht="15.75" customHeight="1">
      <c r="A3253" s="1">
        <v>3436.0</v>
      </c>
      <c r="B3253" s="3" t="s">
        <v>3169</v>
      </c>
      <c r="C3253" s="3" t="str">
        <f>IFERROR(__xludf.DUMMYFUNCTION("GOOGLETRANSLATE(B3253,""id"",""en"")"),"['Application', 'mantapp']")</f>
        <v>['Application', 'mantapp']</v>
      </c>
      <c r="D3253" s="3">
        <v>5.0</v>
      </c>
    </row>
    <row r="3254" ht="15.75" customHeight="1">
      <c r="A3254" s="1">
        <v>3437.0</v>
      </c>
      <c r="B3254" s="3" t="s">
        <v>3170</v>
      </c>
      <c r="C3254" s="3" t="str">
        <f>IFERROR(__xludf.DUMMYFUNCTION("GOOGLETRANSLATE(B3254,""id"",""en"")"),"['Heart', 'Install', 'Indihome', 'cheat', 'Install', 'Indihome', 'stop', 'balance', 'scorched', 'stop', 'balance', 'reverse', ' Yesterday ',' Stop ',' Indihome ',' Different ',' Stop ',' Wear ',' Fine ',' Million ',' Installation ',' Indihome ',' Fine ','"&amp;" Million ']")</f>
        <v>['Heart', 'Install', 'Indihome', 'cheat', 'Install', 'Indihome', 'stop', 'balance', 'scorched', 'stop', 'balance', 'reverse', ' Yesterday ',' Stop ',' Indihome ',' Different ',' Stop ',' Wear ',' Fine ',' Million ',' Installation ',' Indihome ',' Fine ',' Million ']</v>
      </c>
      <c r="D3254" s="3">
        <v>1.0</v>
      </c>
    </row>
    <row r="3255" ht="15.75" customHeight="1">
      <c r="A3255" s="1">
        <v>3438.0</v>
      </c>
      <c r="B3255" s="3" t="s">
        <v>3171</v>
      </c>
      <c r="C3255" s="3" t="str">
        <f>IFERROR(__xludf.DUMMYFUNCTION("GOOGLETRANSLATE(B3255,""id"",""en"")"),"['application', 'easy', 'understood', 'check', 'fup', 'profile', 'easy', '']")</f>
        <v>['application', 'easy', 'understood', 'check', 'fup', 'profile', 'easy', '']</v>
      </c>
      <c r="D3255" s="3">
        <v>5.0</v>
      </c>
    </row>
    <row r="3256" ht="15.75" customHeight="1">
      <c r="A3256" s="1">
        <v>3439.0</v>
      </c>
      <c r="B3256" s="3" t="s">
        <v>441</v>
      </c>
      <c r="C3256" s="3" t="str">
        <f>IFERROR(__xludf.DUMMYFUNCTION("GOOGLETRANSLATE(B3256,""id"",""en"")"),"['', '']")</f>
        <v>['', '']</v>
      </c>
      <c r="D3256" s="3">
        <v>5.0</v>
      </c>
    </row>
    <row r="3257" ht="15.75" customHeight="1">
      <c r="A3257" s="1">
        <v>3440.0</v>
      </c>
      <c r="B3257" s="3" t="s">
        <v>3172</v>
      </c>
      <c r="C3257" s="3" t="str">
        <f>IFERROR(__xludf.DUMMYFUNCTION("GOOGLETRANSLATE(B3257,""id"",""en"")"),"['Thank you', 'Application', 'Easy', 'Use', 'Payment', 'Thank you', 'Myindihome', 'Love', 'Stage', ""]")</f>
        <v>['Thank you', 'Application', 'Easy', 'Use', 'Payment', 'Thank you', 'Myindihome', 'Love', 'Stage', "]</v>
      </c>
      <c r="D3257" s="3">
        <v>5.0</v>
      </c>
    </row>
    <row r="3258" ht="15.75" customHeight="1">
      <c r="A3258" s="1">
        <v>3441.0</v>
      </c>
      <c r="B3258" s="3" t="s">
        <v>3173</v>
      </c>
      <c r="C3258" s="3" t="str">
        <f>IFERROR(__xludf.DUMMYFUNCTION("GOOGLETRANSLATE(B3258,""id"",""en"")"),"['Allhamdulillah', 'Kepadang', 'Internet', 'felt', 'Quality', 'Help', 'Thansk', 'Indihome']")</f>
        <v>['Allhamdulillah', 'Kepadang', 'Internet', 'felt', 'Quality', 'Help', 'Thansk', 'Indihome']</v>
      </c>
      <c r="D3258" s="3">
        <v>5.0</v>
      </c>
    </row>
    <row r="3259" ht="15.75" customHeight="1">
      <c r="A3259" s="1">
        <v>3442.0</v>
      </c>
      <c r="B3259" s="3" t="s">
        <v>3174</v>
      </c>
      <c r="C3259" s="3" t="str">
        <f>IFERROR(__xludf.DUMMYFUNCTION("GOOGLETRANSLATE(B3259,""id"",""en"")"),"['', 'application', 'usefull', 'really', 'Millennial', 'really', 'productive', 'application', 'thank', 'love', 'Telkom', 'provides',' application ',' buddy ',' Indihome ',' Search ',' Cuan ',' Causes', '']")</f>
        <v>['', 'application', 'usefull', 'really', 'Millennial', 'really', 'productive', 'application', 'thank', 'love', 'Telkom', 'provides',' application ',' buddy ',' Indihome ',' Search ',' Cuan ',' Causes', '']</v>
      </c>
      <c r="D3259" s="3">
        <v>5.0</v>
      </c>
    </row>
    <row r="3260" ht="15.75" customHeight="1">
      <c r="A3260" s="1">
        <v>3443.0</v>
      </c>
      <c r="B3260" s="3" t="s">
        <v>3175</v>
      </c>
      <c r="C3260" s="3" t="str">
        <f>IFERROR(__xludf.DUMMYFUNCTION("GOOGLETRANSLATE(B3260,""id"",""en"")"),"['nich', 'application', 'it functions', 'information', 'good', '']")</f>
        <v>['nich', 'application', 'it functions', 'information', 'good', '']</v>
      </c>
      <c r="D3260" s="3">
        <v>5.0</v>
      </c>
    </row>
    <row r="3261" ht="15.75" customHeight="1">
      <c r="A3261" s="1">
        <v>3444.0</v>
      </c>
      <c r="B3261" s="3" t="s">
        <v>3176</v>
      </c>
      <c r="C3261" s="3" t="str">
        <f>IFERROR(__xludf.DUMMYFUNCTION("GOOGLETRANSLATE(B3261,""id"",""en"")"),"['Display', 'good', 'menu', 'catch', 'Myindihome', 'Makij', 'okay', 'mantappjiaraaa', '']")</f>
        <v>['Display', 'good', 'menu', 'catch', 'Myindihome', 'Makij', 'okay', 'mantappjiaraaa', '']</v>
      </c>
      <c r="D3261" s="3">
        <v>5.0</v>
      </c>
    </row>
    <row r="3262" ht="15.75" customHeight="1">
      <c r="A3262" s="1">
        <v>3445.0</v>
      </c>
      <c r="B3262" s="3" t="s">
        <v>3177</v>
      </c>
      <c r="C3262" s="3" t="str">
        <f>IFERROR(__xludf.DUMMYFUNCTION("GOOGLETRANSLATE(B3262,""id"",""en"")"),"['Display', 'Fresh', 'Easy', 'Feature', 'Not bad', 'complete']")</f>
        <v>['Display', 'Fresh', 'Easy', 'Feature', 'Not bad', 'complete']</v>
      </c>
      <c r="D3262" s="3">
        <v>5.0</v>
      </c>
    </row>
    <row r="3263" ht="15.75" customHeight="1">
      <c r="A3263" s="1">
        <v>3446.0</v>
      </c>
      <c r="B3263" s="3" t="s">
        <v>3178</v>
      </c>
      <c r="C3263" s="3" t="str">
        <f>IFERROR(__xludf.DUMMYFUNCTION("GOOGLETRANSLATE(B3263,""id"",""en"")"),"['Easy', 'BYR', 'Direct', 'Link', 'Aza', ""]")</f>
        <v>['Easy', 'BYR', 'Direct', 'Link', 'Aza', "]</v>
      </c>
      <c r="D3263" s="3">
        <v>5.0</v>
      </c>
    </row>
    <row r="3264" ht="15.75" customHeight="1">
      <c r="A3264" s="1">
        <v>3447.0</v>
      </c>
      <c r="B3264" s="3" t="s">
        <v>3179</v>
      </c>
      <c r="C3264" s="3" t="str">
        <f>IFERROR(__xludf.DUMMYFUNCTION("GOOGLETRANSLATE(B3264,""id"",""en"")"),"['Application', 'Myindihome', 'Help', 'Pay', 'Use', 'Inet', 'Sukse', 'Myindihome']")</f>
        <v>['Application', 'Myindihome', 'Help', 'Pay', 'Use', 'Inet', 'Sukse', 'Myindihome']</v>
      </c>
      <c r="D3264" s="3">
        <v>5.0</v>
      </c>
    </row>
    <row r="3265" ht="15.75" customHeight="1">
      <c r="A3265" s="1">
        <v>3449.0</v>
      </c>
      <c r="B3265" s="3" t="s">
        <v>3038</v>
      </c>
      <c r="C3265" s="3" t="str">
        <f>IFERROR(__xludf.DUMMYFUNCTION("GOOGLETRANSLATE(B3265,""id"",""en"")"),"['easy']")</f>
        <v>['easy']</v>
      </c>
      <c r="D3265" s="3">
        <v>5.0</v>
      </c>
    </row>
    <row r="3266" ht="15.75" customHeight="1">
      <c r="A3266" s="1">
        <v>3450.0</v>
      </c>
      <c r="B3266" s="3" t="s">
        <v>3180</v>
      </c>
      <c r="C3266" s="3" t="str">
        <f>IFERROR(__xludf.DUMMYFUNCTION("GOOGLETRANSLATE(B3266,""id"",""en"")"),"['wifi', 'stressed', 'wifi', 'like', 'connect', 'connection', 'internet']")</f>
        <v>['wifi', 'stressed', 'wifi', 'like', 'connect', 'connection', 'internet']</v>
      </c>
      <c r="D3266" s="3">
        <v>1.0</v>
      </c>
    </row>
    <row r="3267" ht="15.75" customHeight="1">
      <c r="A3267" s="1">
        <v>3451.0</v>
      </c>
      <c r="B3267" s="3" t="s">
        <v>3181</v>
      </c>
      <c r="C3267" s="3" t="str">
        <f>IFERROR(__xludf.DUMMYFUNCTION("GOOGLETRANSLATE(B3267,""id"",""en"")"),"['Application', 'easy', 'understand']")</f>
        <v>['Application', 'easy', 'understand']</v>
      </c>
      <c r="D3267" s="3">
        <v>5.0</v>
      </c>
    </row>
    <row r="3268" ht="15.75" customHeight="1">
      <c r="A3268" s="1">
        <v>3452.0</v>
      </c>
      <c r="B3268" s="3" t="s">
        <v>3182</v>
      </c>
      <c r="C3268" s="3" t="str">
        <f>IFERROR(__xludf.DUMMYFUNCTION("GOOGLETRANSLATE(B3268,""id"",""en"")"),"['extender', 'wifi', 'upgrade', 'speed', 'appears',' notification ',' improvement ',' service ',' repaired ',' apps', 'optimal', 'apps',' Classified ',' slow ',' refresh ',' page ',' home ',' feature ',' complaint ',' service ',' held ',' update ',' makin"&amp;"g easier ',' user ',' indihome ' , 'complain', 'complaints', 'service']")</f>
        <v>['extender', 'wifi', 'upgrade', 'speed', 'appears',' notification ',' improvement ',' service ',' repaired ',' apps', 'optimal', 'apps',' Classified ',' slow ',' refresh ',' page ',' home ',' feature ',' complaint ',' service ',' held ',' update ',' making easier ',' user ',' indihome ' , 'complain', 'complaints', 'service']</v>
      </c>
      <c r="D3268" s="3">
        <v>3.0</v>
      </c>
    </row>
    <row r="3269" ht="15.75" customHeight="1">
      <c r="A3269" s="1">
        <v>3453.0</v>
      </c>
      <c r="B3269" s="3" t="s">
        <v>3183</v>
      </c>
      <c r="C3269" s="3" t="str">
        <f>IFERROR(__xludf.DUMMYFUNCTION("GOOGLETRANSLATE(B3269,""id"",""en"")"),"['thank', 'love', 'information', 'smooth']")</f>
        <v>['thank', 'love', 'information', 'smooth']</v>
      </c>
      <c r="D3269" s="3">
        <v>5.0</v>
      </c>
    </row>
    <row r="3270" ht="15.75" customHeight="1">
      <c r="A3270" s="1">
        <v>3454.0</v>
      </c>
      <c r="B3270" s="3" t="s">
        <v>3184</v>
      </c>
      <c r="C3270" s="3" t="str">
        <f>IFERROR(__xludf.DUMMYFUNCTION("GOOGLETRANSLATE(B3270,""id"",""en"")"),"['already', 'make', 'Mbps', 'Tetep', 'slow', 'Kecited', 'really']")</f>
        <v>['already', 'make', 'Mbps', 'Tetep', 'slow', 'Kecited', 'really']</v>
      </c>
      <c r="D3270" s="3">
        <v>1.0</v>
      </c>
    </row>
    <row r="3271" ht="15.75" customHeight="1">
      <c r="A3271" s="1">
        <v>3455.0</v>
      </c>
      <c r="B3271" s="3" t="s">
        <v>3185</v>
      </c>
      <c r="C3271" s="3" t="str">
        <f>IFERROR(__xludf.DUMMYFUNCTION("GOOGLETRANSLATE(B3271,""id"",""en"")"),"['Okay']")</f>
        <v>['Okay']</v>
      </c>
      <c r="D3271" s="3">
        <v>5.0</v>
      </c>
    </row>
    <row r="3272" ht="15.75" customHeight="1">
      <c r="A3272" s="1">
        <v>3456.0</v>
      </c>
      <c r="B3272" s="3" t="s">
        <v>3186</v>
      </c>
      <c r="C3272" s="3" t="str">
        <f>IFERROR(__xludf.DUMMYFUNCTION("GOOGLETRANSLATE(B3272,""id"",""en"")"),"['Please', 'repaired', 'System', '']")</f>
        <v>['Please', 'repaired', 'System', '']</v>
      </c>
      <c r="D3272" s="3">
        <v>5.0</v>
      </c>
    </row>
    <row r="3273" ht="15.75" customHeight="1">
      <c r="A3273" s="1">
        <v>3457.0</v>
      </c>
      <c r="B3273" s="3" t="s">
        <v>3187</v>
      </c>
      <c r="C3273" s="3" t="str">
        <f>IFERROR(__xludf.DUMMYFUNCTION("GOOGLETRANSLATE(B3273,""id"",""en"")"),"['Lemottt', 'good', 'version', 'boss']")</f>
        <v>['Lemottt', 'good', 'version', 'boss']</v>
      </c>
      <c r="D3273" s="3">
        <v>1.0</v>
      </c>
    </row>
    <row r="3274" ht="15.75" customHeight="1">
      <c r="A3274" s="1">
        <v>3458.0</v>
      </c>
      <c r="B3274" s="3" t="s">
        <v>3188</v>
      </c>
      <c r="C3274" s="3" t="str">
        <f>IFERROR(__xludf.DUMMYFUNCTION("GOOGLETRANSLATE(B3274,""id"",""en"")"),"['Feature', 'Help']")</f>
        <v>['Feature', 'Help']</v>
      </c>
      <c r="D3274" s="3">
        <v>5.0</v>
      </c>
    </row>
    <row r="3275" ht="15.75" customHeight="1">
      <c r="A3275" s="1">
        <v>3459.0</v>
      </c>
      <c r="B3275" s="3" t="s">
        <v>3189</v>
      </c>
      <c r="C3275" s="3" t="str">
        <f>IFERROR(__xludf.DUMMYFUNCTION("GOOGLETRANSLATE(B3275,""id"",""en"")"),"['update', 'APK', 'super', 'slow', 'email', 'verification', 'reset', 'profile', 'mentok', 'apk', 'before', 'already', ' Please, 'Fix', 'Customer', 'Comfortable']")</f>
        <v>['update', 'APK', 'super', 'slow', 'email', 'verification', 'reset', 'profile', 'mentok', 'apk', 'before', 'already', ' Please, 'Fix', 'Customer', 'Comfortable']</v>
      </c>
      <c r="D3275" s="3">
        <v>1.0</v>
      </c>
    </row>
    <row r="3276" ht="15.75" customHeight="1">
      <c r="A3276" s="1">
        <v>3460.0</v>
      </c>
      <c r="B3276" s="3" t="s">
        <v>3190</v>
      </c>
      <c r="C3276" s="3" t="str">
        <f>IFERROR(__xludf.DUMMYFUNCTION("GOOGLETRANSLATE(B3276,""id"",""en"")"),"['update', 'login', 'reset', 'fail', 'enter']")</f>
        <v>['update', 'login', 'reset', 'fail', 'enter']</v>
      </c>
      <c r="D3276" s="3">
        <v>1.0</v>
      </c>
    </row>
    <row r="3277" ht="15.75" customHeight="1">
      <c r="A3277" s="1">
        <v>3461.0</v>
      </c>
      <c r="B3277" s="3" t="s">
        <v>3191</v>
      </c>
      <c r="C3277" s="3" t="str">
        <f>IFERROR(__xludf.DUMMYFUNCTION("GOOGLETRANSLATE(B3277,""id"",""en"")"),"['Application', 'Response', 'Lola', 'Rich', 'internet', 'Lola']")</f>
        <v>['Application', 'Response', 'Lola', 'Rich', 'internet', 'Lola']</v>
      </c>
      <c r="D3277" s="3">
        <v>2.0</v>
      </c>
    </row>
    <row r="3278" ht="15.75" customHeight="1">
      <c r="A3278" s="1">
        <v>3462.0</v>
      </c>
      <c r="B3278" s="3" t="s">
        <v>3192</v>
      </c>
      <c r="C3278" s="3" t="str">
        <f>IFERROR(__xludf.DUMMYFUNCTION("GOOGLETRANSLATE(B3278,""id"",""en"")"),"['The application', 'easy', 'understanded', 'good']")</f>
        <v>['The application', 'easy', 'understanded', 'good']</v>
      </c>
      <c r="D3278" s="3">
        <v>5.0</v>
      </c>
    </row>
    <row r="3279" ht="15.75" customHeight="1">
      <c r="A3279" s="1">
        <v>3463.0</v>
      </c>
      <c r="B3279" s="3" t="s">
        <v>3193</v>
      </c>
      <c r="C3279" s="3" t="str">
        <f>IFERROR(__xludf.DUMMYFUNCTION("GOOGLETRANSLATE(B3279,""id"",""en"")"),"['network', 'smooth', 'fast', 'installation', 'complicated', 'steady']")</f>
        <v>['network', 'smooth', 'fast', 'installation', 'complicated', 'steady']</v>
      </c>
      <c r="D3279" s="3">
        <v>5.0</v>
      </c>
    </row>
    <row r="3280" ht="15.75" customHeight="1">
      <c r="A3280" s="1">
        <v>3464.0</v>
      </c>
      <c r="B3280" s="3" t="s">
        <v>3194</v>
      </c>
      <c r="C3280" s="3" t="str">
        <f>IFERROR(__xludf.DUMMYFUNCTION("GOOGLETRANSLATE(B3280,""id"",""en"")"),"['Permr', 'graduates', 'gifts', 'brapa', 'experience', 'application', 'thatUpdate', 'kayak', 'gini']")</f>
        <v>['Permr', 'graduates', 'gifts', 'brapa', 'experience', 'application', 'thatUpdate', 'kayak', 'gini']</v>
      </c>
      <c r="D3280" s="3">
        <v>1.0</v>
      </c>
    </row>
    <row r="3281" ht="15.75" customHeight="1">
      <c r="A3281" s="1">
        <v>3466.0</v>
      </c>
      <c r="B3281" s="3" t="s">
        <v>3195</v>
      </c>
      <c r="C3281" s="3" t="str">
        <f>IFERROR(__xludf.DUMMYFUNCTION("GOOGLETRANSLATE(B3281,""id"",""en"")"),"['application', 'makes it easier', 'understand', 'Indihome', 'pay', 'fees', 'monthly', 'easy']")</f>
        <v>['application', 'makes it easier', 'understand', 'Indihome', 'pay', 'fees', 'monthly', 'easy']</v>
      </c>
      <c r="D3281" s="3">
        <v>5.0</v>
      </c>
    </row>
    <row r="3282" ht="15.75" customHeight="1">
      <c r="A3282" s="1">
        <v>3467.0</v>
      </c>
      <c r="B3282" s="3" t="s">
        <v>3196</v>
      </c>
      <c r="C3282" s="3" t="str">
        <f>IFERROR(__xludf.DUMMYFUNCTION("GOOGLETRANSLATE(B3282,""id"",""en"")"),"['feature', '']")</f>
        <v>['feature', '']</v>
      </c>
      <c r="D3282" s="3">
        <v>5.0</v>
      </c>
    </row>
    <row r="3283" ht="15.75" customHeight="1">
      <c r="A3283" s="1">
        <v>3468.0</v>
      </c>
      <c r="B3283" s="3" t="s">
        <v>3197</v>
      </c>
      <c r="C3283" s="3" t="str">
        <f>IFERROR(__xludf.DUMMYFUNCTION("GOOGLETRANSLATE(B3283,""id"",""en"")"),"['The application', 'good', 'complete', 'checks',' Bill ',' data ',' sometimes', 'need', 'raises',' use ',' data ',' minimized ',' Data ',' access', 'Application', 'Heavy']")</f>
        <v>['The application', 'good', 'complete', 'checks',' Bill ',' data ',' sometimes', 'need', 'raises',' use ',' data ',' minimized ',' Data ',' access', 'Application', 'Heavy']</v>
      </c>
      <c r="D3283" s="3">
        <v>5.0</v>
      </c>
    </row>
    <row r="3284" ht="15.75" customHeight="1">
      <c r="A3284" s="1">
        <v>3469.0</v>
      </c>
      <c r="B3284" s="3" t="s">
        <v>3198</v>
      </c>
      <c r="C3284" s="3" t="str">
        <f>IFERROR(__xludf.DUMMYFUNCTION("GOOGLETRANSLATE(B3284,""id"",""en"")"),"['update', 'the latest', 'application', 'makes it easy', 'method', 'payment', 'Linkaja', 'cost', 'admin', 'good', 'indihome', '']")</f>
        <v>['update', 'the latest', 'application', 'makes it easy', 'method', 'payment', 'Linkaja', 'cost', 'admin', 'good', 'indihome', '']</v>
      </c>
      <c r="D3284" s="3">
        <v>5.0</v>
      </c>
    </row>
    <row r="3285" ht="15.75" customHeight="1">
      <c r="A3285" s="1">
        <v>3470.0</v>
      </c>
      <c r="B3285" s="3" t="s">
        <v>3199</v>
      </c>
      <c r="C3285" s="3" t="str">
        <f>IFERROR(__xludf.DUMMYFUNCTION("GOOGLETRANSLATE(B3285,""id"",""en"")"),"['look', 'interesting', 'easy', 'understood']")</f>
        <v>['look', 'interesting', 'easy', 'understood']</v>
      </c>
      <c r="D3285" s="3">
        <v>5.0</v>
      </c>
    </row>
    <row r="3286" ht="15.75" customHeight="1">
      <c r="A3286" s="1">
        <v>3471.0</v>
      </c>
      <c r="B3286" s="3" t="s">
        <v>3200</v>
      </c>
      <c r="C3286" s="3" t="str">
        <f>IFERROR(__xludf.DUMMYFUNCTION("GOOGLETRANSLATE(B3286,""id"",""en"")"),"['JILAD', 'INDIHOME', 'BEST', 'INDIHOME', 'Idol', 'Indihome', 'Proded', 'IndiHome', 'as fast', 'light', 'no' fast ',' Indihome ',' ']")</f>
        <v>['JILAD', 'INDIHOME', 'BEST', 'INDIHOME', 'Idol', 'Indihome', 'Proded', 'IndiHome', 'as fast', 'light', 'no' fast ',' Indihome ',' ']</v>
      </c>
      <c r="D3286" s="3">
        <v>5.0</v>
      </c>
    </row>
    <row r="3287" ht="15.75" customHeight="1">
      <c r="A3287" s="1">
        <v>3472.0</v>
      </c>
      <c r="B3287" s="3" t="s">
        <v>3201</v>
      </c>
      <c r="C3287" s="3" t="str">
        <f>IFERROR(__xludf.DUMMYFUNCTION("GOOGLETRANSLATE(B3287,""id"",""en"")"),"['steady', 'complain', 'fast', 'responded', 'hope', 'front', 'indihome', ""]")</f>
        <v>['steady', 'complain', 'fast', 'responded', 'hope', 'front', 'indihome', "]</v>
      </c>
      <c r="D3287" s="3">
        <v>5.0</v>
      </c>
    </row>
    <row r="3288" ht="15.75" customHeight="1">
      <c r="A3288" s="1">
        <v>3473.0</v>
      </c>
      <c r="B3288" s="3" t="s">
        <v>199</v>
      </c>
      <c r="C3288" s="3" t="str">
        <f>IFERROR(__xludf.DUMMYFUNCTION("GOOGLETRANSLATE(B3288,""id"",""en"")"),"['satisfied']")</f>
        <v>['satisfied']</v>
      </c>
      <c r="D3288" s="3">
        <v>5.0</v>
      </c>
    </row>
    <row r="3289" ht="15.75" customHeight="1">
      <c r="A3289" s="1">
        <v>3474.0</v>
      </c>
      <c r="B3289" s="3" t="s">
        <v>833</v>
      </c>
      <c r="C3289" s="3" t="str">
        <f>IFERROR(__xludf.DUMMYFUNCTION("GOOGLETRANSLATE(B3289,""id"",""en"")"),"['Good']")</f>
        <v>['Good']</v>
      </c>
      <c r="D3289" s="3">
        <v>5.0</v>
      </c>
    </row>
    <row r="3290" ht="15.75" customHeight="1">
      <c r="A3290" s="1">
        <v>3475.0</v>
      </c>
      <c r="B3290" s="3" t="s">
        <v>3202</v>
      </c>
      <c r="C3290" s="3" t="str">
        <f>IFERROR(__xludf.DUMMYFUNCTION("GOOGLETRANSLATE(B3290,""id"",""en"")"),"['update', 'the latest', 'telkom', 'easy', 'access', 'service', '']")</f>
        <v>['update', 'the latest', 'telkom', 'easy', 'access', 'service', '']</v>
      </c>
      <c r="D3290" s="3">
        <v>5.0</v>
      </c>
    </row>
    <row r="3291" ht="15.75" customHeight="1">
      <c r="A3291" s="1">
        <v>3476.0</v>
      </c>
      <c r="B3291" s="3" t="s">
        <v>3203</v>
      </c>
      <c r="C3291" s="3" t="str">
        <f>IFERROR(__xludf.DUMMYFUNCTION("GOOGLETRANSLATE(B3291,""id"",""en"")"),"['steady', 'easy', 'fees', 'monthly', 'etc.', '']")</f>
        <v>['steady', 'easy', 'fees', 'monthly', 'etc.', '']</v>
      </c>
      <c r="D3291" s="3">
        <v>5.0</v>
      </c>
    </row>
    <row r="3292" ht="15.75" customHeight="1">
      <c r="A3292" s="1">
        <v>3477.0</v>
      </c>
      <c r="B3292" s="3" t="s">
        <v>3204</v>
      </c>
      <c r="C3292" s="3" t="str">
        <f>IFERROR(__xludf.DUMMYFUNCTION("GOOGLETRANSLATE(B3292,""id"",""en"")"),"['Update', 'Application', 'Indihome', 'Features',' Shown ',' Complete ',' Certain ',' user ',' Friendly ',' Increases', 'Service', 'In the future', ' Tks']")</f>
        <v>['Update', 'Application', 'Indihome', 'Features',' Shown ',' Complete ',' Certain ',' user ',' Friendly ',' Increases', 'Service', 'In the future', ' Tks']</v>
      </c>
      <c r="D3292" s="3">
        <v>5.0</v>
      </c>
    </row>
    <row r="3293" ht="15.75" customHeight="1">
      <c r="A3293" s="1">
        <v>3478.0</v>
      </c>
      <c r="B3293" s="3" t="s">
        <v>3205</v>
      </c>
      <c r="C3293" s="3" t="str">
        <f>IFERROR(__xludf.DUMMYFUNCTION("GOOGLETRANSLATE(B3293,""id"",""en"")"),"['Display', 'Luxury', 'TOP', '']")</f>
        <v>['Display', 'Luxury', 'TOP', '']</v>
      </c>
      <c r="D3293" s="3">
        <v>5.0</v>
      </c>
    </row>
    <row r="3294" ht="15.75" customHeight="1">
      <c r="A3294" s="1">
        <v>3479.0</v>
      </c>
      <c r="B3294" s="3" t="s">
        <v>548</v>
      </c>
      <c r="C3294" s="3" t="str">
        <f>IFERROR(__xludf.DUMMYFUNCTION("GOOGLETRANSLATE(B3294,""id"",""en"")"),"['help', '']")</f>
        <v>['help', '']</v>
      </c>
      <c r="D3294" s="3">
        <v>5.0</v>
      </c>
    </row>
    <row r="3295" ht="15.75" customHeight="1">
      <c r="A3295" s="1">
        <v>3480.0</v>
      </c>
      <c r="B3295" s="3" t="s">
        <v>3206</v>
      </c>
      <c r="C3295" s="3" t="str">
        <f>IFERROR(__xludf.DUMMYFUNCTION("GOOGLETRANSLATE(B3295,""id"",""en"")"),"['Good', 'application', ""]")</f>
        <v>['Good', 'application', "]</v>
      </c>
      <c r="D3295" s="3">
        <v>5.0</v>
      </c>
    </row>
    <row r="3296" ht="15.75" customHeight="1">
      <c r="A3296" s="1">
        <v>3481.0</v>
      </c>
      <c r="B3296" s="3" t="s">
        <v>3207</v>
      </c>
      <c r="C3296" s="3" t="str">
        <f>IFERROR(__xludf.DUMMYFUNCTION("GOOGLETRANSLATE(B3296,""id"",""en"")"),"['Good', 'Feature', 'Need', 'Alplikasi', 'Display', 'Easy', 'Understand', ""]")</f>
        <v>['Good', 'Feature', 'Need', 'Alplikasi', 'Display', 'Easy', 'Understand', "]</v>
      </c>
      <c r="D3296" s="3">
        <v>5.0</v>
      </c>
    </row>
    <row r="3297" ht="15.75" customHeight="1">
      <c r="A3297" s="1">
        <v>3482.0</v>
      </c>
      <c r="B3297" s="3" t="s">
        <v>3208</v>
      </c>
      <c r="C3297" s="3" t="str">
        <f>IFERROR(__xludf.DUMMYFUNCTION("GOOGLETRANSLATE(B3297,""id"",""en"")"),"['application', 'easy', 'comfortable', 'features', 'complete']")</f>
        <v>['application', 'easy', 'comfortable', 'features', 'complete']</v>
      </c>
      <c r="D3297" s="3">
        <v>5.0</v>
      </c>
    </row>
    <row r="3298" ht="15.75" customHeight="1">
      <c r="A3298" s="1">
        <v>3483.0</v>
      </c>
      <c r="B3298" s="3" t="s">
        <v>548</v>
      </c>
      <c r="C3298" s="3" t="str">
        <f>IFERROR(__xludf.DUMMYFUNCTION("GOOGLETRANSLATE(B3298,""id"",""en"")"),"['help', '']")</f>
        <v>['help', '']</v>
      </c>
      <c r="D3298" s="3">
        <v>5.0</v>
      </c>
    </row>
    <row r="3299" ht="15.75" customHeight="1">
      <c r="A3299" s="1">
        <v>3484.0</v>
      </c>
      <c r="B3299" s="3" t="s">
        <v>3209</v>
      </c>
      <c r="C3299" s="3" t="str">
        <f>IFERROR(__xludf.DUMMYFUNCTION("GOOGLETRANSLATE(B3299,""id"",""en"")"),"['Alhamdulillah', 'Indihome', 'obstacles',' every time ',' complaints', 'Report', 'Direct', 'Acts',' Continue ',' Child ',' Learning ',' Online ',' at home ',' smooth ',' trima ',' love ',' indihome ']")</f>
        <v>['Alhamdulillah', 'Indihome', 'obstacles',' every time ',' complaints', 'Report', 'Direct', 'Acts',' Continue ',' Child ',' Learning ',' Online ',' at home ',' smooth ',' trima ',' love ',' indihome ']</v>
      </c>
      <c r="D3299" s="3">
        <v>5.0</v>
      </c>
    </row>
    <row r="3300" ht="15.75" customHeight="1">
      <c r="A3300" s="1">
        <v>3485.0</v>
      </c>
      <c r="B3300" s="3" t="s">
        <v>3210</v>
      </c>
      <c r="C3300" s="3" t="str">
        <f>IFERROR(__xludf.DUMMYFUNCTION("GOOGLETRANSLATE(B3300,""id"",""en"")"),"['exciting', 'version', 'the latest', 'Myindihome', 'Good', 'Yesterday', 'Hopefully', 'Increases', ""]")</f>
        <v>['exciting', 'version', 'the latest', 'Myindihome', 'Good', 'Yesterday', 'Hopefully', 'Increases', "]</v>
      </c>
      <c r="D3300" s="3">
        <v>5.0</v>
      </c>
    </row>
    <row r="3301" ht="15.75" customHeight="1">
      <c r="A3301" s="1">
        <v>3486.0</v>
      </c>
      <c r="B3301" s="3" t="s">
        <v>3211</v>
      </c>
      <c r="C3301" s="3" t="str">
        <f>IFERROR(__xludf.DUMMYFUNCTION("GOOGLETRANSLATE(B3301,""id"",""en"")"),"['Good', 'update', 'times', 'neat', 'Simple']")</f>
        <v>['Good', 'update', 'times', 'neat', 'Simple']</v>
      </c>
      <c r="D3301" s="3">
        <v>5.0</v>
      </c>
    </row>
    <row r="3302" ht="15.75" customHeight="1">
      <c r="A3302" s="1">
        <v>3488.0</v>
      </c>
      <c r="B3302" s="3" t="s">
        <v>3212</v>
      </c>
      <c r="C3302" s="3" t="str">
        <f>IFERROR(__xludf.DUMMYFUNCTION("GOOGLETRANSLATE(B3302,""id"",""en"")"),"['The service', 'fast', '']")</f>
        <v>['The service', 'fast', '']</v>
      </c>
      <c r="D3302" s="3">
        <v>5.0</v>
      </c>
    </row>
    <row r="3303" ht="15.75" customHeight="1">
      <c r="A3303" s="1">
        <v>3489.0</v>
      </c>
      <c r="B3303" s="3" t="s">
        <v>3213</v>
      </c>
      <c r="C3303" s="3" t="str">
        <f>IFERROR(__xludf.DUMMYFUNCTION("GOOGLETRANSLATE(B3303,""id"",""en"")"),"['application', 'good', 'smooth', 'fast', 'response']")</f>
        <v>['application', 'good', 'smooth', 'fast', 'response']</v>
      </c>
      <c r="D3303" s="3">
        <v>5.0</v>
      </c>
    </row>
    <row r="3304" ht="15.75" customHeight="1">
      <c r="A3304" s="1">
        <v>3490.0</v>
      </c>
      <c r="B3304" s="3" t="s">
        <v>3214</v>
      </c>
      <c r="C3304" s="3" t="str">
        <f>IFERROR(__xludf.DUMMYFUNCTION("GOOGLETRANSLATE(B3304,""id"",""en"")"),"['apagunoes', 'application', 'complaint', 'disorder', 'error', 'just', '']")</f>
        <v>['apagunoes', 'application', 'complaint', 'disorder', 'error', 'just', '']</v>
      </c>
      <c r="D3304" s="3">
        <v>1.0</v>
      </c>
    </row>
    <row r="3305" ht="15.75" customHeight="1">
      <c r="A3305" s="1">
        <v>3491.0</v>
      </c>
      <c r="B3305" s="3" t="s">
        <v>3215</v>
      </c>
      <c r="C3305" s="3" t="str">
        <f>IFERROR(__xludf.DUMMYFUNCTION("GOOGLETRANSLATE(B3305,""id"",""en"")"),"['already', 'Pay', 'Tetep', 'Get', 'Notif', 'Please', 'Addin', 'Jugs', 'Feature', 'Pay']")</f>
        <v>['already', 'Pay', 'Tetep', 'Get', 'Notif', 'Please', 'Addin', 'Jugs', 'Feature', 'Pay']</v>
      </c>
      <c r="D3305" s="3">
        <v>2.0</v>
      </c>
    </row>
    <row r="3306" ht="15.75" customHeight="1">
      <c r="A3306" s="1">
        <v>3493.0</v>
      </c>
      <c r="B3306" s="3" t="s">
        <v>3216</v>
      </c>
      <c r="C3306" s="3" t="str">
        <f>IFERROR(__xludf.DUMMYFUNCTION("GOOGLETRANSLATE(B3306,""id"",""en"")"),"['permission', 'modem', 'zte', 'company', 'indihome', 'thank you']")</f>
        <v>['permission', 'modem', 'zte', 'company', 'indihome', 'thank you']</v>
      </c>
      <c r="D3306" s="3">
        <v>5.0</v>
      </c>
    </row>
    <row r="3307" ht="15.75" customHeight="1">
      <c r="A3307" s="1">
        <v>3494.0</v>
      </c>
      <c r="B3307" s="3" t="s">
        <v>3217</v>
      </c>
      <c r="C3307" s="3" t="str">
        <f>IFERROR(__xludf.DUMMYFUNCTION("GOOGLETRANSLATE(B3307,""id"",""en"")"),"['knp', 'indohome', 'damaged', 'slow', 'download', 'data', '']")</f>
        <v>['knp', 'indohome', 'damaged', 'slow', 'download', 'data', '']</v>
      </c>
      <c r="D3307" s="3">
        <v>1.0</v>
      </c>
    </row>
    <row r="3308" ht="15.75" customHeight="1">
      <c r="A3308" s="1">
        <v>3495.0</v>
      </c>
      <c r="B3308" s="3" t="s">
        <v>3218</v>
      </c>
      <c r="C3308" s="3" t="str">
        <f>IFERROR(__xludf.DUMMYFUNCTION("GOOGLETRANSLATE(B3308,""id"",""en"")"),"['Difficulty', 'Disabling', 'Additional', 'Features', 'Disables', 'Game', 'Online', 'Menu', '']")</f>
        <v>['Difficulty', 'Disabling', 'Additional', 'Features', 'Disables', 'Game', 'Online', 'Menu', '']</v>
      </c>
      <c r="D3308" s="3">
        <v>3.0</v>
      </c>
    </row>
    <row r="3309" ht="15.75" customHeight="1">
      <c r="A3309" s="1">
        <v>3496.0</v>
      </c>
      <c r="B3309" s="3" t="s">
        <v>3219</v>
      </c>
      <c r="C3309" s="3" t="str">
        <f>IFERROR(__xludf.DUMMYFUNCTION("GOOGLETRANSLATE(B3309,""id"",""en"")"),"['Application', 'Good', 'FUP', 'used', 'Anyway', 'Success',' Myindihome ',' Download ',' Come ',' Use ',' Application ',' Mantap ',' soul']")</f>
        <v>['Application', 'Good', 'FUP', 'used', 'Anyway', 'Success',' Myindihome ',' Download ',' Come ',' Use ',' Application ',' Mantap ',' soul']</v>
      </c>
      <c r="D3309" s="3">
        <v>5.0</v>
      </c>
    </row>
    <row r="3310" ht="15.75" customHeight="1">
      <c r="A3310" s="1">
        <v>3497.0</v>
      </c>
      <c r="B3310" s="3" t="s">
        <v>3220</v>
      </c>
      <c r="C3310" s="3" t="str">
        <f>IFERROR(__xludf.DUMMYFUNCTION("GOOGLETRANSLATE(B3310,""id"",""en"")"),"['', 'report', 'disruption', 'application', 'report', 'ticket', 'fast', 'finished']")</f>
        <v>['', 'report', 'disruption', 'application', 'report', 'ticket', 'fast', 'finished']</v>
      </c>
      <c r="D3310" s="3">
        <v>2.0</v>
      </c>
    </row>
    <row r="3311" ht="15.75" customHeight="1">
      <c r="A3311" s="1">
        <v>3498.0</v>
      </c>
      <c r="B3311" s="3" t="s">
        <v>3221</v>
      </c>
      <c r="C3311" s="3" t="str">
        <f>IFERROR(__xludf.DUMMYFUNCTION("GOOGLETRANSLATE(B3311,""id"",""en"")"),"['Network', 'good', 'fluent', 'mantapp']")</f>
        <v>['Network', 'good', 'fluent', 'mantapp']</v>
      </c>
      <c r="D3311" s="3">
        <v>5.0</v>
      </c>
    </row>
    <row r="3312" ht="15.75" customHeight="1">
      <c r="A3312" s="1">
        <v>3499.0</v>
      </c>
      <c r="B3312" s="3" t="s">
        <v>3222</v>
      </c>
      <c r="C3312" s="3" t="str">
        <f>IFERROR(__xludf.DUMMYFUNCTION("GOOGLETRANSLATE(B3312,""id"",""en"")"),"['Price', 'Application', 'Price', 'Different', 'Application', 'Price', 'Mbps', 'Mbps', 'Please', 'answer']")</f>
        <v>['Price', 'Application', 'Price', 'Different', 'Application', 'Price', 'Mbps', 'Mbps', 'Please', 'answer']</v>
      </c>
      <c r="D3312" s="3">
        <v>5.0</v>
      </c>
    </row>
    <row r="3313" ht="15.75" customHeight="1">
      <c r="A3313" s="1">
        <v>3500.0</v>
      </c>
      <c r="B3313" s="3" t="s">
        <v>3223</v>
      </c>
      <c r="C3313" s="3" t="str">
        <f>IFERROR(__xludf.DUMMYFUNCTION("GOOGLETRANSLATE(B3313,""id"",""en"")"),"['Update', 'Application', 'Myindihome', 'Feature', 'Good', 'Interesting']")</f>
        <v>['Update', 'Application', 'Myindihome', 'Feature', 'Good', 'Interesting']</v>
      </c>
      <c r="D3313" s="3">
        <v>5.0</v>
      </c>
    </row>
    <row r="3314" ht="15.75" customHeight="1">
      <c r="A3314" s="1">
        <v>3501.0</v>
      </c>
      <c r="B3314" s="3" t="s">
        <v>3224</v>
      </c>
      <c r="C3314" s="3" t="str">
        <f>IFERROR(__xludf.DUMMYFUNCTION("GOOGLETRANSLATE(B3314,""id"",""en"")"),"['Use', 'good', 'service', 'like', 'bill', '']")</f>
        <v>['Use', 'good', 'service', 'like', 'bill', '']</v>
      </c>
      <c r="D3314" s="3">
        <v>5.0</v>
      </c>
    </row>
    <row r="3315" ht="15.75" customHeight="1">
      <c r="A3315" s="1">
        <v>3502.0</v>
      </c>
      <c r="B3315" s="3" t="s">
        <v>3225</v>
      </c>
      <c r="C3315" s="3" t="str">
        <f>IFERROR(__xludf.DUMMYFUNCTION("GOOGLETRANSLATE(B3315,""id"",""en"")"),"['Help', 'makes it easier', 'do', 'payment', 'reporting', 'obstacle', 'check', 'update', 'latest', 'About', 'indihome']")</f>
        <v>['Help', 'makes it easier', 'do', 'payment', 'reporting', 'obstacle', 'check', 'update', 'latest', 'About', 'indihome']</v>
      </c>
      <c r="D3315" s="3">
        <v>4.0</v>
      </c>
    </row>
    <row r="3316" ht="15.75" customHeight="1">
      <c r="A3316" s="1">
        <v>3503.0</v>
      </c>
      <c r="B3316" s="3" t="s">
        <v>3226</v>
      </c>
      <c r="C3316" s="3" t="str">
        <f>IFERROR(__xludf.DUMMYFUNCTION("GOOGLETRANSLATE(B3316,""id"",""en"")"),"['Update', 'App', 'Latest', 'Good', 'Sometimes', 'Bug', '']")</f>
        <v>['Update', 'App', 'Latest', 'Good', 'Sometimes', 'Bug', '']</v>
      </c>
      <c r="D3316" s="3">
        <v>5.0</v>
      </c>
    </row>
    <row r="3317" ht="15.75" customHeight="1">
      <c r="A3317" s="1">
        <v>3504.0</v>
      </c>
      <c r="B3317" s="3" t="s">
        <v>3227</v>
      </c>
      <c r="C3317" s="3" t="str">
        <f>IFERROR(__xludf.DUMMYFUNCTION("GOOGLETRANSLATE(B3317,""id"",""en"")"),"['mantapp', 'basically', 'signal']")</f>
        <v>['mantapp', 'basically', 'signal']</v>
      </c>
      <c r="D3317" s="3">
        <v>5.0</v>
      </c>
    </row>
    <row r="3318" ht="15.75" customHeight="1">
      <c r="A3318" s="1">
        <v>3506.0</v>
      </c>
      <c r="B3318" s="3" t="s">
        <v>3228</v>
      </c>
      <c r="C3318" s="3" t="str">
        <f>IFERROR(__xludf.DUMMYFUNCTION("GOOGLETRANSLATE(B3318,""id"",""en"")"),"['Update', 'Application', 'Slow', 'Setting', 'Profile', 'Change', 'Password', 'Etc.']")</f>
        <v>['Update', 'Application', 'Slow', 'Setting', 'Profile', 'Change', 'Password', 'Etc.']</v>
      </c>
      <c r="D3318" s="3">
        <v>1.0</v>
      </c>
    </row>
    <row r="3319" ht="15.75" customHeight="1">
      <c r="A3319" s="1">
        <v>3507.0</v>
      </c>
      <c r="B3319" s="3" t="s">
        <v>2105</v>
      </c>
      <c r="C3319" s="3" t="str">
        <f>IFERROR(__xludf.DUMMYFUNCTION("GOOGLETRANSLATE(B3319,""id"",""en"")"),"['Mantap', 'Application']")</f>
        <v>['Mantap', 'Application']</v>
      </c>
      <c r="D3319" s="3">
        <v>5.0</v>
      </c>
    </row>
    <row r="3320" ht="15.75" customHeight="1">
      <c r="A3320" s="1">
        <v>3508.0</v>
      </c>
      <c r="B3320" s="3" t="s">
        <v>3229</v>
      </c>
      <c r="C3320" s="3" t="str">
        <f>IFERROR(__xludf.DUMMYFUNCTION("GOOGLETRANSLATE(B3320,""id"",""en"")"),"['Connected', 'Login', '']")</f>
        <v>['Connected', 'Login', '']</v>
      </c>
      <c r="D3320" s="3">
        <v>4.0</v>
      </c>
    </row>
    <row r="3321" ht="15.75" customHeight="1">
      <c r="A3321" s="1">
        <v>3509.0</v>
      </c>
      <c r="B3321" s="3" t="s">
        <v>3230</v>
      </c>
      <c r="C3321" s="3" t="str">
        <f>IFERROR(__xludf.DUMMYFUNCTION("GOOGLETRANSLATE(B3321,""id"",""en"")"),"['Wife', 'Masang', 'Indihome', 'Process',' Registration ',' Verification ',' Wait ',' Already ',' Center ',' Call ',' Ngambang ',' Search ',' please help']")</f>
        <v>['Wife', 'Masang', 'Indihome', 'Process',' Registration ',' Verification ',' Wait ',' Already ',' Center ',' Call ',' Ngambang ',' Search ',' please help']</v>
      </c>
      <c r="D3321" s="3">
        <v>1.0</v>
      </c>
    </row>
    <row r="3322" ht="15.75" customHeight="1">
      <c r="A3322" s="1">
        <v>3510.0</v>
      </c>
      <c r="B3322" s="3" t="s">
        <v>3231</v>
      </c>
      <c r="C3322" s="3" t="str">
        <f>IFERROR(__xludf.DUMMYFUNCTION("GOOGLETRANSLATE(B3322,""id"",""en"")"),"['Disruption', 'Bulk', 'Visit', 'resolved', 'handling', 'slow', 'internet', 'compensation', 'lightening', 'cost', 'detrimental', ""]")</f>
        <v>['Disruption', 'Bulk', 'Visit', 'resolved', 'handling', 'slow', 'internet', 'compensation', 'lightening', 'cost', 'detrimental', "]</v>
      </c>
      <c r="D3322" s="3">
        <v>1.0</v>
      </c>
    </row>
    <row r="3323" ht="15.75" customHeight="1">
      <c r="A3323" s="1">
        <v>3511.0</v>
      </c>
      <c r="B3323" s="3" t="s">
        <v>3232</v>
      </c>
      <c r="C3323" s="3" t="str">
        <f>IFERROR(__xludf.DUMMYFUNCTION("GOOGLETRANSLATE(B3323,""id"",""en"")"),"['Times', 'Install', 'Login', 'Looks', 'Loading', 'Speaks', 'Quota', 'Speaking', 'Batre']")</f>
        <v>['Times', 'Install', 'Login', 'Looks', 'Loading', 'Speaks', 'Quota', 'Speaking', 'Batre']</v>
      </c>
      <c r="D3323" s="3">
        <v>1.0</v>
      </c>
    </row>
    <row r="3324" ht="15.75" customHeight="1">
      <c r="A3324" s="1">
        <v>3512.0</v>
      </c>
      <c r="B3324" s="3" t="s">
        <v>3233</v>
      </c>
      <c r="C3324" s="3" t="str">
        <f>IFERROR(__xludf.DUMMYFUNCTION("GOOGLETRANSLATE(B3324,""id"",""en"")"),"['Bill', 'soar']")</f>
        <v>['Bill', 'soar']</v>
      </c>
      <c r="D3324" s="3">
        <v>1.0</v>
      </c>
    </row>
    <row r="3325" ht="15.75" customHeight="1">
      <c r="A3325" s="1">
        <v>3513.0</v>
      </c>
      <c r="B3325" s="3" t="s">
        <v>3234</v>
      </c>
      <c r="C3325" s="3" t="str">
        <f>IFERROR(__xludf.DUMMYFUNCTION("GOOGLETRANSLATE(B3325,""id"",""en"")"),"['slow', 'really', 'use', 'the application', 'Padhal', 'RAM', 'What', 'Wrong', 'Aduhhh', ""]")</f>
        <v>['slow', 'really', 'use', 'the application', 'Padhal', 'RAM', 'What', 'Wrong', 'Aduhhh', "]</v>
      </c>
      <c r="D3325" s="3">
        <v>1.0</v>
      </c>
    </row>
    <row r="3326" ht="15.75" customHeight="1">
      <c r="A3326" s="1">
        <v>3514.0</v>
      </c>
      <c r="B3326" s="3" t="s">
        <v>3235</v>
      </c>
      <c r="C3326" s="3" t="str">
        <f>IFERROR(__xludf.DUMMYFUNCTION("GOOGLETRANSLATE(B3326,""id"",""en"")"),"['service', 'internet', 'bad', 'times',' disorder ',' handling ',' slow ',' cost ',' expensive ',' compared ',' provider ',' collect ',' Payment ',' Brutal ',' Call ',' Chat ',' Email ',' Disturbing ',' Use ',' Service ',' Internet ',' First ',' Media ','"&amp;" Quality ',' Disorders' , 'A year', 'Price', 'Cheap', 'Sales', 'Friendly', 'Fast', 'Response', 'Different', 'Technicians', 'Indihome', 'Peabah', ""]")</f>
        <v>['service', 'internet', 'bad', 'times',' disorder ',' handling ',' slow ',' cost ',' expensive ',' compared ',' provider ',' collect ',' Payment ',' Brutal ',' Call ',' Chat ',' Email ',' Disturbing ',' Use ',' Service ',' Internet ',' First ',' Media ',' Quality ',' Disorders' , 'A year', 'Price', 'Cheap', 'Sales', 'Friendly', 'Fast', 'Response', 'Different', 'Technicians', 'Indihome', 'Peabah', "]</v>
      </c>
      <c r="D3326" s="3">
        <v>1.0</v>
      </c>
    </row>
    <row r="3327" ht="15.75" customHeight="1">
      <c r="A3327" s="1">
        <v>3515.0</v>
      </c>
      <c r="B3327" s="3" t="s">
        <v>3236</v>
      </c>
      <c r="C3327" s="3" t="str">
        <f>IFERROR(__xludf.DUMMYFUNCTION("GOOGLETRANSLATE(B3327,""id"",""en"")"),"['what', 'bill', 'changed', 'pay', 'according to', 'bill', 'yesterday', 'check', 'bill', 'change', 'rb', 'naek', ' Disconnect ',' area ',' uda ',' entry ',' provider ',' connection ',' rotten ',' cost ',' expensive ', ""]")</f>
        <v>['what', 'bill', 'changed', 'pay', 'according to', 'bill', 'yesterday', 'check', 'bill', 'change', 'rb', 'naek', ' Disconnect ',' area ',' uda ',' entry ',' provider ',' connection ',' rotten ',' cost ',' expensive ', "]</v>
      </c>
      <c r="D3327" s="3">
        <v>1.0</v>
      </c>
    </row>
    <row r="3328" ht="15.75" customHeight="1">
      <c r="A3328" s="1">
        <v>3516.0</v>
      </c>
      <c r="B3328" s="3" t="s">
        <v>3237</v>
      </c>
      <c r="C3328" s="3" t="str">
        <f>IFERROR(__xludf.DUMMYFUNCTION("GOOGLETRANSLATE(B3328,""id"",""en"")"),"['Lost', 'connection', 'RTO', 'Date', 'November', 'Hour', 'Please', 'Report', 'Via', 'LEPAR', 'VIA', 'Application', ' Via ',' application ',' report ',' complement ',' please ',' love ',' service ',' because ',' user ',' Jarinhan ',' org ',' hundreds', 't"&amp;"housand' , 'Team', 'Network', 'satellite', 'company', 'team', 'NOC', 'Telkom', 'please', 'Most', 'relaxed', 'clock', 'work', ' shift ',' thank ',' love ']")</f>
        <v>['Lost', 'connection', 'RTO', 'Date', 'November', 'Hour', 'Please', 'Report', 'Via', 'LEPAR', 'VIA', 'Application', ' Via ',' application ',' report ',' complement ',' please ',' love ',' service ',' because ',' user ',' Jarinhan ',' org ',' hundreds', 'thousand' , 'Team', 'Network', 'satellite', 'company', 'team', 'NOC', 'Telkom', 'please', 'Most', 'relaxed', 'clock', 'work', ' shift ',' thank ',' love ']</v>
      </c>
      <c r="D3328" s="3">
        <v>2.0</v>
      </c>
    </row>
    <row r="3329" ht="15.75" customHeight="1">
      <c r="A3329" s="1">
        <v>3517.0</v>
      </c>
      <c r="B3329" s="3" t="s">
        <v>3238</v>
      </c>
      <c r="C3329" s="3" t="str">
        <f>IFERROR(__xludf.DUMMYFUNCTION("GOOGLETRANSLATE(B3329,""id"",""en"")"),"['Knp', 'use', 'apk', 'input', 'indihome', 'failed', 'writing', 'registered', 'use', 'indihome']")</f>
        <v>['Knp', 'use', 'apk', 'input', 'indihome', 'failed', 'writing', 'registered', 'use', 'indihome']</v>
      </c>
      <c r="D3329" s="3">
        <v>3.0</v>
      </c>
    </row>
    <row r="3330" ht="15.75" customHeight="1">
      <c r="A3330" s="1">
        <v>3518.0</v>
      </c>
      <c r="B3330" s="3" t="s">
        <v>3239</v>
      </c>
      <c r="C3330" s="3" t="str">
        <f>IFERROR(__xludf.DUMMYFUNCTION("GOOGLETRANSLATE(B3330,""id"",""en"")"),"['wifi', 'problematic', 'for days', 'contact', 'technician', 'none']")</f>
        <v>['wifi', 'problematic', 'for days', 'contact', 'technician', 'none']</v>
      </c>
      <c r="D3330" s="3">
        <v>1.0</v>
      </c>
    </row>
    <row r="3331" ht="15.75" customHeight="1">
      <c r="A3331" s="1">
        <v>3519.0</v>
      </c>
      <c r="B3331" s="3" t="s">
        <v>3240</v>
      </c>
      <c r="C3331" s="3" t="str">
        <f>IFERROR(__xludf.DUMMYFUNCTION("GOOGLETRANSLATE(B3331,""id"",""en"")"),"['Satisfied', 'really', 'indihome']")</f>
        <v>['Satisfied', 'really', 'indihome']</v>
      </c>
      <c r="D3331" s="3">
        <v>5.0</v>
      </c>
    </row>
    <row r="3332" ht="15.75" customHeight="1">
      <c r="A3332" s="1">
        <v>3520.0</v>
      </c>
      <c r="B3332" s="3" t="s">
        <v>3241</v>
      </c>
      <c r="C3332" s="3" t="str">
        <f>IFERROR(__xludf.DUMMYFUNCTION("GOOGLETRANSLATE(B3332,""id"",""en"")"),"['Bill', 'Pay', 'Written', 'Blom', 'Lunas', 'The Application', 'Like', 'Lag', 'Alasaa', 'Season']")</f>
        <v>['Bill', 'Pay', 'Written', 'Blom', 'Lunas', 'The Application', 'Like', 'Lag', 'Alasaa', 'Season']</v>
      </c>
      <c r="D3332" s="3">
        <v>2.0</v>
      </c>
    </row>
    <row r="3333" ht="15.75" customHeight="1">
      <c r="A3333" s="1">
        <v>3521.0</v>
      </c>
      <c r="B3333" s="3" t="s">
        <v>3242</v>
      </c>
      <c r="C3333" s="3" t="str">
        <f>IFERROR(__xludf.DUMMYFUNCTION("GOOGLETRANSLATE(B3333,""id"",""en"")"),"['complaint', 'service', 'told', 'restat', 'moden', 'already', 'sells',' many ',' times', 'help', 'already', 'login', ' Reset ',' Download ',' reset ',' ']")</f>
        <v>['complaint', 'service', 'told', 'restat', 'moden', 'already', 'sells',' many ',' times', 'help', 'already', 'login', ' Reset ',' Download ',' reset ',' ']</v>
      </c>
      <c r="D3333" s="3">
        <v>3.0</v>
      </c>
    </row>
    <row r="3334" ht="15.75" customHeight="1">
      <c r="A3334" s="1">
        <v>3522.0</v>
      </c>
      <c r="B3334" s="3" t="s">
        <v>3243</v>
      </c>
      <c r="C3334" s="3" t="str">
        <f>IFERROR(__xludf.DUMMYFUNCTION("GOOGLETRANSLATE(B3334,""id"",""en"")"),"['Application', 'Good', 'Features',' Features', 'Shown', 'Complete', 'Information', 'Use', 'Device', 'Use', 'Quota', 'Easy', ' Accessible ',' mantaappp ']")</f>
        <v>['Application', 'Good', 'Features',' Features', 'Shown', 'Complete', 'Information', 'Use', 'Device', 'Use', 'Quota', 'Easy', ' Accessible ',' mantaappp ']</v>
      </c>
      <c r="D3334" s="3">
        <v>5.0</v>
      </c>
    </row>
    <row r="3335" ht="15.75" customHeight="1">
      <c r="A3335" s="1">
        <v>3523.0</v>
      </c>
      <c r="B3335" s="3" t="s">
        <v>3244</v>
      </c>
      <c r="C3335" s="3" t="str">
        <f>IFERROR(__xludf.DUMMYFUNCTION("GOOGLETRANSLATE(B3335,""id"",""en"")"),"['Look', 'Elegant', 'easy', 'understand', 'menu', 'Show', 'comfortable', 'see', 'easy', 'access',' feel ',' grasp ',' Nice ',' ']")</f>
        <v>['Look', 'Elegant', 'easy', 'understand', 'menu', 'Show', 'comfortable', 'see', 'easy', 'access',' feel ',' grasp ',' Nice ',' ']</v>
      </c>
      <c r="D3335" s="3">
        <v>5.0</v>
      </c>
    </row>
    <row r="3336" ht="15.75" customHeight="1">
      <c r="A3336" s="1">
        <v>3524.0</v>
      </c>
      <c r="B3336" s="3" t="s">
        <v>3245</v>
      </c>
      <c r="C3336" s="3" t="str">
        <f>IFERROR(__xludf.DUMMYFUNCTION("GOOGLETRANSLATE(B3336,""id"",""en"")"),"['palak', 'APK', 'Nyo', 'bro']")</f>
        <v>['palak', 'APK', 'Nyo', 'bro']</v>
      </c>
      <c r="D3336" s="3">
        <v>1.0</v>
      </c>
    </row>
    <row r="3337" ht="15.75" customHeight="1">
      <c r="A3337" s="1">
        <v>3525.0</v>
      </c>
      <c r="B3337" s="3" t="s">
        <v>3246</v>
      </c>
      <c r="C3337" s="3" t="str">
        <f>IFERROR(__xludf.DUMMYFUNCTION("GOOGLETRANSLATE(B3337,""id"",""en"")"),"['gabisa', 'log', 'format', 'failed']")</f>
        <v>['gabisa', 'log', 'format', 'failed']</v>
      </c>
      <c r="D3337" s="3">
        <v>1.0</v>
      </c>
    </row>
    <row r="3338" ht="15.75" customHeight="1">
      <c r="A3338" s="1">
        <v>3526.0</v>
      </c>
      <c r="B3338" s="3" t="s">
        <v>3247</v>
      </c>
      <c r="C3338" s="3" t="str">
        <f>IFERROR(__xludf.DUMMYFUNCTION("GOOGLETRANSLATE(B3338,""id"",""en"")"),"['study', '']")</f>
        <v>['study', '']</v>
      </c>
      <c r="D3338" s="3">
        <v>4.0</v>
      </c>
    </row>
    <row r="3339" ht="15.75" customHeight="1">
      <c r="A3339" s="1">
        <v>3527.0</v>
      </c>
      <c r="B3339" s="3" t="s">
        <v>3248</v>
      </c>
      <c r="C3339" s="3" t="str">
        <f>IFERROR(__xludf.DUMMYFUNCTION("GOOGLETRANSLATE(B3339,""id"",""en"")"),"['Since', 'Present', 'MyIndihome', 'Profile', 'Payment', 'Updated', 'Bnyak', 'Features',' Service ',' Updgrade ',' Speed ​​',' Addon ',' Report ',' network ',' gannggu ',' internet ',' response ',' fast ',' according to ',' schedule ',' features', 'intere"&amp;"sting', 'speed', 'internet', 'add' , 'Exchange', 'gift', 'good', 'features', 'steady', 'just']")</f>
        <v>['Since', 'Present', 'MyIndihome', 'Profile', 'Payment', 'Updated', 'Bnyak', 'Features',' Service ',' Updgrade ',' Speed ​​',' Addon ',' Report ',' network ',' gannggu ',' internet ',' response ',' fast ',' according to ',' schedule ',' features', 'interesting', 'speed', 'internet', 'add' , 'Exchange', 'gift', 'good', 'features', 'steady', 'just']</v>
      </c>
      <c r="D3339" s="3">
        <v>5.0</v>
      </c>
    </row>
    <row r="3340" ht="15.75" customHeight="1">
      <c r="A3340" s="1">
        <v>3528.0</v>
      </c>
      <c r="B3340" s="3" t="s">
        <v>3249</v>
      </c>
      <c r="C3340" s="3" t="str">
        <f>IFERROR(__xludf.DUMMYFUNCTION("GOOGLETRANSLATE(B3340,""id"",""en"")"),"['Serving', 'APK', 'Promise', 'Fake']")</f>
        <v>['Serving', 'APK', 'Promise', 'Fake']</v>
      </c>
      <c r="D3340" s="3">
        <v>1.0</v>
      </c>
    </row>
    <row r="3341" ht="15.75" customHeight="1">
      <c r="A3341" s="1">
        <v>3529.0</v>
      </c>
      <c r="B3341" s="3" t="s">
        <v>3250</v>
      </c>
      <c r="C3341" s="3" t="str">
        <f>IFERROR(__xludf.DUMMYFUNCTION("GOOGLETRANSLATE(B3341,""id"",""en"")"),"['disappointing', 'signal', 'slow', '']")</f>
        <v>['disappointing', 'signal', 'slow', '']</v>
      </c>
      <c r="D3341" s="3">
        <v>1.0</v>
      </c>
    </row>
    <row r="3342" ht="15.75" customHeight="1">
      <c r="A3342" s="1">
        <v>3530.0</v>
      </c>
      <c r="B3342" s="3" t="s">
        <v>3251</v>
      </c>
      <c r="C3342" s="3" t="str">
        <f>IFERROR(__xludf.DUMMYFUNCTION("GOOGLETRANSLATE(B3342,""id"",""en"")"),"['expensive', 'ndak', 'quality', 'internet', 'dead', 'last night', 'morning', 'morning', 'complaint', 'application', 'afternoon', 'progress',' anything ',' sorry ',' ane ',' pairs', 'indihome']")</f>
        <v>['expensive', 'ndak', 'quality', 'internet', 'dead', 'last night', 'morning', 'morning', 'complaint', 'application', 'afternoon', 'progress',' anything ',' sorry ',' ane ',' pairs', 'indihome']</v>
      </c>
      <c r="D3342" s="3">
        <v>1.0</v>
      </c>
    </row>
    <row r="3343" ht="15.75" customHeight="1">
      <c r="A3343" s="1">
        <v>3531.0</v>
      </c>
      <c r="B3343" s="3" t="s">
        <v>3252</v>
      </c>
      <c r="C3343" s="3" t="str">
        <f>IFERROR(__xludf.DUMMYFUNCTION("GOOGLETRANSLATE(B3343,""id"",""en"")"),"['like', 'display', 'update', 'the latest', 'makes it easy', 'suggestion', 'repair', 'bug', 'appears',' slow ',' loading ',' galaxy ',' ']")</f>
        <v>['like', 'display', 'update', 'the latest', 'makes it easy', 'suggestion', 'repair', 'bug', 'appears',' slow ',' loading ',' galaxy ',' ']</v>
      </c>
      <c r="D3343" s="3">
        <v>5.0</v>
      </c>
    </row>
    <row r="3344" ht="15.75" customHeight="1">
      <c r="A3344" s="1">
        <v>3532.0</v>
      </c>
      <c r="B3344" s="3" t="s">
        <v>3253</v>
      </c>
      <c r="C3344" s="3" t="str">
        <f>IFERROR(__xludf.DUMMYFUNCTION("GOOGLETRANSLATE(B3344,""id"",""en"")"),"['update', 'application', 'latest', 'informative', 'bill', 'status',' pay ',' status', 'use', 'quota', 'data', 'phone', ' Various', 'Information', 'Program']")</f>
        <v>['update', 'application', 'latest', 'informative', 'bill', 'status',' pay ',' status', 'use', 'quota', 'data', 'phone', ' Various', 'Information', 'Program']</v>
      </c>
      <c r="D3344" s="3">
        <v>5.0</v>
      </c>
    </row>
    <row r="3345" ht="15.75" customHeight="1">
      <c r="A3345" s="1">
        <v>3533.0</v>
      </c>
      <c r="B3345" s="3" t="s">
        <v>3254</v>
      </c>
      <c r="C3345" s="3" t="str">
        <f>IFERROR(__xludf.DUMMYFUNCTION("GOOGLETRANSLATE(B3345,""id"",""en"")"),"['settings', 'like', 'display', 'rather than', 'complicated', 'bill', 'description', 'application', 'paid', 'pay', ""]")</f>
        <v>['settings', 'like', 'display', 'rather than', 'complicated', 'bill', 'description', 'application', 'paid', 'pay', "]</v>
      </c>
      <c r="D3345" s="3">
        <v>1.0</v>
      </c>
    </row>
    <row r="3346" ht="15.75" customHeight="1">
      <c r="A3346" s="1">
        <v>3534.0</v>
      </c>
      <c r="B3346" s="3" t="s">
        <v>3255</v>
      </c>
      <c r="C3346" s="3" t="str">
        <f>IFERROR(__xludf.DUMMYFUNCTION("GOOGLETRANSLATE(B3346,""id"",""en"")"),"['update', 'the application', 'delicious',' use ',' user ',' mantau ',' application ',' info ',' delicious', 'display', 'practical', 'responsive', ' comfortable ',' use ',' application ',' myindihome ',' hope ',' in the future ',' comfortable ']")</f>
        <v>['update', 'the application', 'delicious',' use ',' user ',' mantau ',' application ',' info ',' delicious', 'display', 'practical', 'responsive', ' comfortable ',' use ',' application ',' myindihome ',' hope ',' in the future ',' comfortable ']</v>
      </c>
      <c r="D3346" s="3">
        <v>5.0</v>
      </c>
    </row>
    <row r="3347" ht="15.75" customHeight="1">
      <c r="A3347" s="1">
        <v>3535.0</v>
      </c>
      <c r="B3347" s="3" t="s">
        <v>3256</v>
      </c>
      <c r="C3347" s="3" t="str">
        <f>IFERROR(__xludf.DUMMYFUNCTION("GOOGLETRANSLATE(B3347,""id"",""en"")"),"['Application', 'Indihome', 'Help', 'Good', 'Make Easy', 'Indihome', '']")</f>
        <v>['Application', 'Indihome', 'Help', 'Good', 'Make Easy', 'Indihome', '']</v>
      </c>
      <c r="D3347" s="3">
        <v>5.0</v>
      </c>
    </row>
    <row r="3348" ht="15.75" customHeight="1">
      <c r="A3348" s="1">
        <v>3536.0</v>
      </c>
      <c r="B3348" s="3" t="s">
        <v>3257</v>
      </c>
      <c r="C3348" s="3" t="str">
        <f>IFERROR(__xludf.DUMMYFUNCTION("GOOGLETRANSLATE(B3348,""id"",""en"")"),"['Display', 'menu', 'good', 'darling', 'loading']")</f>
        <v>['Display', 'menu', 'good', 'darling', 'loading']</v>
      </c>
      <c r="D3348" s="3">
        <v>4.0</v>
      </c>
    </row>
    <row r="3349" ht="15.75" customHeight="1">
      <c r="A3349" s="1">
        <v>3537.0</v>
      </c>
      <c r="B3349" s="3" t="s">
        <v>3258</v>
      </c>
      <c r="C3349" s="3" t="str">
        <f>IFERROR(__xludf.DUMMYFUNCTION("GOOGLETRANSLATE(B3349,""id"",""en"")"),"['steady', 'beautiful', 'display', 'feature', 'before']")</f>
        <v>['steady', 'beautiful', 'display', 'feature', 'before']</v>
      </c>
      <c r="D3349" s="3">
        <v>5.0</v>
      </c>
    </row>
    <row r="3350" ht="15.75" customHeight="1">
      <c r="A3350" s="1">
        <v>3538.0</v>
      </c>
      <c r="B3350" s="3" t="s">
        <v>3259</v>
      </c>
      <c r="C3350" s="3" t="str">
        <f>IFERROR(__xludf.DUMMYFUNCTION("GOOGLETRANSLATE(B3350,""id"",""en"")"),"['Oklah', 'mntb']")</f>
        <v>['Oklah', 'mntb']</v>
      </c>
      <c r="D3350" s="3">
        <v>5.0</v>
      </c>
    </row>
    <row r="3351" ht="15.75" customHeight="1">
      <c r="A3351" s="1">
        <v>3539.0</v>
      </c>
      <c r="B3351" s="3" t="s">
        <v>3260</v>
      </c>
      <c r="C3351" s="3" t="str">
        <f>IFERROR(__xludf.DUMMYFUNCTION("GOOGLETRANSLATE(B3351,""id"",""en"")"),"['', 'Mbps', 'Selemot', 'anjrit']")</f>
        <v>['', 'Mbps', 'Selemot', 'anjrit']</v>
      </c>
      <c r="D3351" s="3">
        <v>1.0</v>
      </c>
    </row>
    <row r="3352" ht="15.75" customHeight="1">
      <c r="A3352" s="1">
        <v>3540.0</v>
      </c>
      <c r="B3352" s="3" t="s">
        <v>3261</v>
      </c>
      <c r="C3352" s="3" t="str">
        <f>IFERROR(__xludf.DUMMYFUNCTION("GOOGLETRANSLATE(B3352,""id"",""en"")"),"['network', 'Internet', 'Lalod', 'handling', 'repairs', 'fees', 'bills', 'down', 'understanded', 'consumers', ""]")</f>
        <v>['network', 'Internet', 'Lalod', 'handling', 'repairs', 'fees', 'bills', 'down', 'understanded', 'consumers', "]</v>
      </c>
      <c r="D3352" s="3">
        <v>2.0</v>
      </c>
    </row>
    <row r="3353" ht="15.75" customHeight="1">
      <c r="A3353" s="1">
        <v>3541.0</v>
      </c>
      <c r="B3353" s="3" t="s">
        <v>3262</v>
      </c>
      <c r="C3353" s="3" t="str">
        <f>IFERROR(__xludf.DUMMYFUNCTION("GOOGLETRANSLATE(B3353,""id"",""en"")"),"['Zaki', 'Muhammad', 'Fajri']")</f>
        <v>['Zaki', 'Muhammad', 'Fajri']</v>
      </c>
      <c r="D3353" s="3">
        <v>5.0</v>
      </c>
    </row>
    <row r="3354" ht="15.75" customHeight="1">
      <c r="A3354" s="1">
        <v>3543.0</v>
      </c>
      <c r="B3354" s="3" t="s">
        <v>3263</v>
      </c>
      <c r="C3354" s="3" t="str">
        <f>IFERROR(__xludf.DUMMYFUNCTION("GOOGLETRANSLATE(B3354,""id"",""en"")"),"['Tahan', 'BANGJE', 'INDIHOME']")</f>
        <v>['Tahan', 'BANGJE', 'INDIHOME']</v>
      </c>
      <c r="D3354" s="3">
        <v>1.0</v>
      </c>
    </row>
    <row r="3355" ht="15.75" customHeight="1">
      <c r="A3355" s="1">
        <v>3544.0</v>
      </c>
      <c r="B3355" s="3" t="s">
        <v>3264</v>
      </c>
      <c r="C3355" s="3" t="str">
        <f>IFERROR(__xludf.DUMMYFUNCTION("GOOGLETRANSLATE(B3355,""id"",""en"")"),"['suggestion', 'pairs',' wifi ',' indihome ',' nyesel ',' age ',' life ',' tempo ',' week ',' trs', 'signal', 'Los',' TRSSSS ',' Jisas']")</f>
        <v>['suggestion', 'pairs',' wifi ',' indihome ',' nyesel ',' age ',' life ',' tempo ',' week ',' trs', 'signal', 'Los',' TRSSSS ',' Jisas']</v>
      </c>
      <c r="D3355" s="3">
        <v>1.0</v>
      </c>
    </row>
    <row r="3356" ht="15.75" customHeight="1">
      <c r="A3356" s="1">
        <v>3546.0</v>
      </c>
      <c r="B3356" s="3" t="s">
        <v>3265</v>
      </c>
      <c r="C3356" s="3" t="str">
        <f>IFERROR(__xludf.DUMMYFUNCTION("GOOGLETRANSLATE(B3356,""id"",""en"")"),"['Min', 'account', 'indohome', 'number']")</f>
        <v>['Min', 'account', 'indohome', 'number']</v>
      </c>
      <c r="D3356" s="3">
        <v>3.0</v>
      </c>
    </row>
    <row r="3357" ht="15.75" customHeight="1">
      <c r="A3357" s="1">
        <v>3547.0</v>
      </c>
      <c r="B3357" s="3" t="s">
        <v>3266</v>
      </c>
      <c r="C3357" s="3" t="str">
        <f>IFERROR(__xludf.DUMMYFUNCTION("GOOGLETRANSLATE(B3357,""id"",""en"")"),"['', 'enter', 'number', 'indihome', 'connected', 'application', 'indihome', 'number', 'enter', 'no', 'entry', 'no', 'recognize ',' wifinya ',' on ',' customer ',' told ',' download ',' the application ',' no ',' entered ',' number ',' ID ']")</f>
        <v>['', 'enter', 'number', 'indihome', 'connected', 'application', 'indihome', 'number', 'enter', 'no', 'entry', 'no', 'recognize ',' wifinya ',' on ',' customer ',' told ',' download ',' the application ',' no ',' entered ',' number ',' ID ']</v>
      </c>
      <c r="D3357" s="3">
        <v>1.0</v>
      </c>
    </row>
    <row r="3358" ht="15.75" customHeight="1">
      <c r="A3358" s="1">
        <v>3548.0</v>
      </c>
      <c r="B3358" s="3" t="s">
        <v>3267</v>
      </c>
      <c r="C3358" s="3" t="str">
        <f>IFERROR(__xludf.DUMMYFUNCTION("GOOGLETRANSLATE(B3358,""id"",""en"")"),"['Habits',' Bad ',' Indihome ',' Out ',' Pay ',' Monthly ',' Sudden ',' Lemot ',' Error ',' Etc. ',' jerk ',' Anyway ',' ']")</f>
        <v>['Habits',' Bad ',' Indihome ',' Out ',' Pay ',' Monthly ',' Sudden ',' Lemot ',' Error ',' Etc. ',' jerk ',' Anyway ',' ']</v>
      </c>
      <c r="D3358" s="3">
        <v>1.0</v>
      </c>
    </row>
    <row r="3359" ht="15.75" customHeight="1">
      <c r="A3359" s="1">
        <v>3549.0</v>
      </c>
      <c r="B3359" s="3" t="s">
        <v>3268</v>
      </c>
      <c r="C3359" s="3" t="str">
        <f>IFERROR(__xludf.DUMMYFUNCTION("GOOGLETRANSLATE(B3359,""id"",""en"")"),"['Wonder', 'Fup', 'date', 'already', 'abis', 'that's', ""]")</f>
        <v>['Wonder', 'Fup', 'date', 'already', 'abis', 'that's', "]</v>
      </c>
      <c r="D3359" s="3">
        <v>3.0</v>
      </c>
    </row>
    <row r="3360" ht="15.75" customHeight="1">
      <c r="A3360" s="1">
        <v>3550.0</v>
      </c>
      <c r="B3360" s="3" t="s">
        <v>3269</v>
      </c>
      <c r="C3360" s="3" t="str">
        <f>IFERROR(__xludf.DUMMYFUNCTION("GOOGLETRANSLATE(B3360,""id"",""en"")"),"['update', 'slow', 'hadeeehhhh', '']")</f>
        <v>['update', 'slow', 'hadeeehhhh', '']</v>
      </c>
      <c r="D3360" s="3">
        <v>1.0</v>
      </c>
    </row>
    <row r="3361" ht="15.75" customHeight="1">
      <c r="A3361" s="1">
        <v>3551.0</v>
      </c>
      <c r="B3361" s="3" t="s">
        <v>3270</v>
      </c>
      <c r="C3361" s="3" t="str">
        <f>IFERROR(__xludf.DUMMYFUNCTION("GOOGLETRANSLATE(B3361,""id"",""en"")"),"['site', 'ugly', 'confusing']")</f>
        <v>['site', 'ugly', 'confusing']</v>
      </c>
      <c r="D3361" s="3">
        <v>2.0</v>
      </c>
    </row>
    <row r="3362" ht="15.75" customHeight="1">
      <c r="A3362" s="1">
        <v>3552.0</v>
      </c>
      <c r="B3362" s="3" t="s">
        <v>3271</v>
      </c>
      <c r="C3362" s="3" t="str">
        <f>IFERROR(__xludf.DUMMYFUNCTION("GOOGLETRANSLATE(B3362,""id"",""en"")"),"['BNG', 'Technical']")</f>
        <v>['BNG', 'Technical']</v>
      </c>
      <c r="D3362" s="3">
        <v>1.0</v>
      </c>
    </row>
    <row r="3363" ht="15.75" customHeight="1">
      <c r="A3363" s="1">
        <v>3553.0</v>
      </c>
      <c r="B3363" s="3" t="s">
        <v>3272</v>
      </c>
      <c r="C3363" s="3" t="str">
        <f>IFERROR(__xludf.DUMMYFUNCTION("GOOGLETRANSLATE(B3363,""id"",""en"")"),"['signal', 'Disconnect', 'NDA', 'Lecture', 'Zoom', 'Out', 'Many', 'Fix', 'In the area', 'Situbondo', 'Java', 'East', ' ']")</f>
        <v>['signal', 'Disconnect', 'NDA', 'Lecture', 'Zoom', 'Out', 'Many', 'Fix', 'In the area', 'Situbondo', 'Java', 'East', ' ']</v>
      </c>
      <c r="D3363" s="3">
        <v>1.0</v>
      </c>
    </row>
    <row r="3364" ht="15.75" customHeight="1">
      <c r="A3364" s="1">
        <v>3554.0</v>
      </c>
      <c r="B3364" s="3" t="s">
        <v>3273</v>
      </c>
      <c r="C3364" s="3" t="str">
        <f>IFERROR(__xludf.DUMMYFUNCTION("GOOGLETRANSLATE(B3364,""id"",""en"")"),"['details', 'payment', 'ugly', 'price', 'application', 'banking', 'different']")</f>
        <v>['details', 'payment', 'ugly', 'price', 'application', 'banking', 'different']</v>
      </c>
      <c r="D3364" s="3">
        <v>1.0</v>
      </c>
    </row>
    <row r="3365" ht="15.75" customHeight="1">
      <c r="A3365" s="1">
        <v>3555.0</v>
      </c>
      <c r="B3365" s="3" t="s">
        <v>3274</v>
      </c>
      <c r="C3365" s="3" t="str">
        <f>IFERROR(__xludf.DUMMYFUNCTION("GOOGLETRANSLATE(B3365,""id"",""en"")"),"['try']")</f>
        <v>['try']</v>
      </c>
      <c r="D3365" s="3">
        <v>4.0</v>
      </c>
    </row>
    <row r="3366" ht="15.75" customHeight="1">
      <c r="A3366" s="1">
        <v>3556.0</v>
      </c>
      <c r="B3366" s="3" t="s">
        <v>3275</v>
      </c>
      <c r="C3366" s="3" t="str">
        <f>IFERROR(__xludf.DUMMYFUNCTION("GOOGLETRANSLATE(B3366,""id"",""en"")"),"['application', 'myindihome', 'bnyk', 'bug', 'completeness',' profile ',' change ',' point ',' missing ',' login ',' code ',' otp ',' "", 'Shipments', 'SMS', 'WhatsApp', 'Please', 'Benerin', 'Application', 'Maintenance', 'Update', 'BNYK', 'Error']")</f>
        <v>['application', 'myindihome', 'bnyk', 'bug', 'completeness',' profile ',' change ',' point ',' missing ',' login ',' code ',' otp ',' ", 'Shipments', 'SMS', 'WhatsApp', 'Please', 'Benerin', 'Application', 'Maintenance', 'Update', 'BNYK', 'Error']</v>
      </c>
      <c r="D3366" s="3">
        <v>1.0</v>
      </c>
    </row>
    <row r="3367" ht="15.75" customHeight="1">
      <c r="A3367" s="1">
        <v>3557.0</v>
      </c>
      <c r="B3367" s="3" t="s">
        <v>3276</v>
      </c>
      <c r="C3367" s="3" t="str">
        <f>IFERROR(__xludf.DUMMYFUNCTION("GOOGLETRANSLATE(B3367,""id"",""en"")"),"['version', 'newest', 'difficult', 'times',' Mawar ',' NOTH ',' FEATURES ',' chat ',' report ',' broken ',' located ',' menu ',' DMN ']")</f>
        <v>['version', 'newest', 'difficult', 'times',' Mawar ',' NOTH ',' FEATURES ',' chat ',' report ',' broken ',' located ',' menu ',' DMN ']</v>
      </c>
      <c r="D3367" s="3">
        <v>1.0</v>
      </c>
    </row>
    <row r="3368" ht="15.75" customHeight="1">
      <c r="A3368" s="1">
        <v>3558.0</v>
      </c>
      <c r="B3368" s="3" t="s">
        <v>3277</v>
      </c>
      <c r="C3368" s="3" t="str">
        <f>IFERROR(__xludf.DUMMYFUNCTION("GOOGLETRANSLATE(B3368,""id"",""en"")"),"['Please', 'updated', 'log', 'account', 'password', 'wrong', 'how', 'bill', 'Please', 'repaired', 'application']")</f>
        <v>['Please', 'updated', 'log', 'account', 'password', 'wrong', 'how', 'bill', 'Please', 'repaired', 'application']</v>
      </c>
      <c r="D3368" s="3">
        <v>1.0</v>
      </c>
    </row>
    <row r="3369" ht="15.75" customHeight="1">
      <c r="A3369" s="1">
        <v>3559.0</v>
      </c>
      <c r="B3369" s="3" t="s">
        <v>3278</v>
      </c>
      <c r="C3369" s="3" t="str">
        <f>IFERROR(__xludf.DUMMYFUNCTION("GOOGLETRANSLATE(B3369,""id"",""en"")"),"['bad', 'the application', 'comfortable', 'the application', 'slow', 'yes', '']")</f>
        <v>['bad', 'the application', 'comfortable', 'the application', 'slow', 'yes', '']</v>
      </c>
      <c r="D3369" s="3">
        <v>1.0</v>
      </c>
    </row>
    <row r="3370" ht="15.75" customHeight="1">
      <c r="A3370" s="1">
        <v>3560.0</v>
      </c>
      <c r="B3370" s="3" t="s">
        <v>3279</v>
      </c>
      <c r="C3370" s="3" t="str">
        <f>IFERROR(__xludf.DUMMYFUNCTION("GOOGLETRANSLATE(B3370,""id"",""en"")"),"['service', 'Indihome', 'destroyed', 'smooth', 'service', 'destroyed']")</f>
        <v>['service', 'Indihome', 'destroyed', 'smooth', 'service', 'destroyed']</v>
      </c>
      <c r="D3370" s="3">
        <v>1.0</v>
      </c>
    </row>
    <row r="3371" ht="15.75" customHeight="1">
      <c r="A3371" s="1">
        <v>3561.0</v>
      </c>
      <c r="B3371" s="3" t="s">
        <v>3280</v>
      </c>
      <c r="C3371" s="3" t="str">
        <f>IFERROR(__xludf.DUMMYFUNCTION("GOOGLETRANSLATE(B3371,""id"",""en"")"),"['Error', 'Login', 'Email', 'Fix', 'Min']")</f>
        <v>['Error', 'Login', 'Email', 'Fix', 'Min']</v>
      </c>
      <c r="D3371" s="3">
        <v>3.0</v>
      </c>
    </row>
    <row r="3372" ht="15.75" customHeight="1">
      <c r="A3372" s="1">
        <v>3562.0</v>
      </c>
      <c r="B3372" s="3" t="s">
        <v>3281</v>
      </c>
      <c r="C3372" s="3" t="str">
        <f>IFERROR(__xludf.DUMMYFUNCTION("GOOGLETRANSLATE(B3372,""id"",""en"")"),"['Good', 'AFK', 'Old', 'Dri', 'PDA', 'Corps', 'Pitur', 'Promo', 'Advertising', 'Mending', 'Simple']")</f>
        <v>['Good', 'AFK', 'Old', 'Dri', 'PDA', 'Corps', 'Pitur', 'Promo', 'Advertising', 'Mending', 'Simple']</v>
      </c>
      <c r="D3372" s="3">
        <v>1.0</v>
      </c>
    </row>
    <row r="3373" ht="15.75" customHeight="1">
      <c r="A3373" s="1">
        <v>3563.0</v>
      </c>
      <c r="B3373" s="3" t="s">
        <v>3282</v>
      </c>
      <c r="C3373" s="3" t="str">
        <f>IFERROR(__xludf.DUMMYFUNCTION("GOOGLETRANSLATE(B3373,""id"",""en"")"),"['Help', 'really', 'application']")</f>
        <v>['Help', 'really', 'application']</v>
      </c>
      <c r="D3373" s="3">
        <v>5.0</v>
      </c>
    </row>
    <row r="3374" ht="15.75" customHeight="1">
      <c r="A3374" s="1">
        <v>3564.0</v>
      </c>
      <c r="B3374" s="3" t="s">
        <v>3283</v>
      </c>
      <c r="C3374" s="3" t="str">
        <f>IFERROR(__xludf.DUMMYFUNCTION("GOOGLETRANSLATE(B3374,""id"",""en"")"),"['Network', 'cheap', 'fast', 'indihome', '']")</f>
        <v>['Network', 'cheap', 'fast', 'indihome', '']</v>
      </c>
      <c r="D3374" s="3">
        <v>5.0</v>
      </c>
    </row>
    <row r="3375" ht="15.75" customHeight="1">
      <c r="A3375" s="1">
        <v>3565.0</v>
      </c>
      <c r="B3375" s="3" t="s">
        <v>3284</v>
      </c>
      <c r="C3375" s="3" t="str">
        <f>IFERROR(__xludf.DUMMYFUNCTION("GOOGLETRANSLATE(B3375,""id"",""en"")"),"['check', 'bill', 'forget', 'pay']")</f>
        <v>['check', 'bill', 'forget', 'pay']</v>
      </c>
      <c r="D3375" s="3">
        <v>5.0</v>
      </c>
    </row>
    <row r="3376" ht="15.75" customHeight="1">
      <c r="A3376" s="1">
        <v>3566.0</v>
      </c>
      <c r="B3376" s="3" t="s">
        <v>3285</v>
      </c>
      <c r="C3376" s="3" t="str">
        <f>IFERROR(__xludf.DUMMYFUNCTION("GOOGLETRANSLATE(B3376,""id"",""en"")"),"['Application', 'opened', 'Display', 'slow', '']")</f>
        <v>['Application', 'opened', 'Display', 'slow', '']</v>
      </c>
      <c r="D3376" s="3">
        <v>3.0</v>
      </c>
    </row>
    <row r="3377" ht="15.75" customHeight="1">
      <c r="A3377" s="1">
        <v>3567.0</v>
      </c>
      <c r="B3377" s="3" t="s">
        <v>3286</v>
      </c>
      <c r="C3377" s="3" t="str">
        <f>IFERROR(__xludf.DUMMYFUNCTION("GOOGLETRANSLATE(B3377,""id"",""en"")"),"['Loading', 'subscription', 'package', 'APK', 'problematic', 'network', 'disappointing']")</f>
        <v>['Loading', 'subscription', 'package', 'APK', 'problematic', 'network', 'disappointing']</v>
      </c>
      <c r="D3377" s="3">
        <v>1.0</v>
      </c>
    </row>
    <row r="3378" ht="15.75" customHeight="1">
      <c r="A3378" s="1">
        <v>3568.0</v>
      </c>
      <c r="B3378" s="3" t="s">
        <v>3287</v>
      </c>
      <c r="C3378" s="3" t="str">
        <f>IFERROR(__xludf.DUMMYFUNCTION("GOOGLETRANSLATE(B3378,""id"",""en"")"),"['Direct', 'Uninstall', 'Application', 'Abal', 'Register', 'Mulu']")</f>
        <v>['Direct', 'Uninstall', 'Application', 'Abal', 'Register', 'Mulu']</v>
      </c>
      <c r="D3378" s="3">
        <v>1.0</v>
      </c>
    </row>
    <row r="3379" ht="15.75" customHeight="1">
      <c r="A3379" s="1">
        <v>3569.0</v>
      </c>
      <c r="B3379" s="3" t="s">
        <v>3288</v>
      </c>
      <c r="C3379" s="3" t="str">
        <f>IFERROR(__xludf.DUMMYFUNCTION("GOOGLETRANSLATE(B3379,""id"",""en"")"),"['hope', 'Change', 'Application', 'Simple', '']")</f>
        <v>['hope', 'Change', 'Application', 'Simple', '']</v>
      </c>
      <c r="D3379" s="3">
        <v>5.0</v>
      </c>
    </row>
    <row r="3380" ht="15.75" customHeight="1">
      <c r="A3380" s="1">
        <v>3570.0</v>
      </c>
      <c r="B3380" s="3" t="s">
        <v>3289</v>
      </c>
      <c r="C3380" s="3" t="str">
        <f>IFERROR(__xludf.DUMMYFUNCTION("GOOGLETRANSLATE(B3380,""id"",""en"")"),"['process',' installation ',' fast ',' morning ',' info ',' indihome ',' marketing ',' direct ',' survey ',' rmh ',' check ',' availability ',' network ',' bsk ',' direct ',' pull ',' cable ',' mantapp ',' increase ',' performance ',' service ',' mksh ']")</f>
        <v>['process',' installation ',' fast ',' morning ',' info ',' indihome ',' marketing ',' direct ',' survey ',' rmh ',' check ',' availability ',' network ',' bsk ',' direct ',' pull ',' cable ',' mantapp ',' increase ',' performance ',' service ',' mksh ']</v>
      </c>
      <c r="D3380" s="3">
        <v>5.0</v>
      </c>
    </row>
    <row r="3381" ht="15.75" customHeight="1">
      <c r="A3381" s="1">
        <v>3571.0</v>
      </c>
      <c r="B3381" s="3" t="s">
        <v>3290</v>
      </c>
      <c r="C3381" s="3" t="str">
        <f>IFERROR(__xludf.DUMMYFUNCTION("GOOGLETRANSLATE(B3381,""id"",""en"")"),"['menu', 'complaint', 'it seems', 'version']")</f>
        <v>['menu', 'complaint', 'it seems', 'version']</v>
      </c>
      <c r="D3381" s="3">
        <v>5.0</v>
      </c>
    </row>
    <row r="3382" ht="15.75" customHeight="1">
      <c r="A3382" s="1">
        <v>3572.0</v>
      </c>
      <c r="B3382" s="3" t="s">
        <v>3291</v>
      </c>
      <c r="C3382" s="3" t="str">
        <f>IFERROR(__xludf.DUMMYFUNCTION("GOOGLETRANSLATE(B3382,""id"",""en"")"),"['', 'useful']")</f>
        <v>['', 'useful']</v>
      </c>
      <c r="D3382" s="3">
        <v>1.0</v>
      </c>
    </row>
    <row r="3383" ht="15.75" customHeight="1">
      <c r="A3383" s="1">
        <v>3573.0</v>
      </c>
      <c r="B3383" s="3" t="s">
        <v>3292</v>
      </c>
      <c r="C3383" s="3" t="str">
        <f>IFERROR(__xludf.DUMMYFUNCTION("GOOGLETRANSLATE(B3383,""id"",""en"")"),"['Please', 'Appeared', 'Internet', 'Detai', 'FUP', 'Use']")</f>
        <v>['Please', 'Appeared', 'Internet', 'Detai', 'FUP', 'Use']</v>
      </c>
      <c r="D3383" s="3">
        <v>3.0</v>
      </c>
    </row>
    <row r="3384" ht="15.75" customHeight="1">
      <c r="A3384" s="1">
        <v>3574.0</v>
      </c>
      <c r="B3384" s="3" t="s">
        <v>3293</v>
      </c>
      <c r="C3384" s="3" t="str">
        <f>IFERROR(__xludf.DUMMYFUNCTION("GOOGLETRANSLATE(B3384,""id"",""en"")"),"['Connect', 'number', 'Indihome', 'Posts', 'Number', 'Valid', ""]")</f>
        <v>['Connect', 'number', 'Indihome', 'Posts', 'Number', 'Valid', "]</v>
      </c>
      <c r="D3384" s="3">
        <v>1.0</v>
      </c>
    </row>
    <row r="3385" ht="15.75" customHeight="1">
      <c r="A3385" s="1">
        <v>3575.0</v>
      </c>
      <c r="B3385" s="3" t="s">
        <v>3294</v>
      </c>
      <c r="C3385" s="3" t="str">
        <f>IFERROR(__xludf.DUMMYFUNCTION("GOOGLETRANSLATE(B3385,""id"",""en"")"),"['Indihome', 'heart']")</f>
        <v>['Indihome', 'heart']</v>
      </c>
      <c r="D3385" s="3">
        <v>5.0</v>
      </c>
    </row>
    <row r="3386" ht="15.75" customHeight="1">
      <c r="A3386" s="1">
        <v>3576.0</v>
      </c>
      <c r="B3386" s="3" t="s">
        <v>3295</v>
      </c>
      <c r="C3386" s="3" t="str">
        <f>IFERROR(__xludf.DUMMYFUNCTION("GOOGLETRANSLATE(B3386,""id"",""en"")"),"['signal', 'ugly', 'send', 'task', 'classrom']")</f>
        <v>['signal', 'ugly', 'send', 'task', 'classrom']</v>
      </c>
      <c r="D3386" s="3">
        <v>1.0</v>
      </c>
    </row>
    <row r="3387" ht="15.75" customHeight="1">
      <c r="A3387" s="1">
        <v>3577.0</v>
      </c>
      <c r="B3387" s="3" t="s">
        <v>3296</v>
      </c>
      <c r="C3387" s="3" t="str">
        <f>IFERROR(__xludf.DUMMYFUNCTION("GOOGLETRANSLATE(B3387,""id"",""en"")"),"['Application', 'bug']")</f>
        <v>['Application', 'bug']</v>
      </c>
      <c r="D3387" s="3">
        <v>1.0</v>
      </c>
    </row>
    <row r="3388" ht="15.75" customHeight="1">
      <c r="A3388" s="1">
        <v>3578.0</v>
      </c>
      <c r="B3388" s="3" t="s">
        <v>3297</v>
      </c>
      <c r="C3388" s="3" t="str">
        <f>IFERROR(__xludf.DUMMYFUNCTION("GOOGLETRANSLATE(B3388,""id"",""en"")"),"['version', 'disappointing', 'repeat', 'times',' entry ',' said ',' number ',' registered ',' registered ',' reset ',' number ',' request ',' Enter ',' Register ',' Enter ',' Try ',' Enter ',' Email ',' Enter ']")</f>
        <v>['version', 'disappointing', 'repeat', 'times',' entry ',' said ',' number ',' registered ',' registered ',' reset ',' number ',' request ',' Enter ',' Register ',' Enter ',' Try ',' Enter ',' Email ',' Enter ']</v>
      </c>
      <c r="D3388" s="3">
        <v>1.0</v>
      </c>
    </row>
    <row r="3389" ht="15.75" customHeight="1">
      <c r="A3389" s="1">
        <v>3579.0</v>
      </c>
      <c r="B3389" s="3" t="s">
        <v>3298</v>
      </c>
      <c r="C3389" s="3" t="str">
        <f>IFERROR(__xludf.DUMMYFUNCTION("GOOGLETRANSLATE(B3389,""id"",""en"")"),"['Please', 'Optimize', 'Application', 'Bug']")</f>
        <v>['Please', 'Optimize', 'Application', 'Bug']</v>
      </c>
      <c r="D3389" s="3">
        <v>5.0</v>
      </c>
    </row>
    <row r="3390" ht="15.75" customHeight="1">
      <c r="A3390" s="1">
        <v>3580.0</v>
      </c>
      <c r="B3390" s="3" t="s">
        <v>3299</v>
      </c>
      <c r="C3390" s="3" t="str">
        <f>IFERROR(__xludf.DUMMYFUNCTION("GOOGLETRANSLATE(B3390,""id"",""en"")"),"['Sauti', 'related', 'smell', 'itutu', 'disappointing']")</f>
        <v>['Sauti', 'related', 'smell', 'itutu', 'disappointing']</v>
      </c>
      <c r="D3390" s="3">
        <v>1.0</v>
      </c>
    </row>
    <row r="3391" ht="15.75" customHeight="1">
      <c r="A3391" s="1">
        <v>3581.0</v>
      </c>
      <c r="B3391" s="3" t="s">
        <v>3300</v>
      </c>
      <c r="C3391" s="3" t="str">
        <f>IFERROR(__xludf.DUMMYFUNCTION("GOOGLETRANSLATE(B3391,""id"",""en"")"),"['Please', 'Application', 'Latest', 'Indihome', 'Heavy', 'Skali', 'RAM', 'Please', 'Review', ""]")</f>
        <v>['Please', 'Application', 'Latest', 'Indihome', 'Heavy', 'Skali', 'RAM', 'Please', 'Review', "]</v>
      </c>
      <c r="D3391" s="3">
        <v>1.0</v>
      </c>
    </row>
    <row r="3392" ht="15.75" customHeight="1">
      <c r="A3392" s="1">
        <v>3582.0</v>
      </c>
      <c r="B3392" s="3" t="s">
        <v>1479</v>
      </c>
      <c r="C3392" s="3" t="str">
        <f>IFERROR(__xludf.DUMMYFUNCTION("GOOGLETRANSLATE(B3392,""id"",""en"")"),"['', 'Update', 'Lemott']")</f>
        <v>['', 'Update', 'Lemott']</v>
      </c>
      <c r="D3392" s="3">
        <v>1.0</v>
      </c>
    </row>
    <row r="3393" ht="15.75" customHeight="1">
      <c r="A3393" s="1">
        <v>3583.0</v>
      </c>
      <c r="B3393" s="3" t="s">
        <v>3301</v>
      </c>
      <c r="C3393" s="3" t="str">
        <f>IFERROR(__xludf.DUMMYFUNCTION("GOOGLETRANSLATE(B3393,""id"",""en"")"),"['Application', 'Lemot', 'Severe']")</f>
        <v>['Application', 'Lemot', 'Severe']</v>
      </c>
      <c r="D3393" s="3">
        <v>1.0</v>
      </c>
    </row>
    <row r="3394" ht="15.75" customHeight="1">
      <c r="A3394" s="1">
        <v>3584.0</v>
      </c>
      <c r="B3394" s="3" t="s">
        <v>3302</v>
      </c>
      <c r="C3394" s="3" t="str">
        <f>IFERROR(__xludf.DUMMYFUNCTION("GOOGLETRANSLATE(B3394,""id"",""en"")"),"['internet', 'slow', 'already', 'pay', 'expensive', 'network', 'tetep', 'slow', 'late', 'pay', 'direct', 'disconnected', ' The network is', 'Trusted', 'Indihome']")</f>
        <v>['internet', 'slow', 'already', 'pay', 'expensive', 'network', 'tetep', 'slow', 'late', 'pay', 'direct', 'disconnected', ' The network is', 'Trusted', 'Indihome']</v>
      </c>
      <c r="D3394" s="3">
        <v>1.0</v>
      </c>
    </row>
    <row r="3395" ht="15.75" customHeight="1">
      <c r="A3395" s="1">
        <v>3585.0</v>
      </c>
      <c r="B3395" s="3" t="s">
        <v>3303</v>
      </c>
      <c r="C3395" s="3" t="str">
        <f>IFERROR(__xludf.DUMMYFUNCTION("GOOGLETRANSLATE(B3395,""id"",""en"")"),"['Try', 'Tide', 'Application', 'The Reasons',' Region ',' Affordable ',' Neighbors', 'Halang', 'Houses',' Already ',' Box ',' Telkom ',' side of the road', '']")</f>
        <v>['Try', 'Tide', 'Application', 'The Reasons',' Region ',' Affordable ',' Neighbors', 'Halang', 'Houses',' Already ',' Box ',' Telkom ',' side of the road', '']</v>
      </c>
      <c r="D3395" s="3">
        <v>1.0</v>
      </c>
    </row>
    <row r="3396" ht="15.75" customHeight="1">
      <c r="A3396" s="1">
        <v>3586.0</v>
      </c>
      <c r="B3396" s="3" t="s">
        <v>3304</v>
      </c>
      <c r="C3396" s="3" t="str">
        <f>IFERROR(__xludf.DUMMYFUNCTION("GOOGLETRANSLATE(B3396,""id"",""en"")"),"['Application', 'Cool', 'Register', 'Langanan', 'Indihome', 'Ribet', 'Office', 'Urus', 'Cool', ""]")</f>
        <v>['Application', 'Cool', 'Register', 'Langanan', 'Indihome', 'Ribet', 'Office', 'Urus', 'Cool', "]</v>
      </c>
      <c r="D3396" s="3">
        <v>5.0</v>
      </c>
    </row>
    <row r="3397" ht="15.75" customHeight="1">
      <c r="A3397" s="1">
        <v>3587.0</v>
      </c>
      <c r="B3397" s="3" t="s">
        <v>3305</v>
      </c>
      <c r="C3397" s="3" t="str">
        <f>IFERROR(__xludf.DUMMYFUNCTION("GOOGLETRANSLATE(B3397,""id"",""en"")"),"['update', 'difficult', 'access']")</f>
        <v>['update', 'difficult', 'access']</v>
      </c>
      <c r="D3397" s="3">
        <v>1.0</v>
      </c>
    </row>
    <row r="3398" ht="15.75" customHeight="1">
      <c r="A3398" s="1">
        <v>3588.0</v>
      </c>
      <c r="B3398" s="3" t="s">
        <v>3306</v>
      </c>
      <c r="C3398" s="3" t="str">
        <f>IFERROR(__xludf.DUMMYFUNCTION("GOOGLETRANSLATE(B3398,""id"",""en"")"),"['Service', 'bad', 'rotten']")</f>
        <v>['Service', 'bad', 'rotten']</v>
      </c>
      <c r="D3398" s="3">
        <v>1.0</v>
      </c>
    </row>
    <row r="3399" ht="15.75" customHeight="1">
      <c r="A3399" s="1">
        <v>3589.0</v>
      </c>
      <c r="B3399" s="3" t="s">
        <v>3307</v>
      </c>
      <c r="C3399" s="3" t="str">
        <f>IFERROR(__xludf.DUMMYFUNCTION("GOOGLETRANSLATE(B3399,""id"",""en"")"),"['Indihomo', 'pulp', 'poor', 'error', 'week', 'itikad', 'good', 'technicians', 'child', 'poor', 'application']")</f>
        <v>['Indihomo', 'pulp', 'poor', 'error', 'week', 'itikad', 'good', 'technicians', 'child', 'poor', 'application']</v>
      </c>
      <c r="D3399" s="3">
        <v>1.0</v>
      </c>
    </row>
    <row r="3400" ht="15.75" customHeight="1">
      <c r="A3400" s="1">
        <v>3590.0</v>
      </c>
      <c r="B3400" s="3" t="s">
        <v>3308</v>
      </c>
      <c r="C3400" s="3" t="str">
        <f>IFERROR(__xludf.DUMMYFUNCTION("GOOGLETRANSLATE(B3400,""id"",""en"")"),"['suggestion', 'payment', 'balance', 'donated', 'dengn', 'link', 'telkom', 'group', 'application', 'next door', 'connects',' link ',' Linkaja ']")</f>
        <v>['suggestion', 'payment', 'balance', 'donated', 'dengn', 'link', 'telkom', 'group', 'application', 'next door', 'connects',' link ',' Linkaja ']</v>
      </c>
      <c r="D3400" s="3">
        <v>5.0</v>
      </c>
    </row>
    <row r="3401" ht="15.75" customHeight="1">
      <c r="A3401" s="1">
        <v>3591.0</v>
      </c>
      <c r="B3401" s="3" t="s">
        <v>3309</v>
      </c>
      <c r="C3401" s="3" t="str">
        <f>IFERROR(__xludf.DUMMYFUNCTION("GOOGLETRANSLATE(B3401,""id"",""en"")"),"['', 'reports',' complaints', 'Indihome', 'BERES', 'technicians',' network ',' restart ',' connection ',' slow ',' slow ',' handle it ',' garbage ',' Gini ',' application ',' handy ',' installed ',' office ',' visited ',' direct ']")</f>
        <v>['', 'reports',' complaints', 'Indihome', 'BERES', 'technicians',' network ',' restart ',' connection ',' slow ',' slow ',' handle it ',' garbage ',' Gini ',' application ',' handy ',' installed ',' office ',' visited ',' direct ']</v>
      </c>
      <c r="D3401" s="3">
        <v>1.0</v>
      </c>
    </row>
    <row r="3402" ht="15.75" customHeight="1">
      <c r="A3402" s="1">
        <v>3592.0</v>
      </c>
      <c r="B3402" s="3" t="s">
        <v>3310</v>
      </c>
      <c r="C3402" s="3" t="str">
        <f>IFERROR(__xludf.DUMMYFUNCTION("GOOGLETRANSLATE(B3402,""id"",""en"")"),"['network', 'cord']")</f>
        <v>['network', 'cord']</v>
      </c>
      <c r="D3402" s="3">
        <v>1.0</v>
      </c>
    </row>
    <row r="3403" ht="15.75" customHeight="1">
      <c r="A3403" s="1">
        <v>3593.0</v>
      </c>
      <c r="B3403" s="3" t="s">
        <v>3311</v>
      </c>
      <c r="C3403" s="3" t="str">
        <f>IFERROR(__xludf.DUMMYFUNCTION("GOOGLETRANSLATE(B3403,""id"",""en"")"),"['Please', 'network', 'wifi', 'repaired', 'play', 'game', 'signal', 'red', 'please', 'repair', ""]")</f>
        <v>['Please', 'network', 'wifi', 'repaired', 'play', 'game', 'signal', 'red', 'please', 'repair', "]</v>
      </c>
      <c r="D3403" s="3">
        <v>2.0</v>
      </c>
    </row>
    <row r="3404" ht="15.75" customHeight="1">
      <c r="A3404" s="1">
        <v>3594.0</v>
      </c>
      <c r="B3404" s="3" t="s">
        <v>3312</v>
      </c>
      <c r="C3404" s="3" t="str">
        <f>IFERROR(__xludf.DUMMYFUNCTION("GOOGLETRANSLATE(B3404,""id"",""en"")"),"['application', 'update', 'at the level', 'remote', 'device', 'connected']")</f>
        <v>['application', 'update', 'at the level', 'remote', 'device', 'connected']</v>
      </c>
      <c r="D3404" s="3">
        <v>5.0</v>
      </c>
    </row>
    <row r="3405" ht="15.75" customHeight="1">
      <c r="A3405" s="1">
        <v>3596.0</v>
      </c>
      <c r="B3405" s="3" t="s">
        <v>3313</v>
      </c>
      <c r="C3405" s="3" t="str">
        <f>IFERROR(__xludf.DUMMYFUNCTION("GOOGLETRANSLATE(B3405,""id"",""en"")"),"['Since', 'Update', 'Login']")</f>
        <v>['Since', 'Update', 'Login']</v>
      </c>
      <c r="D3405" s="3">
        <v>1.0</v>
      </c>
    </row>
    <row r="3406" ht="15.75" customHeight="1">
      <c r="A3406" s="1">
        <v>3597.0</v>
      </c>
      <c r="B3406" s="3" t="s">
        <v>3314</v>
      </c>
      <c r="C3406" s="3" t="str">
        <f>IFERROR(__xludf.DUMMYFUNCTION("GOOGLETRANSLATE(B3406,""id"",""en"")"),"['Good', 'network', 'skrg', 'knpa', 'pulp', ""]")</f>
        <v>['Good', 'network', 'skrg', 'knpa', 'pulp', "]</v>
      </c>
      <c r="D3406" s="3">
        <v>1.0</v>
      </c>
    </row>
    <row r="3407" ht="15.75" customHeight="1">
      <c r="A3407" s="1">
        <v>3598.0</v>
      </c>
      <c r="B3407" s="3" t="s">
        <v>3315</v>
      </c>
      <c r="C3407" s="3" t="str">
        <f>IFERROR(__xludf.DUMMYFUNCTION("GOOGLETRANSLATE(B3407,""id"",""en"")"),"['Not bad', 'good', 'check', 'bills',' add ',' like ',' sometimes', 'pay', 'bill', 'point', 'like', ' Report ',' ']")</f>
        <v>['Not bad', 'good', 'check', 'bills',' add ',' like ',' sometimes', 'pay', 'bill', 'point', 'like', ' Report ',' ']</v>
      </c>
      <c r="D3407" s="3">
        <v>4.0</v>
      </c>
    </row>
    <row r="3408" ht="15.75" customHeight="1">
      <c r="A3408" s="1">
        <v>3599.0</v>
      </c>
      <c r="B3408" s="3" t="s">
        <v>3316</v>
      </c>
      <c r="C3408" s="3" t="str">
        <f>IFERROR(__xludf.DUMMYFUNCTION("GOOGLETRANSLATE(B3408,""id"",""en"")"),"['Service', 'fast', 'good']")</f>
        <v>['Service', 'fast', 'good']</v>
      </c>
      <c r="D3408" s="3">
        <v>5.0</v>
      </c>
    </row>
    <row r="3409" ht="15.75" customHeight="1">
      <c r="A3409" s="1">
        <v>3601.0</v>
      </c>
      <c r="B3409" s="3" t="s">
        <v>3317</v>
      </c>
      <c r="C3409" s="3" t="str">
        <f>IFERROR(__xludf.DUMMYFUNCTION("GOOGLETRANSLATE(B3409,""id"",""en"")"),"['Myindihome', 'Since', 'Version', 'Nidak', 'Luka', 'Pekah', 'Updated']")</f>
        <v>['Myindihome', 'Since', 'Version', 'Nidak', 'Luka', 'Pekah', 'Updated']</v>
      </c>
      <c r="D3409" s="3">
        <v>5.0</v>
      </c>
    </row>
    <row r="3410" ht="15.75" customHeight="1">
      <c r="A3410" s="1">
        <v>3602.0</v>
      </c>
      <c r="B3410" s="3" t="s">
        <v>3318</v>
      </c>
      <c r="C3410" s="3" t="str">
        <f>IFERROR(__xludf.DUMMYFUNCTION("GOOGLETRANSLATE(B3410,""id"",""en"")"),"['Application', 'chaotic', 'smooth', 'skrg', 'told', 'inserted', 'indihome', 'inserted', 'registered', 'look', 'told', 'enter', ' Indihome ']")</f>
        <v>['Application', 'chaotic', 'smooth', 'skrg', 'told', 'inserted', 'indihome', 'inserted', 'registered', 'look', 'told', 'enter', ' Indihome ']</v>
      </c>
      <c r="D3410" s="3">
        <v>1.0</v>
      </c>
    </row>
    <row r="3411" ht="15.75" customHeight="1">
      <c r="A3411" s="1">
        <v>3603.0</v>
      </c>
      <c r="B3411" s="3" t="s">
        <v>3319</v>
      </c>
      <c r="C3411" s="3" t="str">
        <f>IFERROR(__xludf.DUMMYFUNCTION("GOOGLETRANSLATE(B3411,""id"",""en"")"),"['A ',' account ',' enter ']")</f>
        <v>['A ',' account ',' enter ']</v>
      </c>
      <c r="D3411" s="3">
        <v>2.0</v>
      </c>
    </row>
    <row r="3412" ht="15.75" customHeight="1">
      <c r="A3412" s="1">
        <v>3604.0</v>
      </c>
      <c r="B3412" s="3" t="s">
        <v>3320</v>
      </c>
      <c r="C3412" s="3" t="str">
        <f>IFERROR(__xludf.DUMMYFUNCTION("GOOGLETRANSLATE(B3412,""id"",""en"")"),"['wifi', 'ngeleg', 'nihh', 'boss', '']")</f>
        <v>['wifi', 'ngeleg', 'nihh', 'boss', '']</v>
      </c>
      <c r="D3412" s="3">
        <v>1.0</v>
      </c>
    </row>
    <row r="3413" ht="15.75" customHeight="1">
      <c r="A3413" s="1">
        <v>3605.0</v>
      </c>
      <c r="B3413" s="3" t="s">
        <v>3321</v>
      </c>
      <c r="C3413" s="3" t="str">
        <f>IFERROR(__xludf.DUMMYFUNCTION("GOOGLETRANSLATE(B3413,""id"",""en"")"),"['Myindihome', 'Open', 'code', 'verification', 'tsb', 'fox', 'indihome', 'bekasi', 'please', 'confirm', 'reset', 'email', ' thank you', '']")</f>
        <v>['Myindihome', 'Open', 'code', 'verification', 'tsb', 'fox', 'indihome', 'bekasi', 'please', 'confirm', 'reset', 'email', ' thank you', '']</v>
      </c>
      <c r="D3413" s="3">
        <v>2.0</v>
      </c>
    </row>
    <row r="3414" ht="15.75" customHeight="1">
      <c r="A3414" s="1">
        <v>3606.0</v>
      </c>
      <c r="B3414" s="3" t="s">
        <v>3322</v>
      </c>
      <c r="C3414" s="3" t="str">
        <f>IFERROR(__xludf.DUMMYFUNCTION("GOOGLETRANSLATE(B3414,""id"",""en"")"),"['signal', 'strong', 'until', 'skrng', 'obstacle', 'cpet', 'hand']")</f>
        <v>['signal', 'strong', 'until', 'skrng', 'obstacle', 'cpet', 'hand']</v>
      </c>
      <c r="D3414" s="3">
        <v>5.0</v>
      </c>
    </row>
    <row r="3415" ht="15.75" customHeight="1">
      <c r="A3415" s="1">
        <v>3607.0</v>
      </c>
      <c r="B3415" s="3" t="s">
        <v>3323</v>
      </c>
      <c r="C3415" s="3" t="str">
        <f>IFERROR(__xludf.DUMMYFUNCTION("GOOGLETRANSLATE(B3415,""id"",""en"")"),"['Link', 'Payment', 'Linkaja', 'Gopay', 'Direct', 'APP']")</f>
        <v>['Link', 'Payment', 'Linkaja', 'Gopay', 'Direct', 'APP']</v>
      </c>
      <c r="D3415" s="3">
        <v>2.0</v>
      </c>
    </row>
    <row r="3416" ht="15.75" customHeight="1">
      <c r="A3416" s="1">
        <v>3608.0</v>
      </c>
      <c r="B3416" s="3" t="s">
        <v>3324</v>
      </c>
      <c r="C3416" s="3" t="str">
        <f>IFERROR(__xludf.DUMMYFUNCTION("GOOGLETRANSLATE(B3416,""id"",""en"")"),"['Liat', 'Data', 'Usage', 'Knp', '']")</f>
        <v>['Liat', 'Data', 'Usage', 'Knp', '']</v>
      </c>
      <c r="D3416" s="3">
        <v>4.0</v>
      </c>
    </row>
    <row r="3417" ht="15.75" customHeight="1">
      <c r="A3417" s="1">
        <v>3609.0</v>
      </c>
      <c r="B3417" s="3" t="s">
        <v>3325</v>
      </c>
      <c r="C3417" s="3" t="str">
        <f>IFERROR(__xludf.DUMMYFUNCTION("GOOGLETRANSLATE(B3417,""id"",""en"")"),"['service', 'really', 'already', 'internet', 'dead', 'pay', 'paid out', 'dilayanin', 'lined', 'internet', 'disappointed', '']")</f>
        <v>['service', 'really', 'already', 'internet', 'dead', 'pay', 'paid out', 'dilayanin', 'lined', 'internet', 'disappointed', '']</v>
      </c>
      <c r="D3417" s="3">
        <v>1.0</v>
      </c>
    </row>
    <row r="3418" ht="15.75" customHeight="1">
      <c r="A3418" s="1">
        <v>3610.0</v>
      </c>
      <c r="B3418" s="3" t="s">
        <v>3326</v>
      </c>
      <c r="C3418" s="3" t="str">
        <f>IFERROR(__xludf.DUMMYFUNCTION("GOOGLETRANSLATE(B3418,""id"",""en"")"),"['Troubled', 'Mulu']")</f>
        <v>['Troubled', 'Mulu']</v>
      </c>
      <c r="D3418" s="3">
        <v>1.0</v>
      </c>
    </row>
    <row r="3419" ht="15.75" customHeight="1">
      <c r="A3419" s="1">
        <v>3611.0</v>
      </c>
      <c r="B3419" s="3" t="s">
        <v>2909</v>
      </c>
      <c r="C3419" s="3" t="str">
        <f>IFERROR(__xludf.DUMMYFUNCTION("GOOGLETRANSLATE(B3419,""id"",""en"")"),"['Lemot', 'Application']")</f>
        <v>['Lemot', 'Application']</v>
      </c>
      <c r="D3419" s="3">
        <v>1.0</v>
      </c>
    </row>
    <row r="3420" ht="15.75" customHeight="1">
      <c r="A3420" s="1">
        <v>3612.0</v>
      </c>
      <c r="B3420" s="3" t="s">
        <v>3327</v>
      </c>
      <c r="C3420" s="3" t="str">
        <f>IFERROR(__xludf.DUMMYFUNCTION("GOOGLETRANSLATE(B3420,""id"",""en"")"),"['service', 'bad', 'mentang', 'BUMN', 'serve']")</f>
        <v>['service', 'bad', 'mentang', 'BUMN', 'serve']</v>
      </c>
      <c r="D3420" s="3">
        <v>1.0</v>
      </c>
    </row>
    <row r="3421" ht="15.75" customHeight="1">
      <c r="A3421" s="1">
        <v>3613.0</v>
      </c>
      <c r="B3421" s="3" t="s">
        <v>3328</v>
      </c>
      <c r="C3421" s="3" t="str">
        <f>IFERROR(__xludf.DUMMYFUNCTION("GOOGLETRANSLATE(B3421,""id"",""en"")"),"['update', 'application', 'person', 'understand', 'bagusan', 'yesterday', 'report', 'disruption', 'fast', 'easy', 'difficult', 'haduhh']")</f>
        <v>['update', 'application', 'person', 'understand', 'bagusan', 'yesterday', 'report', 'disruption', 'fast', 'easy', 'difficult', 'haduhh']</v>
      </c>
      <c r="D3421" s="3">
        <v>4.0</v>
      </c>
    </row>
    <row r="3422" ht="15.75" customHeight="1">
      <c r="A3422" s="1">
        <v>3614.0</v>
      </c>
      <c r="B3422" s="3" t="s">
        <v>3329</v>
      </c>
      <c r="C3422" s="3" t="str">
        <f>IFERROR(__xludf.DUMMYFUNCTION("GOOGLETRANSLATE(B3422,""id"",""en"")"),"['Buy', 'Chanel', 'Bein', 'Spor', 'stop', 'subscribe', 'features',' channel ',' open ',' sense ',' Akalan ',' indihome ',' Subscribe ',' ']")</f>
        <v>['Buy', 'Chanel', 'Bein', 'Spor', 'stop', 'subscribe', 'features',' channel ',' open ',' sense ',' Akalan ',' indihome ',' Subscribe ',' ']</v>
      </c>
      <c r="D3422" s="3">
        <v>1.0</v>
      </c>
    </row>
    <row r="3423" ht="15.75" customHeight="1">
      <c r="A3423" s="1">
        <v>3616.0</v>
      </c>
      <c r="B3423" s="3" t="s">
        <v>3330</v>
      </c>
      <c r="C3423" s="3" t="str">
        <f>IFERROR(__xludf.DUMMYFUNCTION("GOOGLETRANSLATE(B3423,""id"",""en"")"),"['', 'function']")</f>
        <v>['', 'function']</v>
      </c>
      <c r="D3423" s="3">
        <v>1.0</v>
      </c>
    </row>
    <row r="3424" ht="15.75" customHeight="1">
      <c r="A3424" s="1">
        <v>3617.0</v>
      </c>
      <c r="B3424" s="3" t="s">
        <v>3331</v>
      </c>
      <c r="C3424" s="3" t="str">
        <f>IFERROR(__xludf.DUMMYFUNCTION("GOOGLETRANSLATE(B3424,""id"",""en"")"),"['Indihome', 'Knp', 'Ngelag', '']")</f>
        <v>['Indihome', 'Knp', 'Ngelag', '']</v>
      </c>
      <c r="D3424" s="3">
        <v>1.0</v>
      </c>
    </row>
    <row r="3425" ht="15.75" customHeight="1">
      <c r="A3425" s="1">
        <v>3618.0</v>
      </c>
      <c r="B3425" s="3" t="s">
        <v>3332</v>
      </c>
      <c r="C3425" s="3" t="str">
        <f>IFERROR(__xludf.DUMMYFUNCTION("GOOGLETRANSLATE(B3425,""id"",""en"")"),"['Update', 'Internet', 'Myindihome', 'Mbps',' Update ',' Internet ',' Mbps', 'Indihome', 'CARE', 'Internet', 'subscribe', 'Mbps',' Sasson ',' Gini ',' ']")</f>
        <v>['Update', 'Internet', 'Myindihome', 'Mbps',' Update ',' Internet ',' Mbps', 'Indihome', 'CARE', 'Internet', 'subscribe', 'Mbps',' Sasson ',' Gini ',' ']</v>
      </c>
      <c r="D3425" s="3">
        <v>2.0</v>
      </c>
    </row>
    <row r="3426" ht="15.75" customHeight="1">
      <c r="A3426" s="1">
        <v>3619.0</v>
      </c>
      <c r="B3426" s="3" t="s">
        <v>3333</v>
      </c>
      <c r="C3426" s="3" t="str">
        <f>IFERROR(__xludf.DUMMYFUNCTION("GOOGLETRANSLATE(B3426,""id"",""en"")"),"['application', 'useful', 'user', 'indihome', 'check', 'bill', 'pay', 'bill', 'update', 'speed', 'just', 'joss',' Deh ',' Helpful ',' really ',' ']")</f>
        <v>['application', 'useful', 'user', 'indihome', 'check', 'bill', 'pay', 'bill', 'update', 'speed', 'just', 'joss',' Deh ',' Helpful ',' really ',' ']</v>
      </c>
      <c r="D3426" s="3">
        <v>5.0</v>
      </c>
    </row>
    <row r="3427" ht="15.75" customHeight="1">
      <c r="A3427" s="1">
        <v>3620.0</v>
      </c>
      <c r="B3427" s="3" t="s">
        <v>3334</v>
      </c>
      <c r="C3427" s="3" t="str">
        <f>IFERROR(__xludf.DUMMYFUNCTION("GOOGLETRANSLATE(B3427,""id"",""en"")"),"['Since', 'Update', 'Upgrade', 'Speed', 'Contact', 'Upgrade', 'Guy', ""]")</f>
        <v>['Since', 'Update', 'Upgrade', 'Speed', 'Contact', 'Upgrade', 'Guy', "]</v>
      </c>
      <c r="D3427" s="3">
        <v>5.0</v>
      </c>
    </row>
    <row r="3428" ht="15.75" customHeight="1">
      <c r="A3428" s="1">
        <v>3621.0</v>
      </c>
      <c r="B3428" s="3" t="s">
        <v>14</v>
      </c>
      <c r="C3428" s="3" t="str">
        <f>IFERROR(__xludf.DUMMYFUNCTION("GOOGLETRANSLATE(B3428,""id"",""en"")"),"Of course")</f>
        <v>Of course</v>
      </c>
      <c r="D3428" s="3">
        <v>5.0</v>
      </c>
    </row>
    <row r="3429" ht="15.75" customHeight="1">
      <c r="A3429" s="1">
        <v>3622.0</v>
      </c>
      <c r="B3429" s="3" t="s">
        <v>3335</v>
      </c>
      <c r="C3429" s="3" t="str">
        <f>IFERROR(__xludf.DUMMYFUNCTION("GOOGLETRANSLATE(B3429,""id"",""en"")"),"['chaotic', 'update', 'difficult', 'login']")</f>
        <v>['chaotic', 'update', 'difficult', 'login']</v>
      </c>
      <c r="D3429" s="3">
        <v>1.0</v>
      </c>
    </row>
    <row r="3430" ht="15.75" customHeight="1">
      <c r="A3430" s="1">
        <v>3623.0</v>
      </c>
      <c r="B3430" s="3" t="s">
        <v>3336</v>
      </c>
      <c r="C3430" s="3" t="str">
        <f>IFERROR(__xludf.DUMMYFUNCTION("GOOGLETRANSLATE(B3430,""id"",""en"")"),"['Cool', 'easy', 'check', 'usage', 'check', 'device', 'connected', '']")</f>
        <v>['Cool', 'easy', 'check', 'usage', 'check', 'device', 'connected', '']</v>
      </c>
      <c r="D3430" s="3">
        <v>5.0</v>
      </c>
    </row>
    <row r="3431" ht="15.75" customHeight="1">
      <c r="A3431" s="1">
        <v>3624.0</v>
      </c>
      <c r="B3431" s="3" t="s">
        <v>3337</v>
      </c>
      <c r="C3431" s="3" t="str">
        <f>IFERROR(__xludf.DUMMYFUNCTION("GOOGLETRANSLATE(B3431,""id"",""en"")"),"['Not bad', 'application', 'UDH', 'update', 'slow', 'enter', 'profile', 'difficult']")</f>
        <v>['Not bad', 'application', 'UDH', 'update', 'slow', 'enter', 'profile', 'difficult']</v>
      </c>
      <c r="D3431" s="3">
        <v>1.0</v>
      </c>
    </row>
    <row r="3432" ht="15.75" customHeight="1">
      <c r="A3432" s="1">
        <v>3626.0</v>
      </c>
      <c r="B3432" s="3" t="s">
        <v>3338</v>
      </c>
      <c r="C3432" s="3" t="str">
        <f>IFERROR(__xludf.DUMMYFUNCTION("GOOGLETRANSLATE(B3432,""id"",""en"")"),"['', 'APDET', 'version', 'use', 'alias', 'open', 'login', 'login', 'success', 'open', 'the application', 'login', "" ]")</f>
        <v>['', 'APDET', 'version', 'use', 'alias', 'open', 'login', 'login', 'success', 'open', 'the application', 'login', " ]</v>
      </c>
      <c r="D3432" s="3">
        <v>2.0</v>
      </c>
    </row>
    <row r="3433" ht="15.75" customHeight="1">
      <c r="A3433" s="1">
        <v>3627.0</v>
      </c>
      <c r="B3433" s="3" t="s">
        <v>3339</v>
      </c>
      <c r="C3433" s="3" t="str">
        <f>IFERROR(__xludf.DUMMYFUNCTION("GOOGLETRANSLATE(B3433,""id"",""en"")"),"['Interest', 'service', 'user', 'responsive', 'service', 'disorder', 'complained', 'customer']")</f>
        <v>['Interest', 'service', 'user', 'responsive', 'service', 'disorder', 'complained', 'customer']</v>
      </c>
      <c r="D3433" s="3">
        <v>5.0</v>
      </c>
    </row>
    <row r="3434" ht="15.75" customHeight="1">
      <c r="A3434" s="1">
        <v>3628.0</v>
      </c>
      <c r="B3434" s="3" t="s">
        <v>3340</v>
      </c>
      <c r="C3434" s="3" t="str">
        <f>IFERROR(__xludf.DUMMYFUNCTION("GOOGLETRANSLATE(B3434,""id"",""en"")"),"['Upgrade', 'version', 'Latest', 'Application', 'Slow', 'Lemott', 'Upgrade', 'Application', 'Current', 'Jaya', ""]")</f>
        <v>['Upgrade', 'version', 'Latest', 'Application', 'Slow', 'Lemott', 'Upgrade', 'Application', 'Current', 'Jaya', "]</v>
      </c>
      <c r="D3434" s="3">
        <v>1.0</v>
      </c>
    </row>
    <row r="3435" ht="15.75" customHeight="1">
      <c r="A3435" s="1">
        <v>3629.0</v>
      </c>
      <c r="B3435" s="3" t="s">
        <v>3341</v>
      </c>
      <c r="C3435" s="3" t="str">
        <f>IFERROR(__xludf.DUMMYFUNCTION("GOOGLETRANSLATE(B3435,""id"",""en"")"),"['Bagusan', 'version', 'features',' dien ',' version ',' new ',' just ',' promo ',' voucher ',' install ',' monitor ',' Payment ',' use ',' Indihome ',' Install ',' Application ']")</f>
        <v>['Bagusan', 'version', 'features',' dien ',' version ',' new ',' just ',' promo ',' voucher ',' install ',' monitor ',' Payment ',' use ',' Indihome ',' Install ',' Application ']</v>
      </c>
      <c r="D3435" s="3">
        <v>2.0</v>
      </c>
    </row>
    <row r="3436" ht="15.75" customHeight="1">
      <c r="A3436" s="1">
        <v>3630.0</v>
      </c>
      <c r="B3436" s="3" t="s">
        <v>3342</v>
      </c>
      <c r="C3436" s="3" t="str">
        <f>IFERROR(__xludf.DUMMYFUNCTION("GOOGLETRANSLATE(B3436,""id"",""en"")"),"['version', 'the latest', 'slow', '']")</f>
        <v>['version', 'the latest', 'slow', '']</v>
      </c>
      <c r="D3436" s="3">
        <v>1.0</v>
      </c>
    </row>
    <row r="3437" ht="15.75" customHeight="1">
      <c r="A3437" s="1">
        <v>3631.0</v>
      </c>
      <c r="B3437" s="3" t="s">
        <v>3343</v>
      </c>
      <c r="C3437" s="3" t="str">
        <f>IFERROR(__xludf.DUMMYFUNCTION("GOOGLETRANSLATE(B3437,""id"",""en"")"),"['update', 'appearance', 'kece', 'the application', 'help', 'really', 'regret', 'application', 'hope', 'in the future', 'interesting', 'good', ' Good ',' Gob ',' ']")</f>
        <v>['update', 'appearance', 'kece', 'the application', 'help', 'really', 'regret', 'application', 'hope', 'in the future', 'interesting', 'good', ' Good ',' Gob ',' ']</v>
      </c>
      <c r="D3437" s="3">
        <v>5.0</v>
      </c>
    </row>
    <row r="3438" ht="15.75" customHeight="1">
      <c r="A3438" s="1">
        <v>3632.0</v>
      </c>
      <c r="B3438" s="3" t="s">
        <v>3344</v>
      </c>
      <c r="C3438" s="3" t="str">
        <f>IFERROR(__xludf.DUMMYFUNCTION("GOOGLETRANSLATE(B3438,""id"",""en"")"),"['Application', 'steady']")</f>
        <v>['Application', 'steady']</v>
      </c>
      <c r="D3438" s="3">
        <v>5.0</v>
      </c>
    </row>
    <row r="3439" ht="15.75" customHeight="1">
      <c r="A3439" s="1">
        <v>3633.0</v>
      </c>
      <c r="B3439" s="3" t="s">
        <v>3345</v>
      </c>
      <c r="C3439" s="3" t="str">
        <f>IFERROR(__xludf.DUMMYFUNCTION("GOOGLETRANSLATE(B3439,""id"",""en"")"),"['Feature', 'complete', 'display', 'interesting', 'sukak', 'version', 'newest', 'myindihome', '']")</f>
        <v>['Feature', 'complete', 'display', 'interesting', 'sukak', 'version', 'newest', 'myindihome', '']</v>
      </c>
      <c r="D3439" s="3">
        <v>5.0</v>
      </c>
    </row>
    <row r="3440" ht="15.75" customHeight="1">
      <c r="A3440" s="1">
        <v>3634.0</v>
      </c>
      <c r="B3440" s="3" t="s">
        <v>3346</v>
      </c>
      <c r="C3440" s="3" t="str">
        <f>IFERROR(__xludf.DUMMYFUNCTION("GOOGLETRANSLATE(B3440,""id"",""en"")"),"['How', 'Disorders', 'Yesterday', 'Benerin', 'report', 'gabisa']")</f>
        <v>['How', 'Disorders', 'Yesterday', 'Benerin', 'report', 'gabisa']</v>
      </c>
      <c r="D3440" s="3">
        <v>1.0</v>
      </c>
    </row>
    <row r="3441" ht="15.75" customHeight="1">
      <c r="A3441" s="1">
        <v>3635.0</v>
      </c>
      <c r="B3441" s="3" t="s">
        <v>3347</v>
      </c>
      <c r="C3441" s="3" t="str">
        <f>IFERROR(__xludf.DUMMYFUNCTION("GOOGLETRANSLATE(B3441,""id"",""en"")"),"['Not bad', 'help', 'checks', 'wifi', 'home', 'reward', 'decent']")</f>
        <v>['Not bad', 'help', 'checks', 'wifi', 'home', 'reward', 'decent']</v>
      </c>
      <c r="D3441" s="3">
        <v>5.0</v>
      </c>
    </row>
    <row r="3442" ht="15.75" customHeight="1">
      <c r="A3442" s="1">
        <v>3636.0</v>
      </c>
      <c r="B3442" s="3" t="s">
        <v>3348</v>
      </c>
      <c r="C3442" s="3" t="str">
        <f>IFERROR(__xludf.DUMMYFUNCTION("GOOGLETRANSLATE(B3442,""id"",""en"")"),"['Application', 'update', 'slow', 'emusing', 'interesting', 'usser', 'friendly', 'overal', 'good', 'increase']")</f>
        <v>['Application', 'update', 'slow', 'emusing', 'interesting', 'usser', 'friendly', 'overal', 'good', 'increase']</v>
      </c>
      <c r="D3442" s="3">
        <v>4.0</v>
      </c>
    </row>
    <row r="3443" ht="15.75" customHeight="1">
      <c r="A3443" s="1">
        <v>3637.0</v>
      </c>
      <c r="B3443" s="3" t="s">
        <v>14</v>
      </c>
      <c r="C3443" s="3" t="str">
        <f>IFERROR(__xludf.DUMMYFUNCTION("GOOGLETRANSLATE(B3443,""id"",""en"")"),"Of course")</f>
        <v>Of course</v>
      </c>
      <c r="D3443" s="3">
        <v>5.0</v>
      </c>
    </row>
    <row r="3444" ht="15.75" customHeight="1">
      <c r="A3444" s="1">
        <v>3638.0</v>
      </c>
      <c r="B3444" s="3" t="s">
        <v>3349</v>
      </c>
      <c r="C3444" s="3" t="str">
        <f>IFERROR(__xludf.DUMMYFUNCTION("GOOGLETRANSLATE(B3444,""id"",""en"")"),"['Myindihome', 'Helping', 'Use', 'Indihome', 'Features', 'Features', 'Available', 'Dupte', 'Version', 'Latest']")</f>
        <v>['Myindihome', 'Helping', 'Use', 'Indihome', 'Features', 'Features', 'Available', 'Dupte', 'Version', 'Latest']</v>
      </c>
      <c r="D3444" s="3">
        <v>5.0</v>
      </c>
    </row>
    <row r="3445" ht="15.75" customHeight="1">
      <c r="A3445" s="1">
        <v>3639.0</v>
      </c>
      <c r="B3445" s="3" t="s">
        <v>3350</v>
      </c>
      <c r="C3445" s="3" t="str">
        <f>IFERROR(__xludf.DUMMYFUNCTION("GOOGLETRANSLATE(B3445,""id"",""en"")"),"['Display', 'Cool', 'Please', 'Repair', 'Access', 'App', 'Current', 'Dang', 'Light']")</f>
        <v>['Display', 'Cool', 'Please', 'Repair', 'Access', 'App', 'Current', 'Dang', 'Light']</v>
      </c>
      <c r="D3445" s="3">
        <v>4.0</v>
      </c>
    </row>
    <row r="3446" ht="15.75" customHeight="1">
      <c r="A3446" s="1">
        <v>3640.0</v>
      </c>
      <c r="B3446" s="3" t="s">
        <v>3351</v>
      </c>
      <c r="C3446" s="3" t="str">
        <f>IFERROR(__xludf.DUMMYFUNCTION("GOOGLETRANSLATE(B3446,""id"",""en"")"),"['Uggrade', 'Tuker', 'Point', 'Easy']")</f>
        <v>['Uggrade', 'Tuker', 'Point', 'Easy']</v>
      </c>
      <c r="D3446" s="3">
        <v>5.0</v>
      </c>
    </row>
    <row r="3447" ht="15.75" customHeight="1">
      <c r="A3447" s="1">
        <v>3641.0</v>
      </c>
      <c r="B3447" s="3" t="s">
        <v>3352</v>
      </c>
      <c r="C3447" s="3" t="str">
        <f>IFERROR(__xludf.DUMMYFUNCTION("GOOGLETRANSLATE(B3447,""id"",""en"")"),"['Out', 'update', 'gini', 'gabisa', 'login', 'slow', 'bet', 'jdi', 'waiting', 'loading', 'device', 'device', ' Cave ',' Support ',' Liat ',' comment ',' ehh ', ""]")</f>
        <v>['Out', 'update', 'gini', 'gabisa', 'login', 'slow', 'bet', 'jdi', 'waiting', 'loading', 'device', 'device', ' Cave ',' Support ',' Liat ',' comment ',' ehh ', "]</v>
      </c>
      <c r="D3447" s="3">
        <v>1.0</v>
      </c>
    </row>
    <row r="3448" ht="15.75" customHeight="1">
      <c r="A3448" s="1">
        <v>3642.0</v>
      </c>
      <c r="B3448" s="3" t="s">
        <v>3353</v>
      </c>
      <c r="C3448" s="3" t="str">
        <f>IFERROR(__xludf.DUMMYFUNCTION("GOOGLETRANSLATE(B3448,""id"",""en"")"),"['Lemot', 'application']")</f>
        <v>['Lemot', 'application']</v>
      </c>
      <c r="D3448" s="3">
        <v>1.0</v>
      </c>
    </row>
    <row r="3449" ht="15.75" customHeight="1">
      <c r="A3449" s="1">
        <v>3644.0</v>
      </c>
      <c r="B3449" s="3" t="s">
        <v>3354</v>
      </c>
      <c r="C3449" s="3" t="str">
        <f>IFERROR(__xludf.DUMMYFUNCTION("GOOGLETRANSLATE(B3449,""id"",""en"")"),"['Duh', 'Come on', 'Install', 'Indihome', 'A Week', 'Internet', 'Disruption', 'Complaint', 'Tired', 'Stop', 'Subscribe', 'Kenan', ' Fine ',' JT ',' Raying ',' Install ',' Indihome ', ""]")</f>
        <v>['Duh', 'Come on', 'Install', 'Indihome', 'A Week', 'Internet', 'Disruption', 'Complaint', 'Tired', 'Stop', 'Subscribe', 'Kenan', ' Fine ',' JT ',' Raying ',' Install ',' Indihome ', "]</v>
      </c>
      <c r="D3449" s="3">
        <v>1.0</v>
      </c>
    </row>
    <row r="3450" ht="15.75" customHeight="1">
      <c r="A3450" s="1">
        <v>3645.0</v>
      </c>
      <c r="B3450" s="3" t="s">
        <v>3355</v>
      </c>
      <c r="C3450" s="3" t="str">
        <f>IFERROR(__xludf.DUMMYFUNCTION("GOOGLETRANSLATE(B3450,""id"",""en"")"),"['Bang', 'TTT', 'night', 'broke', 'Mulu', 'Sometimes',' Ampe ',' Memorial ',' Clock ',' Region ',' Enggal ',' Bandar ',' Lampung ',' Deket ',' Ama ',' Headquarters', 'TELKOM', 'Tetep', 'BANGKE', 'Prlayanan', 'Market', 'Given', 'Terms',' Response ',' Repor"&amp;"t ' , 'Report', 'MLM', 'send', 'repairs', 'Satan', ""]")</f>
        <v>['Bang', 'TTT', 'night', 'broke', 'Mulu', 'Sometimes',' Ampe ',' Memorial ',' Clock ',' Region ',' Enggal ',' Bandar ',' Lampung ',' Deket ',' Ama ',' Headquarters', 'TELKOM', 'Tetep', 'BANGKE', 'Prlayanan', 'Market', 'Given', 'Terms',' Response ',' Report ' , 'Report', 'MLM', 'send', 'repairs', 'Satan', "]</v>
      </c>
      <c r="D3450" s="3">
        <v>1.0</v>
      </c>
    </row>
    <row r="3451" ht="15.75" customHeight="1">
      <c r="A3451" s="1">
        <v>3646.0</v>
      </c>
      <c r="B3451" s="3" t="s">
        <v>3356</v>
      </c>
      <c r="C3451" s="3" t="str">
        <f>IFERROR(__xludf.DUMMYFUNCTION("GOOGLETRANSLATE(B3451,""id"",""en"")"),"['Log', 'out', 'enter', 'account', 'application', 'severe', 'renewal', 'point', 'missing', '']")</f>
        <v>['Log', 'out', 'enter', 'account', 'application', 'severe', 'renewal', 'point', 'missing', '']</v>
      </c>
      <c r="D3451" s="3">
        <v>1.0</v>
      </c>
    </row>
    <row r="3452" ht="15.75" customHeight="1">
      <c r="A3452" s="1">
        <v>3647.0</v>
      </c>
      <c r="B3452" s="3" t="s">
        <v>3357</v>
      </c>
      <c r="C3452" s="3" t="str">
        <f>IFERROR(__xludf.DUMMYFUNCTION("GOOGLETRANSLATE(B3452,""id"",""en"")"),"['UX', 'repaired', 'Register', 'Select', 'City', 'Surabaya', 'PIN', 'Points',' Map ',' Auto ',' Nge ',' Filling ',' Data ',' Maps', 'Cook', 'Wait', 'Enter', 'Designrant', 'Repaired', '']")</f>
        <v>['UX', 'repaired', 'Register', 'Select', 'City', 'Surabaya', 'PIN', 'Points',' Map ',' Auto ',' Nge ',' Filling ',' Data ',' Maps', 'Cook', 'Wait', 'Enter', 'Designrant', 'Repaired', '']</v>
      </c>
      <c r="D3452" s="3">
        <v>1.0</v>
      </c>
    </row>
    <row r="3453" ht="15.75" customHeight="1">
      <c r="A3453" s="1">
        <v>3648.0</v>
      </c>
      <c r="B3453" s="3" t="s">
        <v>2289</v>
      </c>
      <c r="C3453" s="3" t="str">
        <f>IFERROR(__xludf.DUMMYFUNCTION("GOOGLETRANSLATE(B3453,""id"",""en"")"),"['Bagss']")</f>
        <v>['Bagss']</v>
      </c>
      <c r="D3453" s="3">
        <v>5.0</v>
      </c>
    </row>
    <row r="3454" ht="15.75" customHeight="1">
      <c r="A3454" s="1">
        <v>3649.0</v>
      </c>
      <c r="B3454" s="3" t="s">
        <v>3358</v>
      </c>
      <c r="C3454" s="3" t="str">
        <f>IFERROR(__xludf.DUMMYFUNCTION("GOOGLETRANSLATE(B3454,""id"",""en"")"),"['What', 'login', 'already', 'enter', 'email', 'password', 'cook', 'verification', 'phone', 'number', 'already', 'die', ' ']")</f>
        <v>['What', 'login', 'already', 'enter', 'email', 'password', 'cook', 'verification', 'phone', 'number', 'already', 'die', ' ']</v>
      </c>
      <c r="D3454" s="3">
        <v>1.0</v>
      </c>
    </row>
    <row r="3455" ht="15.75" customHeight="1">
      <c r="A3455" s="1">
        <v>3650.0</v>
      </c>
      <c r="B3455" s="3" t="s">
        <v>3359</v>
      </c>
      <c r="C3455" s="3" t="str">
        <f>IFERROR(__xludf.DUMMYFUNCTION("GOOGLETRANSLATE(B3455,""id"",""en"")"),"['', 'Login', 'number', '']")</f>
        <v>['', 'Login', 'number', '']</v>
      </c>
      <c r="D3455" s="3">
        <v>5.0</v>
      </c>
    </row>
    <row r="3456" ht="15.75" customHeight="1">
      <c r="A3456" s="1">
        <v>3651.0</v>
      </c>
      <c r="B3456" s="3" t="s">
        <v>3360</v>
      </c>
      <c r="C3456" s="3" t="str">
        <f>IFERROR(__xludf.DUMMYFUNCTION("GOOGLETRANSLATE(B3456,""id"",""en"")"),"['Lemot', 'really']")</f>
        <v>['Lemot', 'really']</v>
      </c>
      <c r="D3456" s="3">
        <v>1.0</v>
      </c>
    </row>
    <row r="3457" ht="15.75" customHeight="1">
      <c r="A3457" s="1">
        <v>3652.0</v>
      </c>
      <c r="B3457" s="3" t="s">
        <v>3361</v>
      </c>
      <c r="C3457" s="3" t="str">
        <f>IFERROR(__xludf.DUMMYFUNCTION("GOOGLETRANSLATE(B3457,""id"",""en"")"),"['Woy', 'Fucking', 'Mengelek', 'Mulu', 'Maein', 'Game']")</f>
        <v>['Woy', 'Fucking', 'Mengelek', 'Mulu', 'Maein', 'Game']</v>
      </c>
      <c r="D3457" s="3">
        <v>1.0</v>
      </c>
    </row>
    <row r="3458" ht="15.75" customHeight="1">
      <c r="A3458" s="1">
        <v>3653.0</v>
      </c>
      <c r="B3458" s="3" t="s">
        <v>3362</v>
      </c>
      <c r="C3458" s="3" t="str">
        <f>IFERROR(__xludf.DUMMYFUNCTION("GOOGLETRANSLATE(B3458,""id"",""en"")"),"['Disruption', 'turn', 'payment', 'disorder', 'payment', 'cut', 'reduced', 'disorder', 'telephone', 'complain', 'call', 'disconnected', ' Deliberately ',' decided ',' please ',' repaired ',' service ',' customer ',' payment ',' hedehhhhh ']")</f>
        <v>['Disruption', 'turn', 'payment', 'disorder', 'payment', 'cut', 'reduced', 'disorder', 'telephone', 'complain', 'call', 'disconnected', ' Deliberately ',' decided ',' please ',' repaired ',' service ',' customer ',' payment ',' hedehhhhh ']</v>
      </c>
      <c r="D3458" s="3">
        <v>1.0</v>
      </c>
    </row>
    <row r="3459" ht="15.75" customHeight="1">
      <c r="A3459" s="1">
        <v>3654.0</v>
      </c>
      <c r="B3459" s="3" t="s">
        <v>3363</v>
      </c>
      <c r="C3459" s="3" t="str">
        <f>IFERROR(__xludf.DUMMYFUNCTION("GOOGLETRANSLATE(B3459,""id"",""en"")"),"['Update', 'bad', 'slow', 'forgiveness', 'macem', 'application', 'bnyk', 'virus', 'slow', 'please', 'fix']")</f>
        <v>['Update', 'bad', 'slow', 'forgiveness', 'macem', 'application', 'bnyk', 'virus', 'slow', 'please', 'fix']</v>
      </c>
      <c r="D3459" s="3">
        <v>1.0</v>
      </c>
    </row>
    <row r="3460" ht="15.75" customHeight="1">
      <c r="A3460" s="1">
        <v>3655.0</v>
      </c>
      <c r="B3460" s="3" t="s">
        <v>3364</v>
      </c>
      <c r="C3460" s="3" t="str">
        <f>IFERROR(__xludf.DUMMYFUNCTION("GOOGLETRANSLATE(B3460,""id"",""en"")"),"['update', 'latest', 'super', 'slow', 'number', 'manage', 'number', 'office', 'just', 'add', 'number', 'house', ' Update ',' number ',' home ',' missing ',' Hadeh ',' ']")</f>
        <v>['update', 'latest', 'super', 'slow', 'number', 'manage', 'number', 'office', 'just', 'add', 'number', 'house', ' Update ',' number ',' home ',' missing ',' Hadeh ',' ']</v>
      </c>
      <c r="D3460" s="3">
        <v>1.0</v>
      </c>
    </row>
    <row r="3461" ht="15.75" customHeight="1">
      <c r="A3461" s="1">
        <v>3656.0</v>
      </c>
      <c r="B3461" s="3" t="s">
        <v>3365</v>
      </c>
      <c r="C3461" s="3" t="str">
        <f>IFERROR(__xludf.DUMMYFUNCTION("GOOGLETRANSLATE(B3461,""id"",""en"")"),"['Help', 'exchanged', 'slow', 'open', 'app']")</f>
        <v>['Help', 'exchanged', 'slow', 'open', 'app']</v>
      </c>
      <c r="D3461" s="3">
        <v>2.0</v>
      </c>
    </row>
    <row r="3462" ht="15.75" customHeight="1">
      <c r="A3462" s="1">
        <v>3657.0</v>
      </c>
      <c r="B3462" s="3" t="s">
        <v>3366</v>
      </c>
      <c r="C3462" s="3" t="str">
        <f>IFERROR(__xludf.DUMMYFUNCTION("GOOGLETRANSLATE(B3462,""id"",""en"")"),"['like', 'Indihome', 'wifi', 'fast', 'beside', 'network', 'scattered', 'broad', 'throughout', 'Indonesia', 'sipp', 'Anyway', 'Anyway']")</f>
        <v>['like', 'Indihome', 'wifi', 'fast', 'beside', 'network', 'scattered', 'broad', 'throughout', 'Indonesia', 'sipp', 'Anyway', 'Anyway']</v>
      </c>
      <c r="D3462" s="3">
        <v>5.0</v>
      </c>
    </row>
    <row r="3463" ht="15.75" customHeight="1">
      <c r="A3463" s="1">
        <v>3658.0</v>
      </c>
      <c r="B3463" s="3" t="s">
        <v>3367</v>
      </c>
      <c r="C3463" s="3" t="str">
        <f>IFERROR(__xludf.DUMMYFUNCTION("GOOGLETRANSLATE(B3463,""id"",""en"")"),"['Application', 'Indihome', 'rich', 'ads',' ugly ',' really ',' see ',' profile ',' complaints', 'repair', 'before', 'please', ' Repaired ']")</f>
        <v>['Application', 'Indihome', 'rich', 'ads',' ugly ',' really ',' see ',' profile ',' complaints', 'repair', 'before', 'please', ' Repaired ']</v>
      </c>
      <c r="D3463" s="3">
        <v>1.0</v>
      </c>
    </row>
    <row r="3464" ht="15.75" customHeight="1">
      <c r="A3464" s="1">
        <v>3660.0</v>
      </c>
      <c r="B3464" s="3" t="s">
        <v>3368</v>
      </c>
      <c r="C3464" s="3" t="str">
        <f>IFERROR(__xludf.DUMMYFUNCTION("GOOGLETRANSLATE(B3464,""id"",""en"")"),"['good', 'info', 'amplication', 'complete', 'according to', 'choice', 'user', 'easy', 'accessed', '']")</f>
        <v>['good', 'info', 'amplication', 'complete', 'according to', 'choice', 'user', 'easy', 'accessed', '']</v>
      </c>
      <c r="D3464" s="3">
        <v>5.0</v>
      </c>
    </row>
    <row r="3465" ht="15.75" customHeight="1">
      <c r="A3465" s="1">
        <v>3661.0</v>
      </c>
      <c r="B3465" s="3" t="s">
        <v>3369</v>
      </c>
      <c r="C3465" s="3" t="str">
        <f>IFERROR(__xludf.DUMMYFUNCTION("GOOGLETRANSLATE(B3465,""id"",""en"")"),"['application', 'run', 'smooth', 'signal', 'stable', 'problem', 'customer', 'service', 'fast', 'responsive', 'complaint', 'service', ' The bonus', 'application', 'UPTUDATE', 'payment', 'easy', 'signal', 'steady', 'subscription', 'indihome']")</f>
        <v>['application', 'run', 'smooth', 'signal', 'stable', 'problem', 'customer', 'service', 'fast', 'responsive', 'complaint', 'service', ' The bonus', 'application', 'UPTUDATE', 'payment', 'easy', 'signal', 'steady', 'subscription', 'indihome']</v>
      </c>
      <c r="D3465" s="3">
        <v>5.0</v>
      </c>
    </row>
    <row r="3466" ht="15.75" customHeight="1">
      <c r="A3466" s="1">
        <v>3662.0</v>
      </c>
      <c r="B3466" s="3" t="s">
        <v>3370</v>
      </c>
      <c r="C3466" s="3" t="str">
        <f>IFERROR(__xludf.DUMMYFUNCTION("GOOGLETRANSLATE(B3466,""id"",""en"")"),"['Help', 'easy']")</f>
        <v>['Help', 'easy']</v>
      </c>
      <c r="D3466" s="3">
        <v>5.0</v>
      </c>
    </row>
    <row r="3467" ht="15.75" customHeight="1">
      <c r="A3467" s="1">
        <v>3663.0</v>
      </c>
      <c r="B3467" s="3" t="s">
        <v>3371</v>
      </c>
      <c r="C3467" s="3" t="str">
        <f>IFERROR(__xludf.DUMMYFUNCTION("GOOGLETRANSLATE(B3467,""id"",""en"")"),"['Display', 'fresh', 'easy', '']")</f>
        <v>['Display', 'fresh', 'easy', '']</v>
      </c>
      <c r="D3467" s="3">
        <v>5.0</v>
      </c>
    </row>
    <row r="3468" ht="15.75" customHeight="1">
      <c r="A3468" s="1">
        <v>3664.0</v>
      </c>
      <c r="B3468" s="3" t="s">
        <v>3372</v>
      </c>
      <c r="C3468" s="3" t="str">
        <f>IFERROR(__xludf.DUMMYFUNCTION("GOOGLETRANSLATE(B3468,""id"",""en"")"),"['thank', 'love', 'help']")</f>
        <v>['thank', 'love', 'help']</v>
      </c>
      <c r="D3468" s="3">
        <v>5.0</v>
      </c>
    </row>
    <row r="3469" ht="15.75" customHeight="1">
      <c r="A3469" s="1">
        <v>3666.0</v>
      </c>
      <c r="B3469" s="3" t="s">
        <v>3373</v>
      </c>
      <c r="C3469" s="3" t="str">
        <f>IFERROR(__xludf.DUMMYFUNCTION("GOOGLETRANSLATE(B3469,""id"",""en"")"),"['Display', 'concise', 'difficult', 'Search', 'menu', 'selected']")</f>
        <v>['Display', 'concise', 'difficult', 'Search', 'menu', 'selected']</v>
      </c>
      <c r="D3469" s="3">
        <v>5.0</v>
      </c>
    </row>
    <row r="3470" ht="15.75" customHeight="1">
      <c r="A3470" s="1">
        <v>3667.0</v>
      </c>
      <c r="B3470" s="3" t="s">
        <v>585</v>
      </c>
      <c r="C3470" s="3" t="str">
        <f>IFERROR(__xludf.DUMMYFUNCTION("GOOGLETRANSLATE(B3470,""id"",""en"")"),"['good', '']")</f>
        <v>['good', '']</v>
      </c>
      <c r="D3470" s="3">
        <v>5.0</v>
      </c>
    </row>
    <row r="3471" ht="15.75" customHeight="1">
      <c r="A3471" s="1">
        <v>3668.0</v>
      </c>
      <c r="B3471" s="3" t="s">
        <v>3374</v>
      </c>
      <c r="C3471" s="3" t="str">
        <f>IFERROR(__xludf.DUMMYFUNCTION("GOOGLETRANSLATE(B3471,""id"",""en"")"),"['Process', 'Complain', 'New', 'App', 'Schedulin', 'Clock', 'Clock', 'Already', 'Farah', 'Thank', 'Love']")</f>
        <v>['Process', 'Complain', 'New', 'App', 'Schedulin', 'Clock', 'Clock', 'Already', 'Farah', 'Thank', 'Love']</v>
      </c>
      <c r="D3471" s="3">
        <v>5.0</v>
      </c>
    </row>
    <row r="3472" ht="15.75" customHeight="1">
      <c r="A3472" s="1">
        <v>3669.0</v>
      </c>
      <c r="B3472" s="3" t="s">
        <v>3375</v>
      </c>
      <c r="C3472" s="3" t="str">
        <f>IFERROR(__xludf.DUMMYFUNCTION("GOOGLETRANSLATE(B3472,""id"",""en"")"),"['Application', 'Indi', 'Home', 'Help', 'Check', 'Use', 'Offer', 'Products',' Indihome ',' Application ',' Products', 'Promo', ' Indihome ',' accessible ',' bother ',' plaza ',' telkom ',' love ',' ']")</f>
        <v>['Application', 'Indi', 'Home', 'Help', 'Check', 'Use', 'Offer', 'Products',' Indihome ',' Application ',' Products', 'Promo', ' Indihome ',' accessible ',' bother ',' plaza ',' telkom ',' love ',' ']</v>
      </c>
      <c r="D3472" s="3">
        <v>5.0</v>
      </c>
    </row>
    <row r="3473" ht="15.75" customHeight="1">
      <c r="A3473" s="1">
        <v>3670.0</v>
      </c>
      <c r="B3473" s="3" t="s">
        <v>3376</v>
      </c>
      <c r="C3473" s="3" t="str">
        <f>IFERROR(__xludf.DUMMYFUNCTION("GOOGLETRANSLATE(B3473,""id"",""en"")"),"['version', 'newest', 'appearance', 'good', 'perpeck', 'opened', 'diley', 'good', 'display']")</f>
        <v>['version', 'newest', 'appearance', 'good', 'perpeck', 'opened', 'diley', 'good', 'display']</v>
      </c>
      <c r="D3473" s="3">
        <v>5.0</v>
      </c>
    </row>
    <row r="3474" ht="15.75" customHeight="1">
      <c r="A3474" s="1">
        <v>3671.0</v>
      </c>
      <c r="B3474" s="3" t="s">
        <v>3377</v>
      </c>
      <c r="C3474" s="3" t="str">
        <f>IFERROR(__xludf.DUMMYFUNCTION("GOOGLETRANSLATE(B3474,""id"",""en"")"),"['Good', 'simple', 'elegant', 'well', 'pitur', 'pitur', 'interesting', 'JYGA', 'continue', 'hope']")</f>
        <v>['Good', 'simple', 'elegant', 'well', 'pitur', 'pitur', 'interesting', 'JYGA', 'continue', 'hope']</v>
      </c>
      <c r="D3474" s="3">
        <v>5.0</v>
      </c>
    </row>
    <row r="3475" ht="15.75" customHeight="1">
      <c r="A3475" s="1">
        <v>3672.0</v>
      </c>
      <c r="B3475" s="3" t="s">
        <v>3378</v>
      </c>
      <c r="C3475" s="3" t="str">
        <f>IFERROR(__xludf.DUMMYFUNCTION("GOOGLETRANSLATE(B3475,""id"",""en"")"),"['application', 'good', 'makes it easy', 'facilities', 'bills', 'monthly', 'hope', 'in the future', 'tks']")</f>
        <v>['application', 'good', 'makes it easy', 'facilities', 'bills', 'monthly', 'hope', 'in the future', 'tks']</v>
      </c>
      <c r="D3475" s="3">
        <v>5.0</v>
      </c>
    </row>
    <row r="3476" ht="15.75" customHeight="1">
      <c r="A3476" s="1">
        <v>3674.0</v>
      </c>
      <c r="B3476" s="3" t="s">
        <v>3379</v>
      </c>
      <c r="C3476" s="3" t="str">
        <f>IFERROR(__xludf.DUMMYFUNCTION("GOOGLETRANSLATE(B3476,""id"",""en"")"),"['already', 'internet', 'los',' red ',' report ',' application ',' writing ',' sorry ',' service ',' indihome ',' experience ',' disorder ',' Because ',' Location ',' Disruption ',' Tempat ',' Please ',' Wait ',' Technician ',' Repair ',' Tapida ',' Chang"&amp;"e ']")</f>
        <v>['already', 'internet', 'los',' red ',' report ',' application ',' writing ',' sorry ',' service ',' indihome ',' experience ',' disorder ',' Because ',' Location ',' Disruption ',' Tempat ',' Please ',' Wait ',' Technician ',' Repair ',' Tapida ',' Change ']</v>
      </c>
      <c r="D3476" s="3">
        <v>3.0</v>
      </c>
    </row>
    <row r="3477" ht="15.75" customHeight="1">
      <c r="A3477" s="1">
        <v>3675.0</v>
      </c>
      <c r="B3477" s="3" t="s">
        <v>1737</v>
      </c>
      <c r="C3477" s="3" t="str">
        <f>IFERROR(__xludf.DUMMYFUNCTION("GOOGLETRANSLATE(B3477,""id"",""en"")"),"['application']")</f>
        <v>['application']</v>
      </c>
      <c r="D3477" s="3">
        <v>1.0</v>
      </c>
    </row>
    <row r="3478" ht="15.75" customHeight="1">
      <c r="A3478" s="1">
        <v>3677.0</v>
      </c>
      <c r="B3478" s="3" t="s">
        <v>3380</v>
      </c>
      <c r="C3478" s="3" t="str">
        <f>IFERROR(__xludf.DUMMYFUNCTION("GOOGLETRANSLATE(B3478,""id"",""en"")"),"['Certain', 'response', 'slow', 'system', 'bureaucracy', 'told', 'Wait', 'customer', 'comfortable', 'closed', 'service', 'rich', ' That's', 'Worth', '']")</f>
        <v>['Certain', 'response', 'slow', 'system', 'bureaucracy', 'told', 'Wait', 'customer', 'comfortable', 'closed', 'service', 'rich', ' That's', 'Worth', '']</v>
      </c>
      <c r="D3478" s="3">
        <v>1.0</v>
      </c>
    </row>
    <row r="3479" ht="15.75" customHeight="1">
      <c r="A3479" s="1">
        <v>3678.0</v>
      </c>
      <c r="B3479" s="3" t="s">
        <v>3381</v>
      </c>
      <c r="C3479" s="3" t="str">
        <f>IFERROR(__xludf.DUMMYFUNCTION("GOOGLETRANSLATE(B3479,""id"",""en"")"),"['Good', 'satisfying']")</f>
        <v>['Good', 'satisfying']</v>
      </c>
      <c r="D3479" s="3">
        <v>5.0</v>
      </c>
    </row>
    <row r="3480" ht="15.75" customHeight="1">
      <c r="A3480" s="1">
        <v>3679.0</v>
      </c>
      <c r="B3480" s="3" t="s">
        <v>3382</v>
      </c>
      <c r="C3480" s="3" t="str">
        <f>IFERROR(__xludf.DUMMYFUNCTION("GOOGLETRANSLATE(B3480,""id"",""en"")"),"['', 'good', 'service', 'Telkom', 'Install', 'Indihome', 'code', 'verification', 'sent', 'late', 'expiration', 'eak', "" ]")</f>
        <v>['', 'good', 'service', 'Telkom', 'Install', 'Indihome', 'code', 'verification', 'sent', 'late', 'expiration', 'eak', " ]</v>
      </c>
      <c r="D3480" s="3">
        <v>1.0</v>
      </c>
    </row>
    <row r="3481" ht="15.75" customHeight="1">
      <c r="A3481" s="1">
        <v>3680.0</v>
      </c>
      <c r="B3481" s="3" t="s">
        <v>3383</v>
      </c>
      <c r="C3481" s="3" t="str">
        <f>IFERROR(__xludf.DUMMYFUNCTION("GOOGLETRANSLATE(B3481,""id"",""en"")"),"['Sorry', 'pairs', 'subscription', 'Indihome', 'technicians', 'checks', 'ODP', 'etc.', 'estimation', 'installation', 'thank', 'love']")</f>
        <v>['Sorry', 'pairs', 'subscription', 'Indihome', 'technicians', 'checks', 'ODP', 'etc.', 'estimation', 'installation', 'thank', 'love']</v>
      </c>
      <c r="D3481" s="3">
        <v>4.0</v>
      </c>
    </row>
    <row r="3482" ht="15.75" customHeight="1">
      <c r="A3482" s="1">
        <v>3681.0</v>
      </c>
      <c r="B3482" s="3" t="s">
        <v>3384</v>
      </c>
      <c r="C3482" s="3" t="str">
        <f>IFERROR(__xludf.DUMMYFUNCTION("GOOGLETRANSLATE(B3482,""id"",""en"")"),"['Pay', 'late', 'disorder', 'cool']")</f>
        <v>['Pay', 'late', 'disorder', 'cool']</v>
      </c>
      <c r="D3482" s="3">
        <v>1.0</v>
      </c>
    </row>
    <row r="3483" ht="15.75" customHeight="1">
      <c r="A3483" s="1">
        <v>3682.0</v>
      </c>
      <c r="B3483" s="3" t="s">
        <v>3385</v>
      </c>
      <c r="C3483" s="3" t="str">
        <f>IFERROR(__xludf.DUMMYFUNCTION("GOOGLETRANSLATE(B3483,""id"",""en"")"),"['Application', 'bwt', 'bgung']")</f>
        <v>['Application', 'bwt', 'bgung']</v>
      </c>
      <c r="D3483" s="3">
        <v>1.0</v>
      </c>
    </row>
    <row r="3484" ht="15.75" customHeight="1">
      <c r="A3484" s="1">
        <v>3683.0</v>
      </c>
      <c r="B3484" s="3" t="s">
        <v>3386</v>
      </c>
      <c r="C3484" s="3" t="str">
        <f>IFERROR(__xludf.DUMMYFUNCTION("GOOGLETRANSLATE(B3484,""id"",""en"")"),"['update', 'application', 'like', 'ngefrezee', 'open', 'apk', 'broken', 'sometimes', '']")</f>
        <v>['update', 'application', 'like', 'ngefrezee', 'open', 'apk', 'broken', 'sometimes', '']</v>
      </c>
      <c r="D3484" s="3">
        <v>3.0</v>
      </c>
    </row>
    <row r="3485" ht="15.75" customHeight="1">
      <c r="A3485" s="1">
        <v>3685.0</v>
      </c>
      <c r="B3485" s="3" t="s">
        <v>3387</v>
      </c>
      <c r="C3485" s="3" t="str">
        <f>IFERROR(__xludf.DUMMYFUNCTION("GOOGLETRANSLATE(B3485,""id"",""en"")"),"['update', 'login', 'difficult', 'number', 'sudh', 'active', 'kirain', 'CMA', 'enter', 'email', 'doang', 'pke', ' Nomer ',' ']")</f>
        <v>['update', 'login', 'difficult', 'number', 'sudh', 'active', 'kirain', 'CMA', 'enter', 'email', 'doang', 'pke', ' Nomer ',' ']</v>
      </c>
      <c r="D3485" s="3">
        <v>4.0</v>
      </c>
    </row>
    <row r="3486" ht="15.75" customHeight="1">
      <c r="A3486" s="1">
        <v>3686.0</v>
      </c>
      <c r="B3486" s="3" t="s">
        <v>3388</v>
      </c>
      <c r="C3486" s="3" t="str">
        <f>IFERROR(__xludf.DUMMYFUNCTION("GOOGLETRANSLATE(B3486,""id"",""en"")"),"['Taik', 'UDH', 'Reset', 'Many', 'Time', 'Tetep', 'Get', 'Ngelag', 'Bangst']")</f>
        <v>['Taik', 'UDH', 'Reset', 'Many', 'Time', 'Tetep', 'Get', 'Ngelag', 'Bangst']</v>
      </c>
      <c r="D3486"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2022-02-26T04:33:55Z</dcterms:created>
  <dc:creator>openpyxl</dc:creator>
</cp:coreProperties>
</file>