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W+bB9NxbTTZ8PlDTnIe/hXdjcig=="/>
    </ext>
  </extLst>
</workbook>
</file>

<file path=xl/sharedStrings.xml><?xml version="1.0" encoding="utf-8"?>
<sst xmlns="http://schemas.openxmlformats.org/spreadsheetml/2006/main" count="1772" uniqueCount="1729">
  <si>
    <t>text_review</t>
  </si>
  <si>
    <t>text_review_english</t>
  </si>
  <si>
    <t>score</t>
  </si>
  <si>
    <t>['tolong', 'udh', 'bayar', 'indihomenya', 'lost', 'jaring', 'haduh', 'haduh', 'henti', 'deh', 'langgan', 'indihome']</t>
  </si>
  <si>
    <t>['renew', 'fuf', 'clear', 'chahe', '']</t>
  </si>
  <si>
    <t>['jaring', 'lot', 'nomor', 'dunia', 'mbps', 'bohong', 'capai', 'batas', 'lag', 'parah', 'game', 'youtube', 'lag', 'muak']</t>
  </si>
  <si>
    <t>['lenot', 'boss', 'youtube', 'resolusi', '']</t>
  </si>
  <si>
    <t>['gila', 'lambat', 'banget', 'wifinya', 'mbps', 'serasa', 'kb', 'wifi', 'baik', 'untung', 'pindah', 'biznet', 'kapok', 'gapake', 'pagi', 'indihome']</t>
  </si>
  <si>
    <t>['lumayan']</t>
  </si>
  <si>
    <t>['tagih', 'cepat', 'tahu']</t>
  </si>
  <si>
    <t>['suka', 'background', 'ganti', 'ganti', 'sesuai', 'keinganan', '']</t>
  </si>
  <si>
    <t>['manfaat', 'banget', 'lapor', 'ganggu']</t>
  </si>
  <si>
    <t>['ganggu', 'diam', 'deteksi', 'nunggu', 'adu', 'telat', 'bayar', 'geger', 'blokir', '']</t>
  </si>
  <si>
    <t>['mudah', 'topup', 'dompet', 'myindihome']</t>
  </si>
  <si>
    <t>['', 'mudah']</t>
  </si>
  <si>
    <t>['mantappp']</t>
  </si>
  <si>
    <t>['indihome', 'tyempat', 'lot', 'sinnyal', 'main', 'mobile', 'lagend', 'lot', 'parah']</t>
  </si>
  <si>
    <t>['sod', 'gaada', 'suka', 'nambah', 'speed']</t>
  </si>
  <si>
    <t>['mantap']</t>
  </si>
  <si>
    <t>['rto', 'lambat', 'responnya', 'bayar', 'telat', 'gilir', 'hari', 'telat', 'uang', 'gaji', 'blm', 'udh', 'teror', 'telpon', 'isolir', '']</t>
  </si>
  <si>
    <t>['update', 'log', 'out', 'mati', 'tolong', 'kasih', 'opsi', 'otp', 'hangus']</t>
  </si>
  <si>
    <t>['layan', 'simple']</t>
  </si>
  <si>
    <t>['makasih', 'indihome']</t>
  </si>
  <si>
    <t>['lumayan', 'bantu', 'aplikasi']</t>
  </si>
  <si>
    <t>['tingkat', 'kualitas', 'indihome', 'kualitas', 'uang', 'ngikut', 'kualitas', 'jelek', 'kasih', 'uang', 'hadeh']</t>
  </si>
  <si>
    <t>['respon', 'adu', 'cepat', 'selesai', 'tksh', 'indihome']</t>
  </si>
  <si>
    <t>['aplikasi', 'mudah', 'langgan', 'indihome', 'thanks', 'mudah', 'lapor', 'ganggu']</t>
  </si>
  <si>
    <t>['bagus', 'aplikasi']</t>
  </si>
  <si>
    <t>['gampang', 'lapor', 'ganggu']</t>
  </si>
  <si>
    <t>['mapping', '']</t>
  </si>
  <si>
    <t>['sukses', 'bosque', 'tingkat', '']</t>
  </si>
  <si>
    <t>['mantaps', 'kaliiii']</t>
  </si>
  <si>
    <t>['sumpah', 'ngelag', 'gajelas', 'mahal', 'iya', 'ewh']</t>
  </si>
  <si>
    <t>['udah', 'mbps', 'tetep', 'jelek', 'sinyal', 'maki', 'laptop', 'download', 'ampun', 'saran', 'langgan', 'kuliatas', 'inet', 'jelek', 'tolong', 'baik', 'daerah', 'padalarang', 'bandung', 'barat', 'jawa', 'barat']</t>
  </si>
  <si>
    <t>['jaring', 'jaring', 'lot', 'bayar', 'telat', 'mending', 'pindah', 'provider', 'bye']</t>
  </si>
  <si>
    <t>['pasang', 'mudah', 'aplikasi', 'indihome', 'responnya', 'cepat']</t>
  </si>
  <si>
    <t>['mantap', 'aplikasi', 'cek', 'tagih']</t>
  </si>
  <si>
    <t>['promo', 'mantap', 'good', 'job', 'telkom', '']</t>
  </si>
  <si>
    <t>['indihome', 'bangkrut', 'layan', 'muas', 'indihome', 'patut', 'coba', 'pasang', 'indihome', 'karna', 'paksa', '']</t>
  </si>
  <si>
    <t>['mudah', 'bagus']</t>
  </si>
  <si>
    <t>['kecewa', 'indihome', 'pasang', 'hari', 'besok', 'router', 'zte', 'error', 'lampu', 'power', 'mati', 'los', 'mati', 'lampu', 'hidup', 'internet', 'langgan', 'wajar', 'instalasi', 'jaring', 'minggu', 'live', 'isutt', 'uang', 'deposit', 'cepet', 'notifnya', 'layan', 'payah', 'tlp', 'suruh', 'tunggu', 'teknisi', 'langgan', 'gileeeeee', 'benerrrrr', '']</t>
  </si>
  <si>
    <t>['maaf', 'jaring', 'cabut', 'karana', 'dipakek', 'semenjak', 'pasang', 'dipake']</t>
  </si>
  <si>
    <t>['upgrade', 'mbps', 'buka', 'cepet', 'lelet']</t>
  </si>
  <si>
    <t>['mantab']</t>
  </si>
  <si>
    <t>['', 'lelet', 'skrng', 'info', 'pakai', 'info', 'limit', 'batas', 'pakai', 'hilang', 'limit', 'versi', 'pemakain', 'limit', 'blm', '']</t>
  </si>
  <si>
    <t>['ping', 'turun', 'stabil', 'akibat', 'main', 'geme', 'ping', 'jelek', 'bayar', 'tagih', '']</t>
  </si>
  <si>
    <t>['jalan', 'lancar', 'respon', 'bagus', 'hubung', 'kembang', '']</t>
  </si>
  <si>
    <t>['makan', 'hati', 'langgan', 'indihome', 'bayar', 'mahal', 'jaring', 'lot', 'lewat', 'beda', 'pakai', 'data', 'normal', 'stabil', '']</t>
  </si>
  <si>
    <t>['jaring', 'cacat', '']</t>
  </si>
  <si>
    <t>['bagus', 'seeeeeekaaaaaaaliiiiiiiiiii']</t>
  </si>
  <si>
    <t>['telemarketingnya', 'pinter', 'ngibul', 'telp', 'rubah', 'data', 'kunjung', 'brubah', 'dpt', 'promo', 'plnggan', 'seemless', 'cma', 'nmbah', 'rb', 'aktif', 'trkhir', 'dtlp', 'survey', 'dksi', 'pulsa', 'rb', 'masuk', 'plsa', 'jual', 'nipu', 'kedok', 'bumn', '']</t>
  </si>
  <si>
    <t>['speed', 'the', 'mand', 'sedia', '']</t>
  </si>
  <si>
    <t>['lancar', 'jaya']</t>
  </si>
  <si>
    <t>['histori', 'bayar', 'top', 'quota', 'batas', 'quota', 'ubah', 'top', 'lot', 'habis', 'quota', 'payah', '']</t>
  </si>
  <si>
    <t>['koq', 'poin', 'indihome', 'hilang']</t>
  </si>
  <si>
    <t>['jaring', 'lambat']</t>
  </si>
  <si>
    <t>['baik']</t>
  </si>
  <si>
    <t>['respon', 'layan']</t>
  </si>
  <si>
    <t>['bantu']</t>
  </si>
  <si>
    <t>['kasih', 'bintang']</t>
  </si>
  <si>
    <t>['please', 'baik', 'layan', 'app', 'error', 'buka', 'app', 'muter', 'muter', 'teruss', '']</t>
  </si>
  <si>
    <t>['indihome', 'ngelag', 'banget', 'tolong', 'buka', 'youtube', 'dll', 'lancar', 'gilir', 'buka', 'game', 'ngelag', 'banget', '']</t>
  </si>
  <si>
    <t>['udah', 'upgred', 'mbps', 'kualitas', 'sinyal', 'jelek', 'tolong', 'baik', 'langgan', 'kecewa']</t>
  </si>
  <si>
    <t>['kualitas', 'sampahhhhh']</t>
  </si>
  <si>
    <t>['', 'ganti', 'biznet', 'indihome', 'sampaj', 'ngelag', 'mbps', 'bayar', 'mahal', 'ngelag', 'mending', 'biznet', 'mbps', 'biznet', 'mbps', 'lewat', 'indhome', 'mbps', 'mbps']</t>
  </si>
  <si>
    <t>['bintang', 'deh', 'pakai']</t>
  </si>
  <si>
    <t>['hiliiih', 'ganggu', 'mulu', 'internet', 'stabil', 'hub', 'susah', 'bener', 'kaya', 'hub', 'artis', 'baik', '']</t>
  </si>
  <si>
    <t>['game', 'lancar', 'pasang', 'wifi', 'ken', 'lancar', 'gin', 'pdhal', 'konek', 'main', 'game', 'parah', '']</t>
  </si>
  <si>
    <t>['podol']</t>
  </si>
  <si>
    <t>['', 'indihome']</t>
  </si>
  <si>
    <t>['mantap', 'tpi', 'tgl', 'lot']</t>
  </si>
  <si>
    <t>['internet', 'lot']</t>
  </si>
  <si>
    <t>['bagus', 'cepat', 'tanggap', 'eksekusi', 'tunggu', '']</t>
  </si>
  <si>
    <t>['parah', 'tiket', 'lapor', 'aplikasi', 'follow', 'lapor', 'koneksi', 'putus', 'jam', 'jam', 'siang', 'info', 'tiket', 'lapor', 'baik', 'selesai', 'kerja', 'teknisi', 'nongol', 'koneksi', 'putus', 'jam', 'tlp', 'blm', 'kerjain', 'tiket', 'jadwalin', 'teknisi', 'rumah', 'mending', 'hapus', 'deh', 'lapor', 'adu', 'aplikasi', 'follow', '']</t>
  </si>
  <si>
    <t>['tolong', 'bijak']</t>
  </si>
  <si>
    <t>['putus', 'putus']</t>
  </si>
  <si>
    <t>['siipp']</t>
  </si>
  <si>
    <t>['bantu', 'kece', 'kuota', 'fup', 'cuman', 'menu', 'renew', 'speed', 'fup', 'lampau', 'bayar', 'via', 'link', 'cepat', 'kena', 'fup', 'gmn', 'telkom', 'bayar', 'layan', 'gal', 'sesuai', 'hapus', 'menu', 'renew', 'speed', 'terima', 'kasih']</t>
  </si>
  <si>
    <t>['jaring', 'gaje']</t>
  </si>
  <si>
    <t>['langgan', 'klu', 'tutup', 'indihome', 'suruh', 'bayar', 'bln', 'tagih', 'kemarin', 'bln', 'tagih', 'internet', 'pakai', '']</t>
  </si>
  <si>
    <t>['wifi', 'lemoottt', 'ngeyoutube', 'game', 'codm', 'uploud', 'pedahal', 'video', 'bagus', 'bagus', '']</t>
  </si>
  <si>
    <t>['puaas', 'layan', 'indihome', 'langgan', 'jambi', 'tmpt', 'tinggal', 'suka', 'lot', 'conect', 'internet', 'jalan', 'alias', 'mati', 'bayar', 'kali', 'lapor', 'sampe', 'teknisi', 'janji', 'tlfn', 'pelayaaanan', 'muas', 'profesional', 'membeeikan', 'solusi', 'trhadap', 'langgan', 'boss', 'indihome', '']</t>
  </si>
  <si>
    <t>['udah', 'lalod', 'ambil', 'mbps', 'make', 'org', 'rumah', 'org', 'buka', 'video', 'bufering', 'lancar', 'data', '']</t>
  </si>
  <si>
    <t>['operasi', 'kemarin', 'teknisi', 'dateng', 'check', 'tegang', 'internet', 'speed', 'down', 'and', 'putus', 'streamingan', 'lot', 'mati', '']</t>
  </si>
  <si>
    <t>['sambung', 'internet']</t>
  </si>
  <si>
    <t>['layan', 'buruk', 'tagih', 'terdouble', 'ganggu', 'aplikasi', 'adu', 'via', 'aplikasi', 'tanggap']</t>
  </si>
  <si>
    <t>['bener', 'payah', 'layan', 'status', 'isolir', 'bayar', 'udah', 'complaint', 'jawab', 'aju', 'udah', 'bln', 'progress', 'gilir', 'telat', 'bayar', 'langsung', 'kena', 'denda']</t>
  </si>
  <si>
    <t>['buruk', 'lapor', 'indihome', 'respon', 'call', 'menit', 'dengerin', 'mesin', 'jawab', 'musik', 'profesional']</t>
  </si>
  <si>
    <t>['moga', 'jaring', 'cepat', 'cepat', 'tangan']</t>
  </si>
  <si>
    <t>['indihome', 'nggak', 'gilir', 'bayar', 'ingat', 'mbps', 'lot', 'kyk', 'gua', 'bayar', 'nggak', 'telat', 'habis', 'bayar', 'lot', 'jaring', 'kau', 'pakek']</t>
  </si>
  <si>
    <t>['langgan', 'mbps', 'cek', 'smpd', 'mbps', '']</t>
  </si>
  <si>
    <t>['verifikasi', 'gagal']</t>
  </si>
  <si>
    <t>['download', 'rincian', 'tagih']</t>
  </si>
  <si>
    <t>['kualitas', 'buruk', 'tolong', 'baik', 'sinyal', 'hilang', 'lambat', 'banget', 'cepat', 'spt', 'pindah', 'provider', '']</t>
  </si>
  <si>
    <t>['alhadulillah', 'bgs', 'pis']</t>
  </si>
  <si>
    <t>['kwalitas', 'internet', 'stabil', 'tolong', 'tingkat', 'kwalitas', 'layan']</t>
  </si>
  <si>
    <t>['wifi', 'cacaaaaaaaaaaaaaad', '']</t>
  </si>
  <si>
    <t>['kesel', 'banget', 'indigo', 'plis', 'parah', 'baik', 'plis', 'lihat', 'konsumen', 'bintang', 'pikir', 'mikir', 'depan', 'rusak', 'citra', 'indihome', 'bayar', 'nggak', 'dar', '']</t>
  </si>
  <si>
    <t>['indihome', 'fup', 'mahal', 'harga', 'stabil']</t>
  </si>
  <si>
    <t>['', 'renew']</t>
  </si>
  <si>
    <t>['kasih', 'bintang', 'udah', 'renew', 'speed']</t>
  </si>
  <si>
    <t>['standar']</t>
  </si>
  <si>
    <t>['informasi', 'mudah', 'lengkap', '']</t>
  </si>
  <si>
    <t>['aplikasi', 'myindihome', 'mudah', 'langgan', 'layan', 'langgan', 'cepat', 'tanggap', 'layan', 'terima', 'kasih', 'myindihome']</t>
  </si>
  <si>
    <t>['aplikasi', 'serba', 'manfaat', 'banget', 'simple', 'nambah', 'cepat', 'komplen', 'nambah', 'add', 'byk', 'bet', 'guna', 'banget', 'makasih', 'dev', 'udu', 'app', '']</t>
  </si>
  <si>
    <t>['sore', 'kak', 'kemarin', 'tugas', 'indihome', 'cek', 'rumah', 'menit', 'pakai', 'jam', 'jam', 'tolong', 'baik', 'makasih']</t>
  </si>
  <si>
    <t>['lot', 'ngotak']</t>
  </si>
  <si>
    <t>['tolong', 'may', 'indihom', 'tolong', 'udh', 'bener', 'benerin', 'orang', 'kenal', 'orang', 'kaga', 'tanggung', 'ngecopot', 'jalur', 'kena', 'koneksi', 'parah', 'benerin', 'pliss', 'jabut', 'jalur', 'orang', 'kaga', 'kasi', 'milik', 'gua', 'benerin', 'bolak', 'dlu', 'ngacabut', 'jalur', 'orang', 'kaga', 'kaya']</t>
  </si>
  <si>
    <t>['', '']</t>
  </si>
  <si>
    <t>['hadeh', 'saing', 'kualitas', 'bagus']</t>
  </si>
  <si>
    <t>['buruk', 'layan']</t>
  </si>
  <si>
    <t>['layan', 'buruk', 'tagih', 'telat', 'kena', 'denda', 'internet', 'aktif', 'bayar', 'stb', 'email', 'kali', 'jam', 'baik', '']</t>
  </si>
  <si>
    <t>['layan', 'cepat']</t>
  </si>
  <si>
    <t>['bintang', 'wifi', 'ganggu', 'adik', 'sekolah', 'online', 'parah', 'sklian', 'susah', 'orang', 'bayar', 'selesai', 'kendala', 'lelet', 'skrg', 'blm', 'kaya', 'bayar', 'koq', 'ganggu', 'parah', '']</t>
  </si>
  <si>
    <t>['', 'becus', 'wifi']</t>
  </si>
  <si>
    <t>['wifi', 'mbps', 'mas', 'lut']</t>
  </si>
  <si>
    <t>['yok', 'alih', 'biznet']</t>
  </si>
  <si>
    <t>['pasang', 'indihomenya', 'ribet', 'sampe', 'minggu', 'proses', 'pasang', 'kunjung', 'proses', 'resposif', 'disinformasi', '']</t>
  </si>
  <si>
    <t>['koq', 'intenetnya', 'putus', 'sambung', 'lelet', 'serang', 'epidemi', 'corona', '']</t>
  </si>
  <si>
    <t>['gilir', 'tagih', 'telat', 'hari', 'ajj', 'langsung', 'ditlponin', 'kaya', 'nagih', 'layan', 'jaring', 'bapuk', 'nonton', 'ngclose', 'demand', 'payah', '']</t>
  </si>
  <si>
    <t>['verifikasi', 'identitas', 'ulang', 'kali', 'buka', 'detail', 'tagih', 'slalu', 'verifikasi', 'identitas', 'apkikasi', 'bantu']</t>
  </si>
  <si>
    <t>['siip']</t>
  </si>
  <si>
    <t>['nyesel', 'make', 'indihome', 'tagih', 'bualalan', 'komplen', 'tlp', 'gada', 'komplen', 'aplikasi', 'smaa', 'komplen', 'kantor', 'gunsar', 'suruh', 'kota', 'udh', 'kota', 'suruh', 'priok', 'kecewa', 'kecewa', 'kecewa', 'sial', 'banget', 'buka', 'mudah', 'sulit', 'udah', 'kaya', 'wakil', 'rakyat']</t>
  </si>
  <si>
    <t>['hapus', 'sod', 'renew', 'fup', 'indikasi', 'jual', 'banwith', 'indihome']</t>
  </si>
  <si>
    <t>['ping', 'bagus', 'main', 'game', 'lola', 'gapernah', 'kaya', 'gin', 'mohon', 'serius', 'tanggapin', 'keluh', 'kesah', 'langgan', 'yaaa', 'user', 'device']</t>
  </si>
  <si>
    <t>['internet', 'mati', 'baik', 'massal', 'sampe', 'tanoa', 'pemberitahuan', 'lebuh', 'repot', 'ngandalin', 'wifi', 'diandelin', 'kcepatan', 'stabil', 'kadang', 'nyambung', 'kadang', 'rugi', '']</t>
  </si>
  <si>
    <t>['woii', 'perbaikin', 'jaring', 'asw', 'ngelag', 'udah', 'bayar']</t>
  </si>
  <si>
    <t>['bintang', 'mending', 'gue', 'ksh', 'rating', 'kali', 'mngkn', 'udh', 'gue', 'indihome', 'bener', 'ksini', 'ancur', 'harga', 'naek', 'kualitas', 'buruk', 'bikin', 'ribet', 'pokobya', 'direkomen', 'indihome', 'gue', 'msh', 'indihome', 'karna', 'biznet', 'dll', 'blm', 'msk', 'ksini', 'inti', 'gue', 'rekomendasi', 'provider']</t>
  </si>
  <si>
    <t>['layan', 'bagus', 'internet', 'kencang', 'puas', 'terimakasih', 'indihome', 'moga', 'langgan']</t>
  </si>
  <si>
    <t>['layan', 'ganggu', 'indihome', 'jelek', 'banget', 'lapor', 'jam', 'normal']</t>
  </si>
  <si>
    <t>[]</t>
  </si>
  <si>
    <t>['asli', 'parah', 'minggu', 'internet', 'mati', '']</t>
  </si>
  <si>
    <t>['bulan', 'januari', 'aju', 'pasang', 'user', 'skrang', 'progres', 'telkom', 'indihome', 'tinggal', 'meter', 'box', 'fiber', 'cable', 'user', 'mesti', 'gimana', 'daerah', 'desa', 'limbung', 'kabupaten', 'kubu', 'raya', '']</t>
  </si>
  <si>
    <t>['jaring', 'indihome', 'hujan', 'parah', 'banget']</t>
  </si>
  <si>
    <t>['jaring', 'ilang', 'malem']</t>
  </si>
  <si>
    <t>['pakai', 'indihome', 'unlimited', 'batas', 'fup', 'minggu', 'lot']</t>
  </si>
  <si>
    <t>['mohon', 'maaf', 'berat', 'hati', 'kasih', 'bintang', 'karna', 'internetnya', 'lemooooot', 'banget', 'idah', 'upgrade', 'mbps', 'udah', 'lapor', 'tetep', 'internetnya', 'lot', 'gin', 'bayar', 'nggak', 'potong', 'niih', 'serius', 'nanya', '']</t>
  </si>
  <si>
    <t>['', 'ngeleg', 'ganggu', 'alesannya', 'gamas', 'kualitas', 'oke', 'turun', '']</t>
  </si>
  <si>
    <t>['aplikasi', 'susah', 'banget', 'sue', 'sue']</t>
  </si>
  <si>
    <t>['cek', 'guna', 'internet', 'yak', 'gimana', 'aplikasi', 'web', 'tolong', 'tindakin', '']</t>
  </si>
  <si>
    <t>['tanggap', 'mslh', 'complain', '']</t>
  </si>
  <si>
    <t>['aplikasi', 'praktis', 'ngecek', 'pakai', 'internet', 'tagih', 'bulan', 'langsung', 'aplikasi']</t>
  </si>
  <si>
    <t>['langsung', 'langgan', 'indihome', 'langsung', 'aplikasi', 'praktis', 'cepat', 'proses']</t>
  </si>
  <si>
    <t>['aplikasi', 'versi', 'baru', 'informatif', 'promonya', 'banyak', 'yaa']</t>
  </si>
  <si>
    <t>['mohon', 'tingkat', 'kualitas', 'jaring', 'kesal', 'jaring', 'jelek', 'pas', 'perta', 'aman', 'aman', 'parah', 'hade', '']</t>
  </si>
  <si>
    <t>['speed', 'demand', 'hilang', '']</t>
  </si>
  <si>
    <t>['', 'mbps', 'lot', 'langgan', 'setia', 'banget', 'indihome']</t>
  </si>
  <si>
    <t>['lumayaan', 'bantu', 'sekolah', 'anak', 'msh', 'online', 'sweet', 'home', '']</t>
  </si>
  <si>
    <t>['aplikasi', 'jelek', 'layan', 'indihome', 'jelek', 'tangan', 'ganggu', 'lamban', 'menang', 'cover', 'area', 'coba', 'rumah', 'nggak', 'pakai', 'indihome']</t>
  </si>
  <si>
    <t>['ksh', 'baca', 'admin', 'tawar', 'paket', 'promo', 'marketing', 'indihome', 'via', 'tlp', 'stlh', 'tuju', 'mandapat', 'kontrak', 'tindak', 'wkt', 'tentu', 'satu', 'indihome', 'rumah', 'instalasi', 'perangkat', 'mohon', 'lbh', 'profesional', 'langgan', 'kecewa', 'mohon', 'layan', 'lbh', 'tingkat', '']</t>
  </si>
  <si>
    <t>['please', 'nggak', 'sedia', 'nggak', 'sedia', 'orang', 'udah', 'tiang', 'indihome', 'deteksi', '']</t>
  </si>
  <si>
    <t>['mantap', 'adu', 'langsung', 'difollow', '']</t>
  </si>
  <si>
    <t>['sampahh']</t>
  </si>
  <si>
    <t>['kecewa', 'langgan', 'sinyal', 'los', 'merah', 'teknisi', 'baik', 'hasil', 'nihil', 'sinyal', 'los', 'kedip', 'merah', 'keluh', 'musti', 'cerita', '']</t>
  </si>
  <si>
    <t>['bintang', 'kurang', 'pasang', 'telkom', 'tuban', 'paket', 'sayang', 'daerah', 'tuban', 'jawa', 'timur', 'paket', 'registrasi', 'tolak', 'nunggu', 'lebih', 'batas', 'estimasi', 'kerja']</t>
  </si>
  <si>
    <t>['komplain', 'via', 'aplikasi', 'solusi', 'internet', 'trouble', 'telat', 'bayar', 'langsung', 'kena', 'denda', 'payah', '']</t>
  </si>
  <si>
    <t>['uang', 'deposit', 'susah', 'kembali', 'proses', 'doang', '']</t>
  </si>
  <si>
    <t>['loading', 'lambat', 'maksud', 'loading', 'aplikasi', 'indiehome', 'kakak', 'telekomunikasiindonesia', 'ulas', 'butuh', 'kakak', 'telekomunikasindonesia', 'terima', 'kasih']</t>
  </si>
  <si>
    <t>['kelas', 'bumn', 'aplikasi', 'abal', 'kecewa', 'berat', 'login', 'sulit', 'gara', 'halang', 'konyol', 'verifikasi', 'akun', 'verifikasi', 'login', 'sungguh', 'mental', 'korup', 'moga', 'cepat', 'bangkrut']</t>
  </si>
  <si>
    <t>['kasih', 'bintang', 'moga', 'keluh', 'langgan', 'tanggap', 'indihome', 'maju', 'jaga', 'kualitas', 'internet', 'stabil', 'lot', 'masuk', 'bossku', '']</t>
  </si>
  <si>
    <t>['kode', 'login', 'udah', 'bener', 'gabisa', 'mulu', 'gajelas']</t>
  </si>
  <si>
    <t>['udah', 'aju', 'pasang', 'teknisi', 'udah', 'pasang', 'trus', 'routernya', 'ambil', 'jaring', 'udah', 'minggu', 'nunggu', 'jelas', 'nunggu', 'tolong', 'tolong', 'konfirmasi', 'kasi', 'nunggu']</t>
  </si>
  <si>
    <t>['mntapppp']</t>
  </si>
  <si>
    <t>['jaring', 'internet', 'stabil', 'buruk', 'maen', 'game', 'ngelek', 'mulu']</t>
  </si>
  <si>
    <t>['login', 'game', 'ajg']</t>
  </si>
  <si>
    <t>['indihome', 'parah', 'jaring', 'rusak', 'rusak', 'bayar', 'mahal', 'jaring', 'sesuai', 'kualitas', '']</t>
  </si>
  <si>
    <t>['aplikasi', 'versi', 'update', 'bgtu', 'diturutin', 'update', 'bsa', 'login', 'udh', 'masukin', 'nmr', 'email', 'nunggu', 'sms', 'kode', 'konfirmasi', 'tpi', 'kirim', 'kode', 'udh', 'kali', 'nyoba', 'bsa', 'coba', 'tetep', 'bsa', 'masuk', 'tolong', 'benah', '']</t>
  </si>
  <si>
    <t>['diperbaruin', 'gabisa', 'lihat', 'perinci', 'bayar', '']</t>
  </si>
  <si>
    <t>['lambat', 'speednya']</t>
  </si>
  <si>
    <t>['maaf', 'bintang', 'masalah', 'indihome', 'putus', 'gue', 'end', '']</t>
  </si>
  <si>
    <t>['lancar', 'indihome', 'lambat', 'stabil', 'cepat', 'internetnya', 'jelang', 'malam', 'lambat', '']</t>
  </si>
  <si>
    <t>['paket', 'mbps', 'muas', 'bbrp', 'org', 'itu', '']</t>
  </si>
  <si>
    <t>['genap', 'bulan', 'udah', 'kena', 'wifi', 'loss', 'jaring', 'data', 'mending', 'alih']</t>
  </si>
  <si>
    <t>['mantul']</t>
  </si>
  <si>
    <t>['fup', 'bantu', 'masyarakat', 'biji', 'mata', 'kau', 'bantu']</t>
  </si>
  <si>
    <t>['aplikasi', 'becus', 'dasar', 'plat', 'merah', 'sampah', '']</t>
  </si>
  <si>
    <t>['buruk', 'mudah', 'sulit', '']</t>
  </si>
  <si>
    <t>['mantull']</t>
  </si>
  <si>
    <t>['sngat', 'guna']</t>
  </si>
  <si>
    <t>['sesal', 'daftar', 'indihome', 'daftar', 'lancar', 'proses', 'sampe', 'verifikasi', 'hubung', 'email', 'customer', 'sampe', 'tehnisinya', 'tuju', 'instal', 'pasang', 'depan', 'tehnisi', 'muter', 'muter', 'lokasi', 'alas', 'cek', 'jaring', 'sampe', 'sore', 'hasil', 'jaring', 'penuh', 'pasang', 'daftar', 'cancel', 'buang', 'buang', 'ngurusin', 'daftar', 'alhamdullillah', 'cancel', 'liat', 'aplikasi', 'ranting', 'ngelus', 'langgan', '']</t>
  </si>
  <si>
    <t>['', 'koneksi', 'lapor', 'baik', 'layan', 'gausah', 'langgan', 'kayak', 'gin', '']</t>
  </si>
  <si>
    <t>['jaring', 'bagus']</t>
  </si>
  <si>
    <t>['indihome', 'banyak', 'eror', '']</t>
  </si>
  <si>
    <t>['bumn', 'kualitas', 'swasta']</t>
  </si>
  <si>
    <t>['indihome', 'butuh', 'uang', 'pindahin', 'indihome', 'alamat', 'blm', 'pindahin', 'indihome', 'tlpn', 'call', 'center', 'jawab', 'sdg', 'proses', 'trus', 'langgan', 'mnc', 'vision', 'cpt', 'responya', 'cepat', 'pindahin', 'alamat', 'butuh', '']</t>
  </si>
  <si>
    <t>['keluh', 'udah', 'wakil', 'langgan', 'ngeluh', 'kasih', 'bintang', 'kasih', 'bintang', '']</t>
  </si>
  <si>
    <t>['awass', 'masang', 'wifi', 'indihome', 'ntrr', 'nyesel']</t>
  </si>
  <si>
    <t>['best', 'quality']</t>
  </si>
  <si>
    <t>['benerin', 'tolong', 'mati', 'nyambung', 'mati', 'nyambung', 'niiiii', '']</t>
  </si>
  <si>
    <t>['lot', 'parah', 'abis', 'kecewa']</t>
  </si>
  <si>
    <t>['andal', 'indihome', 'gie', 'tarik', 'langgan', 'kayak', 'gin', 'siih', 'bagus', 'lama', 'sakit', 'hati', 'lem', 'ottt']</t>
  </si>
  <si>
    <t>['asli', 'gua', 'pasang', 'wifi', 'tunggu', 'jaring', 'kosong', 'gua', 'butuh', 'thn', 'besok', '']</t>
  </si>
  <si>
    <t>['dasar', 'indihome', 'sampah', 'jaring', 'lot', 'ganggu', 'ikut', 'google', 'work', 'sampah', 'jaring', 'wifi', 'bagus', 'mending', 'henti', 'bayar', 'mahal', 'kasi', 'mbps', 'doang', 'beli', 'paket', 'mbps', 'nyari', 'langgan', 'pas', 'nemu', 'nama', 'angka', 'dasar', 'indihome', 'sampah']</t>
  </si>
  <si>
    <t>['', 'indihome', 'kualitas', 'buruk', 'dasar', 'indigo', '']</t>
  </si>
  <si>
    <t>['indihome', 'tipu', 'paksa', 'peras', 'diresolir', 'full', 'wifinya', 'mati', 'tagih', 'muncul', 'mlhn', 'nama', 'paksa', 'peras', 'langgan', 'paksa', 'adil', 'masang', 'wifi', 'mah', 'senang', 'ngeluh', 'mending', 'stop', 'langgan', 'indihome', 'masang', 'wifi', 'mending', 'beli', 'kouta', 'ribet', 'makasih', 'tolkon']</t>
  </si>
  <si>
    <t>['habis', 'update', 'masuk', 'request', 'otp', 'balas', 'otp', 'diinput', 'uda', 'coba', 'maksimal', 'gagal', 'suruh', 'nunggu', 'jam', '']</t>
  </si>
  <si>
    <t>['kualitas', 'parah', 'indihome', 'asli', 'parah', 'lambat', 'nyesal', 'pasang', '']</t>
  </si>
  <si>
    <t>['telepon', 'putus', 'komplain', 'ubah', '']</t>
  </si>
  <si>
    <t>['good', 'app']</t>
  </si>
  <si>
    <t>['mantap', 'lancar', 'cepat', 'koneksi']</t>
  </si>
  <si>
    <t>['hay', 'kak', 'udh', 'coba', 'kali', 'kali', 'register', 'masuk', 'masuk', 'tunggu', 'sinyal', 'kak', '']</t>
  </si>
  <si>
    <t>['parah', '']</t>
  </si>
  <si>
    <t>['alat', 'pasang', 'bayar', 'bayar', 'aktif', 'bayar', 'susah', 'banget', 'responnya', 'low', '']</t>
  </si>
  <si>
    <t>['tolong', 'usaha', 'indihome', 'tolong', 'tingkat', 'kualitas', 'jaring', 'ganggu', 'susah', 'main', 'game', 'online', 'buka', 'aplikasi']</t>
  </si>
  <si>
    <t>['min', 'menu', 'speed', 'demand', '']</t>
  </si>
  <si>
    <t>['lumayan', 'bagus']</t>
  </si>
  <si>
    <t>['indihome', 'keren', '']</t>
  </si>
  <si>
    <t>['layan', 'bagus']</t>
  </si>
  <si>
    <t>['pikir', 'stremer', 'live', 'kena', 'fup', '']</t>
  </si>
  <si>
    <t>['layan', 'teknisi', 'lambat']</t>
  </si>
  <si>
    <t>['layan', 'loe', 'buruk', 'sulit', 'orang', 'pasang', 'indihome']</t>
  </si>
  <si>
    <t>['langgan', 'mbps', 'mbps', 'komplin', 'baik', '']</t>
  </si>
  <si>
    <t>['muas']</t>
  </si>
  <si>
    <t>['udahlah', 'wifi', 'jelek', 'aplikasi', 'jelek']</t>
  </si>
  <si>
    <t>['jelek', 'skali', 'masalah', 'internetnya', 'wifi', 'trhubung', 'internet', 'baik', 'besok', 'ulang', 'parah']</t>
  </si>
  <si>
    <t>['myindihome', 'tagih', 'smooa', 'masuk', 'bayar', 'lapor', 'adu', 'direspon', 'indihome', 'telkon', 'kembali', 'uang']</t>
  </si>
  <si>
    <t>['indihome', 'muas', 'masang', 'kali', 'udh', 'lbh', 'jam']</t>
  </si>
  <si>
    <t>['terima', 'kasih', 'bantu', '']</t>
  </si>
  <si>
    <t>['wifi', 'ngelag', 'game', 'susah', 'banget', 'kaya', 'gin', 'jaring']</t>
  </si>
  <si>
    <t>['lapor', 'ganggu', 'aplikasi', 'sia', 'sia', 'dapet', 'tiket', 'ganggu', 'doank', 'laksana', 'baik', 'kunjung', 'lapor', 'kantor', 'offline', 'tambah', 'kualitas', 'jaring', 'telkom', 'parah', 'telkom', 'pikir', 'bayar', 'konpensasi', 'langgan', 'ketidaknyamanan', '']</t>
  </si>
  <si>
    <t>['telkom', 'bayar', 'internet', 'pakai', 'bayar', 'suruh', 'donasi', 'doang']</t>
  </si>
  <si>
    <t>['mudah', 'urus', 'lancar', 'komonikasi', 'aman', 'kerja', 'tuntas', 'rezeki', 'tambah', '']</t>
  </si>
  <si>
    <t>['pindahin', 'wifi', 'hadeuh']</t>
  </si>
  <si>
    <t>['wifi', 'ngelagg', 'banget', 'yaa', '']</t>
  </si>
  <si>
    <t>['indihome', 'rugiii', 'sumpah', '']</t>
  </si>
  <si>
    <t>['', 'ush', 'indihome', 'rugi', 'nyesel', 'sumpah']</t>
  </si>
  <si>
    <t>['sumpah', 'indihome', 'error', 'mulu', 'proses', 'potong', 'error', 'ngerasain', 'error', 'sampe', 'minggu']</t>
  </si>
  <si>
    <t>['payah', 'blgnya', 'maks', 'kembali', 'deposit', 'kerja', 'uda', 'balikin', 'giliram', 'bayar', 'telat', 'kenain', 'bunga']</t>
  </si>
  <si>
    <t>['pakai', 'wifi', 'lot', 'udah', 'bayar', 'tolong', 'beritahu', 'karna', 'udah', 'kali', 'bayar', '']</t>
  </si>
  <si>
    <t>['apps', 'aman', 'karna', 'login', 'pakai', 'pass', 'otp']</t>
  </si>
  <si>
    <t>['tampil', 'bagus', 'ganti', 'walpaper']</t>
  </si>
  <si>
    <t>['tuker', 'poin', 'tambahin', 'merchantnya']</t>
  </si>
  <si>
    <t>['unsubcribe', 'cancel', 'channel', 'tambhn', 'nggk', 'hasil', 'mohon', 'bantu', 'salah', 'kemarin', 'telp', 'nggk', 'ket', '']</t>
  </si>
  <si>
    <t>['', 'smakin', 'smakin', 'buruk', 'tolong', 'baik', 'pindah', 'provider', '']</t>
  </si>
  <si>
    <t>['lapor', 'ganggu', 'aplikasi', 'responnya', 'cepat', 'mantap', 'indihome']</t>
  </si>
  <si>
    <t>['bayar', 'tagih', 'mudah', 'aplikasi', 'gausah', 'rumah', 'mantap']</t>
  </si>
  <si>
    <t>['mudah', 'praktis', 'rumah']</t>
  </si>
  <si>
    <t>['mudah', 'lapor', 'keluh', 'mudah', 'kasih', 'note']</t>
  </si>
  <si>
    <t>['mudah', 'langgan']</t>
  </si>
  <si>
    <t>['mantappp', 'sukses']</t>
  </si>
  <si>
    <t>['alhamdulillah', 'indihome', 'lancar', 'pas', 'udah', 'lapor', 'ganggu', 'makasih', '']</t>
  </si>
  <si>
    <t>['ken', 'refund', 'butuh', 'sedih']</t>
  </si>
  <si>
    <t>['wifi', 'sundala', 'comeback']</t>
  </si>
  <si>
    <t>['bagus', 'suwun']</t>
  </si>
  <si>
    <t>['bulan', 'ganggu', 'notif', 'los', 'modem', 'ganggu']</t>
  </si>
  <si>
    <t>['beemanfaat']</t>
  </si>
  <si>
    <t>['ribet', 'banyak', 'syarat', '']</t>
  </si>
  <si>
    <t>['tlng', 'jaring', 'otp', 'jln', 'hasanuddin', 'arenalama', 'timika', 'papua', 'tetangga', 'bulan', 'pakek', 'malas', 'copot', 'karna', 'denda', 'ken', 'pasang', 'penuh', 'melulu', 'klw', 'aktif', 'bulan', 'difollow', 'langgan', 'kunjungin', 'karna', 'reja', 'suka', 'angkat', 'klau', 'via', 'tlpon', '']</t>
  </si>
  <si>
    <t>['kesini', 'rugi', 'ampas', 'bet', 'jaring', 'nyee', 'indihomo', 'pindah', 'lahh', 'belah', 'jaring', 'cacat']</t>
  </si>
  <si>
    <t>['sinyal', 'jelek', 'pas', 'kali', 'pasang', 'main', 'mobile', 'legend', 'sinyal', 'sinyal', 'mantap']</t>
  </si>
  <si>
    <t>['habis', 'bayar', 'internet', 'lot', 'pindah', 'gppa']</t>
  </si>
  <si>
    <t>['ampasssssssss']</t>
  </si>
  <si>
    <t>['jaring', 'parah', 'tolong', 'baik', 'jaringanya', 'cma', 'mnta', 'naik', 'mbps', 'doang', 'harga', 'push', 'gencar', '']</t>
  </si>
  <si>
    <t>['internet', 'ama', 'aplikasi', 'tolol']</t>
  </si>
  <si>
    <t>['tangan', 'adu', 'aplikasi', '']</t>
  </si>
  <si>
    <t>['bagimana', 'top', 'indihome']</t>
  </si>
  <si>
    <t>['lot', 'banget', 'guna', 'udah', 'batas', 'restart', 'wifinya', 'ganti', 'sandi', 'tetep', 'lot', 'ajaaa', 'percaya', 'bang', 'usaha', 'ngerating', 'ngeleg']</t>
  </si>
  <si>
    <t>['provider', 'kek']</t>
  </si>
  <si>
    <t>['payah', 'indihome', 'indihomo', 'ganguan', 'udah', 'minggu', 'solusi', 'kompensasi', 'payah', 'kecewa', 'layan', 'janji', 'janji', 'mulu']</t>
  </si>
  <si>
    <t>['buruk', 'wlan', 'tidaj', 'stabil', 'ular', 'panas', 'masang', 'mbps', 'kirain', 'rendah', 'stabil', 'mbps', 'jaring', 'siput']</t>
  </si>
  <si>
    <t>['aplikasi', 'lelet']</t>
  </si>
  <si>
    <t>['kecewa', 'kualitas', 'sinyal', 'indihome', 'jelek', 'sampah', 'kencang', 'lot', 'udah', '']</t>
  </si>
  <si>
    <t>['aplikasi', 'bagus', 'lengkap', 'mudah', '']</t>
  </si>
  <si>
    <t>['mohon', 'maaf', 'jelek', 'aplikasi', 'buat', 'perintah', 'banyak', 'eror', 'eror', 'verifikasi', 'sistem', 'lola', 'gemes', 'deh', 'aplikasi', 'buat', 'perintah', 'mudah', 'ujung', 'ujung', 'alesan', 'human', 'eror', '']</t>
  </si>
  <si>
    <t>['proses', 'layan', 'ganggu', 'cepat', 'respon', 'bbrp', 'ganggu', 'ulang', 'kasih', 'bintang', '']</t>
  </si>
  <si>
    <t>['', 'bayar', 'mati', 'bayar', 'lot', 'kecewa', 'najis', '']</t>
  </si>
  <si>
    <t>['indihome', 'bobrok', 'banget', 'jump', 'ping', 'ms', 'ms', 'main', 'game', 'nyaman', 'recommend', 'pasang', 'rumah']</t>
  </si>
  <si>
    <t>['alhamdulillah', 'aplikasi', 'myindihome', 'gampang', 'produk', 'indihome', 'promo', 'baru']</t>
  </si>
  <si>
    <t>['jaring', 'indihom', 'jelek', 'banget', 'masuk', 'febuari', 'ningkatan', 'suda', 'naikin', 'mbps', 'kalu', 'ngini', 'trus', 'bayar', 'jaring', 'nga', 'perna', 'bagus', 'petujiknya', 'indihom', '']</t>
  </si>
  <si>
    <t>['login', 'indihomnya']</t>
  </si>
  <si>
    <t>['bagus', 'bagus', 'tingkat', '']</t>
  </si>
  <si>
    <t>['good', 'job', 'indihome']</t>
  </si>
  <si>
    <t>['serba', 'gampang', 'thx', '']</t>
  </si>
  <si>
    <t>['mohon', 'tingkat', '']</t>
  </si>
  <si>
    <t>['good', 'top', 'markotop', '']</t>
  </si>
  <si>
    <t>['aplikasi', 'bantu', 'saat', 'pandemi', 'lapor', 'ganggu', 'kece', 'tagih', 'tambah', 'paket', 'aplikasi', 'plasa', 'telkom', 'dekat', 'moga', 'aplikasi', 'update', 'cust', 'awam', 'mudah', 'guna', 'sukses', 'indohome', '']</t>
  </si>
  <si>
    <t>['aplikasi', 'update', 'lapor', 'ganggu', 'cepat', 'progres', 'esok', 'hari', 'moga', 'depan', 'tampil', 'mudah', 'orang', 'sukses', 'telkom', 'feedback', 'customernya', '']</t>
  </si>
  <si>
    <t>['nice', 'apps', 'helpfull']</t>
  </si>
  <si>
    <t>['hadehh', 'bayar', 'mahal', 'wifi', 'lot', 'bener']</t>
  </si>
  <si>
    <t>['aplikasi', 'udh', 'keren', 'bnget', 'tolong', 'bagus', 'indihomenya', '']</t>
  </si>
  <si>
    <t>['aplikasi', 'bantu']</t>
  </si>
  <si>
    <t>['aplikasi', 'mudah', 'bantu']</t>
  </si>
  <si>
    <t>['cakep']</t>
  </si>
  <si>
    <t>['tambah', 'fitur', 'block', 'gagu', 'plis', 'numpang', 'wifi', 'izin', 'tolong', 'admin', 'kasih', 'fitur', 'makasih']</t>
  </si>
  <si>
    <t>['mudah', 'cek', 'cek', 'guna', 'cek', 'tagih', 'lapor', 'keluh']</t>
  </si>
  <si>
    <t>['mudah', 'lapor', 'keluh']</t>
  </si>
  <si>
    <t>['mudah', 'cek', 'guna', 'indihome', 'cek', 'tagih', 'bayar', 'tagih', 'rumah']</t>
  </si>
  <si>
    <t>['nyaman', 'kece', 'guna', 'indihome']</t>
  </si>
  <si>
    <t>['mantao']</t>
  </si>
  <si>
    <t>['wifi', 'ajg', 'ngelag', 'kerja', 'urus', 'bayar', 'nomor', 'urus', 'jaring', 'lambat', 'kaya', 'jembut', 'dssr', 'wifi', 'ajg']</t>
  </si>
  <si>
    <t>['jaring', 'sen', 'mbps', 'main', 'game', 'jaringanya', 'cuman', 'jaring', 'rumah', '']</t>
  </si>
  <si>
    <t>['mantap', 'bayar', 'bulan', 'dapet', 'poin', 'makasih']</t>
  </si>
  <si>
    <t>['responnya', 'bagus', 'cepat', 'kendala', 'lapor', 'aplikasi', 'indihome', '']</t>
  </si>
  <si>
    <t>['langsung', 'langgan', 'indihome', 'aplikasi', 'praktis', 'cepat', 'proses']</t>
  </si>
  <si>
    <t>['payah', 'pasang', 'udh', 'kecewa', 'pasang', 'tgl', 'feb', 'feb', 'udh', 'eror', 'huhfttt', '']</t>
  </si>
  <si>
    <t>['kece', 'aplikasi', 'mudah', 'monitor', 'guna', 'internet', 'wifi', 'indihome', 'gokil']</t>
  </si>
  <si>
    <t>['bayar', 'tagih', 'mudah', 'aplikasi']</t>
  </si>
  <si>
    <t>['lapor', 'ganggu', 'apss', 'cepet', 'banget', 'atas', 'mantap']</t>
  </si>
  <si>
    <t>['speed', 'demand', 'ndak', '']</t>
  </si>
  <si>
    <t>['aplikasi', 'kadang', 'buka']</t>
  </si>
  <si>
    <t>['alhamdulillah', 'teknisi', 'udah', 'dateng', 'berkat', 'lapor', 'lancar', 'makasih', '']</t>
  </si>
  <si>
    <t>['aplikasi', 'lancar', 'mantapppp']</t>
  </si>
  <si>
    <t>['update', 'susah', 'masuk', '']</t>
  </si>
  <si>
    <t>['pusat', 'adu', 'hubung', 'haduh', 'mikir', 'pasang', 'bln', 'panjang', 'layan', 'ganggu', 'hubung', 'tanggap', '']</t>
  </si>
  <si>
    <t>['puas']</t>
  </si>
  <si>
    <t>['tolong', 'udah', 'mke', 'indihome', 'masyaallah', 'jaring', 'lot', 'parah', 'sampe', 'make', 'vpn', 'tetep', 'mempan', 'gmna', 'coba', 'doang', 'wajar', 'something', 'tpi', 'orang', 'indihome', 'teman', 'pasang', 'indihome', 'keluh', 'lot', 'baik', 'tolong', 'mahal', 'doang', 'jaring', 'lot', 'lol']</t>
  </si>
  <si>
    <t>['lumayan', 'ubah']</t>
  </si>
  <si>
    <t>['sinyal', 'labil', 'turun', 'aneh', 'marketing', 'sibuk', 'telp', 'tawar', 'upgrade', 'cepat', 'indihome', '']</t>
  </si>
  <si>
    <t>['bagus', 'bantu']</t>
  </si>
  <si>
    <t>['tolong', 'baik', 'masang', 'mbps', 'pakai', 'handpone', 'knpa', 'main', 'mobile', 'legend', 'kuat', 'maen', 'jam', 'mlm', 'atas', 'smpe', 'jam', 'jaring', 'stabil', 'knpa', 'buruk', 'skrg', 'indihome', 'jaring', 'super', 'lelet', 'parah']</t>
  </si>
  <si>
    <t>['parah', 'indhome', 'banjarmasin', 'wakil', 'temen', 'banjarmasin', 'parah', 'indihome', 'nge', 'lag', 'patah', 'game', 'lapor', 'maju', 'udah', 'bnyak', 'keluh', 'temen', 'banjarmasin', 'indihome', 'ganti', 'provider', 'baik', 'tanggap', 'kah', 'banjarmasin', 'adu', 'aplikasi', 'kirim', 'bukti', 'foto', 'video', 'bagus', 'sayang', 'cuman', 'lapor', 'capek', 'min', '']</t>
  </si>
  <si>
    <t>['jaring', 'lambat', 'pakai', 'batas', 'pakai', 'skrang', 'terus', 'buffring', 'depa', 'langgan', 'sdah', 'bnyk', 'kecewa', 'fitur', 'indihome', 'tera', 'tunggu', 'bayar', 'pasang', 'cek', 'kuota', 'susah', 'ampun', 'parah', '']</t>
  </si>
  <si>
    <t>['renew', 'speed']</t>
  </si>
  <si>
    <t>['aplikasi', 'mentah', 'renew', 'speed', 'susah']</t>
  </si>
  <si>
    <t>['alam', 'kecewa', 'internet', 'stabil', 'ganggu', 'wilayah', 'provinsi', 'jambi', 'kabupaten', 'sarolangun', 'harap', 'akses', 'internet', 'nyaman', '']</t>
  </si>
  <si>
    <t>['mahal', 'paket', 'stabil', 'cepat', 'kuota', 'batas', 'wajar', 'turun', 'trus', 'cepat', 'turun', 'kuota', 'pakai', 'wajar', 'abis']</t>
  </si>
  <si>
    <t>['payah', 'sinyal', 'payah', 'masang', 'sinyal', 'parah', 'kartu', 'ps', 'sinyal', 'jelek', 'banget', 'payah', 'masang', 'udah', 'kecewa', 'teknisi', 'baca', 'indo', 'bingung', 'siapa', 'langgan', 'parah', '']</t>
  </si>
  <si>
    <t>['most', 'worst', 'wifi', 'recomended', 'pokok', 'gaada', 'bagus', 'dipake', 'ngegame', 'jamin', 'losestreak', 'wifi']</t>
  </si>
  <si>
    <t>['']</t>
  </si>
  <si>
    <t>['', 'donlod', 'cuman', 'ngasih', 'jaring', 'bener', 'udah', 'bayar', 'ampas', 'nama', 'tipu', 'woeee']</t>
  </si>
  <si>
    <t>['jatuh', 'tempo', 'tgl', 'sblom', 'tgl', 'sudh', 'tagih', 'blom', 'tempo', 'pdhal', 'bulan', 'sya', 'tagih', 'sya', 'dri', 'total', 'tagih', 'sbenarnya', 'blom', 'bayar', '']</t>
  </si>
  <si>
    <t>['diupgrade', 'mbps', 'jaring', 'payah', 'gimana', 'indihome', 'udah', 'bayar', 'mahal', 'kualitas', 'nggak', 'banget']</t>
  </si>
  <si>
    <t>['parah', 'main', 'mobil', 'legen', 'doang', 'lot', 'ampun', 'udah', 'speeed', 'daerah', 'cikupa', 'tangerang', 'parah', 'ganti', 'frismedia']</t>
  </si>
  <si>
    <t>['', 'stabil', 'game', 'bayar', 'tetep', 'kadang', 'jamkot']</t>
  </si>
  <si>
    <t>['bayar', 'beda', 'mbpsnya', 'rugi', 'rumah', 'mbps', 'teman', '']</t>
  </si>
  <si>
    <t>['pelayananya', 'buruk', 'udh', 'internet', 'mati', 'belit', 'belit', 'kepengurusanya', 'anna', 'says', 'sekolah', 'online', 'susah']</t>
  </si>
  <si>
    <t>['apk', 'indihome', 'bingung', 'renew', 'speed', 'fitur', 'speed', 'demand', 'top', 'mahal', 'gb', 'bln', 'pakai', 'data', 'gb', 'bln', 'minggu', 'depan', 'bagus', 'sulit', 'gilir', 'konsumen', 'ngadu', 'respon', 'lambat', '']</t>
  </si>
  <si>
    <t>['apk', 'keren', 'simple']</t>
  </si>
  <si>
    <t>['tolong', 'baik', 'habis', 'hujan', 'nge', 'lag']</t>
  </si>
  <si>
    <t>['lag', 'trosss']</t>
  </si>
  <si>
    <t>['grade', 'speed', 'skrang', 'adaa', 'layan', 'sod', 'tolong', 'gimana', 'speed', 'bintang', 'full']</t>
  </si>
  <si>
    <t>['jaring', 'tah', 'kek', 'ngelek', 'ajg', 'pas', 'main', 'lag', 'buli', 'trus', '']</t>
  </si>
  <si>
    <t>['assalamualaikum', 'admin', 'uang', 'jamin', 'daftar', 'beoom', 'masuk', 'renti', 'langgan', 'udah', 'bom', 'uang', 'jamin']</t>
  </si>
  <si>
    <t>['nice', 'apps']</t>
  </si>
  <si>
    <t>['bagus']</t>
  </si>
  <si>
    <t>['tangan', 'ganggu', 'banget', 'kelar', 'kelar', 'rugi', 'konsumen', 'mah']</t>
  </si>
  <si>
    <t>['update', 'menu', 'donload', 'bukti', 'bayar', 'menu', 'riwayat', 'tragihan']</t>
  </si>
  <si>
    <t>['speed', 'mbps', 'tgl', 'udah', 'sisa', 'mbps', 'pakai', 'kontrol', 'adu', 'hasil', 'tetep', 'mbps', 'wkwkwk', 'keren', 'euy', 'indiehome', 'aplikasi', 'ons', 'force', 'close', 'parah']</t>
  </si>
  <si>
    <t>['', 'layan', 'jelek', 'banget']</t>
  </si>
  <si>
    <t>['wifimu', 'ngelag', 'cak', 'tinggal', 'scrim']</t>
  </si>
  <si>
    <t>['', 'tante', 'admin', 'bayar', 'tampil', 'aplikasi', 'bagus', 'hujan', 'sinyal', 'alakadarnya', '']</t>
  </si>
  <si>
    <t>['jos']</t>
  </si>
  <si>
    <t>['manfaat', 'karna', 'tukar', 'point', 'daerah', 'pencil', 'mohon', 'tampah', 'tukar', 'poin', 'nikmat', 'langsung', 'nusantara', 'sistem', 'ribet', 'wajib', 'langgan', 'instal', 'aplikasi', 'edukasi', 'arah', 'teknisi', 'tpi', 'rasa', 'fungsi', 'guna', 'aplikasi', '']</t>
  </si>
  <si>
    <t>['indihome', 'renew', 'speed', 'sod', 'hapus', '']</t>
  </si>
  <si>
    <t>['renew', 'speed', 'sod', 'menu']</t>
  </si>
  <si>
    <t>['ngeleg', 'wifinya', 'ngisi', 'udah', 'mahal', 'ngisinya', 'ngeleg', '']</t>
  </si>
  <si>
    <t>['layan', 'buruk', 'tangan']</t>
  </si>
  <si>
    <t>['maaf', 'minta', 'gagal', 'silah', 'proses', 'gin', 'terang', 'log', 'daftar']</t>
  </si>
  <si>
    <t>['tolong', 'baik', 'indihome', 'tara', 'nonton', 'main', 'game', 'lelet', 'mulu', 'udah', 'subuh', 'jelek', 'jaring']</t>
  </si>
  <si>
    <t>['kecewa', 'jaring', 'prnah', 'bagus', 'gimn', 'cari', 'makan', 'jaring', 'lelet', '']</t>
  </si>
  <si>
    <t>['saldo', 'wooy', 'layan', 'receh', 'bacoood']</t>
  </si>
  <si>
    <t>['tolong', 'koneksi', 'cepat', '']</t>
  </si>
  <si>
    <t>['bulan', 'jangkau', 'internet', 'wifi', 'jarak', 'meter', 'tehnisi', 'ubah', '']</t>
  </si>
  <si>
    <t>['renew', 'speed', 'susah', 'gabisa']</t>
  </si>
  <si>
    <t>['layan', 'buruk', 'janji', 'teknisi', 'telepon', 'customer', 'servis', 'lapor', 'kali', 'pindah', 'alamat', 'kerja']</t>
  </si>
  <si>
    <t>['aplikasi', 'tolong', 'kasih', 'notifikasi', 'tagih', 'enak', 'jaring', 'apa', 'saran', '']</t>
  </si>
  <si>
    <t>['gimana', 'login', 'masuk', 'nomor', 'indihome', 'notif', 'nmor', 'kenal', 'sistem', 'mohon', 'bantu']</t>
  </si>
  <si>
    <t>['', 'chek', 'area', 'maap', 'kosong', 'tugas', 'lapang', 'penuh', 'udh', 'daftar', 'mna', 'cancel']</t>
  </si>
  <si>
    <t>['fitur', 'renew', 'speednya', 'ngga', '']</t>
  </si>
  <si>
    <t>['aplikasi', 'bagus', 'tagih', 'bingung', 'real', 'time']</t>
  </si>
  <si>
    <t>['bang', 'loading', 'nanyak', 'knpa', 'eror', '']</t>
  </si>
  <si>
    <t>['telkom', 'the', 'best']</t>
  </si>
  <si>
    <t>['indihome', 'kualitas', 'turun', 'iring', 'banyak', 'pasang', 'kapasitas', 'batas', '']</t>
  </si>
  <si>
    <t>['useless']</t>
  </si>
  <si>
    <t>['jls']</t>
  </si>
  <si>
    <t>['top', 'internet', 'mandiri', 'nomor', 'virtual', 'accountnya', 'muncul', 'coba', 'ulang', 'ulang', 'kosong']</t>
  </si>
  <si>
    <t>['mantap', 'jiwa', 'langgan', 'setia', 'indihome', 'wifi', 'usse', '']</t>
  </si>
  <si>
    <t>['susah', 'pilih', 'channel', 'catchplay', '']</t>
  </si>
  <si>
    <t>['denda', 'time', 'gilir', 'jaring', 'lama', 'layan']</t>
  </si>
  <si>
    <t>['akurat', 'bagus']</t>
  </si>
  <si>
    <t>['indihome', 'mangkin', 'buruk', 'jaring', 'cuman', 'maka', 'laq', 'rugi', 'bayar', 'pernh', 'telat', 'udah', 'thn', 'pakai', 'wifi', 'indihome', '']</t>
  </si>
  <si>
    <t>['trobel', 'udah', 'ganti', 'mesin', 'maju', 'masalah', '']</t>
  </si>
  <si>
    <t>['mudah', 'hasil']</t>
  </si>
  <si>
    <t>['speed', 'smpe', 'mb', 'bayar', 'mb']</t>
  </si>
  <si>
    <t>['sod', 'mana', 'kak', 'hilang', 'tolong', 'baik', 'terima', 'kasih']</t>
  </si>
  <si>
    <t>['indihome', 'indah', 'mahal', 'doang']</t>
  </si>
  <si>
    <t>['oni', 'sinyal', 'troubl', '']</t>
  </si>
  <si>
    <t>['masuk', 'aplikasi']</t>
  </si>
  <si>
    <t>['daerah', 'jam', 'malam', 'jam', 'siang', 'mati', 'mahal']</t>
  </si>
  <si>
    <t>['layan', 'indihome', 'buruk', 'langgan', 'pasang', 'kasih', 'janji', 'palsu', 'disurvey', 'doang', 'akan', 'urus', 'masang', 'tolong', 'dipikirin', '']</t>
  </si>
  <si>
    <t>['jelek', 'main', 'game', 'ngeleg']</t>
  </si>
  <si>
    <t>['suka', 'backgroundnya', 'keren']</t>
  </si>
  <si>
    <t>['bintang', 'apps', 'susah', 'renew', 'speed', 'susah', 'kecewa']</t>
  </si>
  <si>
    <t>['lapor', 'ganggu', 'billing', 'tagih', 'manfaat']</t>
  </si>
  <si>
    <t>['profil', 'susah', 'diupdate']</t>
  </si>
  <si>
    <t>['sipppp']</t>
  </si>
  <si>
    <t>['add', 'speed', 'demandnya', '']</t>
  </si>
  <si>
    <t>['udah', 'minggu', 'pasang', 'pasang', 'iya', 'teknisi']</t>
  </si>
  <si>
    <t>['lumayan', 'bantu']</t>
  </si>
  <si>
    <t>['biasa', 'tanggal', 'jatuh', 'tempo', 'isolasi', 'baik', 'system', 'kerjasama', 'bank', 'dll', 'pas', 'tanggal', 'jatuh', 'tempo', 'bayar', 'jatuh', 'tempo', 'bayar', 'udah', 'putus', 'internet', 'udah', 'bayar', 'langsung', 'aktif', 'uber', 'uber', 'aktifin', 'baik', 'systemnya', 'main', 'putus', 'internet', 'nyaman']</t>
  </si>
  <si>
    <t>['ganggu', 'error', 'jaring', 'channelnya']</t>
  </si>
  <si>
    <t>['mudah', 'kerja', 'terkadang', 'lot', 'hehee', 'tetep', 'mantepp']</t>
  </si>
  <si>
    <t>['wifi', 'koneksi', 'ngga', 'lampu', 'indikator', 'los', 'nyala', 'merah', 'parah', 'banget', 'ngadu', 'aplikasi', 'ngadu', 'marketing', 'jalan', 'gimana', 'tangan', '']</t>
  </si>
  <si>
    <t>['pas', 'klik', 'adu', 'layan', 'failed', 'gilir', 'buka', 'menu']</t>
  </si>
  <si>
    <t>['fup', 'jalan', 'jalan', 'mentok', 'situ', 'situ']</t>
  </si>
  <si>
    <t>['mudah', 'kece', 'guna', 'indihome']</t>
  </si>
  <si>
    <t>['mudah', 'cek', 'tagih', 'bayar', 'tagih']</t>
  </si>
  <si>
    <t>['udah', 'wifi', 'rumah', 'jalan', 'alamat', 'ngadu', 'tanggap', 'hahahahahah']</t>
  </si>
  <si>
    <t>['lemoooooooot', 'sekaliiiiii']</t>
  </si>
  <si>
    <t>['jaring', 'wifi', 'retas', 'nama', 'anwar', 'suleman', 'nmr', 'rusak', 'ganti', '']</t>
  </si>
  <si>
    <t>['tampil', 'mantul']</t>
  </si>
  <si>
    <t>['lapor', 'ganggu', 'cepet']</t>
  </si>
  <si>
    <t>['daftar', 'susah', 'udah', 'isi', 'terang', 'salah', 'udah', 'bener']</t>
  </si>
  <si>
    <t>['aktif', 'non', 'aktif', 'paket', 'sedia', 'apl', '']</t>
  </si>
  <si>
    <t>['layan', 'lambat', 'aplikasi']</t>
  </si>
  <si>
    <t>['layan', 'indita', 'kecewa']</t>
  </si>
  <si>
    <t>['kembali', 'fitur', 'mana', 'guna', 'internet', 'indihome', '']</t>
  </si>
  <si>
    <t>['update', 'tpi', 'jaring', 'lelet', '']</t>
  </si>
  <si>
    <t>['bulan', 'signal', 'wifi', 'suka', 'lelet', 'loading', 'susah', 'buka', 'aplikasi', 'byr', 'telat', 'hari', 'langsung', 'blok', 'tolong', 'layan', 'tingkat']</t>
  </si>
  <si>
    <t>['app', 'layan', 'lambat']</t>
  </si>
  <si>
    <t>['udah', 'download', 'aplikasi', 'buka', 'bantu', 'nomor', 'layan', 'masuk', 'salah', 'gimana', 'udh', 'bayar', 'tagih', 'wifi', 'ngak']</t>
  </si>
  <si>
    <t>['powerfull']</t>
  </si>
  <si>
    <t>['aplikasi', 'sampah', 'lot', 'fiturnya', 'bantu', 'andal', '']</t>
  </si>
  <si>
    <t>['udah', 'bagus', 'mohon', 'tingkat', '']</t>
  </si>
  <si>
    <t>['late', 'respon', 'tindaklanjutnya', 'hari', 'libur', 'minggu', 'tolong', '']</t>
  </si>
  <si>
    <t>['aplikasi', 'lot', 'ganggu', 'melulu', 'usaha', 'jaring']</t>
  </si>
  <si>
    <t>['aplikasi', 'kemarin', 'updet', 'lot', 'super', 'banget', 'kaya', 'ngelag', 'bantu', 'chat', 'adu', 'telpon', 'putus', 'mulu', 'banjir', 'kantor', 'gan', '']</t>
  </si>
  <si>
    <t>['sinyal', 'stabil', 'jaring', 'luas', '']</t>
  </si>
  <si>
    <t>['aplikasi', 'bagus', 'pasang', 'indihome', 'plasa', 'telkom']</t>
  </si>
  <si>
    <t>['knp', 'aplikasi', 'susah', 'buka', '']</t>
  </si>
  <si>
    <t>['layan', 'payah', 'bayar', 'tagih', 'isolir', 'adu', 'pakai', 'aplikasi', 'aplikasi', 'lot', 'parah']</t>
  </si>
  <si>
    <t>['layan']</t>
  </si>
  <si>
    <t>['aplikasi', 'lot', 'banget']</t>
  </si>
  <si>
    <t>['jaring', 'hilang', 'bayar', 'bayar', 'wifi', 'aktif', '']</t>
  </si>
  <si>
    <t>['apalikasi', 'lot', 'susah', 'buka', 'provider', 'internet', 'besar', '']</t>
  </si>
  <si>
    <t>['indihome', 'buruk']</t>
  </si>
  <si>
    <t>['bayar', 'mahal', 'tingkat', 'layan', 'tolong', 'tinggal', 'langgan', 'eror', 'lelet', 'bayar', 'puas', 'layan', 'tolong', 'aplikasi', 'lelet', '']</t>
  </si>
  <si>
    <t>['wifi', 'rmh', 'alami', 'ganggu', 'kabel', 'gulung', 'tiang', 'kaga', 'perbaikin', 'secepet', 'proses', 'lumayan', 'abai', 'setia', 'indihome', 'taun', '']</t>
  </si>
  <si>
    <t>['aseli', 'cacad', 'aplikasi', 'ken', 'liat', 'tagih', 'speed', 'kbps', 'respons', 'server', 'buka', 'youtube', 'kenceng']</t>
  </si>
  <si>
    <t>['parah', 'login', '']</t>
  </si>
  <si>
    <t>['bugs', 'fixing', 'ngebug']</t>
  </si>
  <si>
    <t>['nama', 'komplen', 'aplikasi', 'erro', 'telpon', 'udah', 'bayar', 'layan', 'buruk', 'jaring', 'buruk', 'telat', 'hari', 'langsung', 'blokir']</t>
  </si>
  <si>
    <t>['aplikasi', 'bantu', '']</t>
  </si>
  <si>
    <t>['akses', 'diupdated', 'parah', 'aplikasi']</t>
  </si>
  <si>
    <t>['woi', 'bayar', 'stb', 'blokir', '']</t>
  </si>
  <si>
    <t>['tolong', 'sistem', 'baik', 'semenjak', 'apl', 'update', 'fiture', 'apl', 'kecewa', 'udh', 'update', 'apl', '']</t>
  </si>
  <si>
    <t>['jaring', 'indihome', 'buruk', 'kantor', 'rumah', 'buka', 'aplikasi', 'indihome', 'susah', 'buruk', 'jaring', 'indihome', 'gimana', 'lapor', 'layan', 'adu', '']</t>
  </si>
  <si>
    <t>['pilih', 'saran', 'pilih', 'indihome', 'layan', 'buruk', 'costumer', 'service', 'harga', 'mahal', 'kompetitor']</t>
  </si>
  <si>
    <t>['applikasi', 'indihome', 'update', 'lot', 'tampil', 'muncul', 'skali', 'mohon', 'maintenance', 'applikasi', '']</t>
  </si>
  <si>
    <t>['login', 'gilir', 'udh', 'masuk', 'muncul', 'data', 'dibanggain', '']</t>
  </si>
  <si>
    <t>['bagus', '']</t>
  </si>
  <si>
    <t>['jelek', 'loading']</t>
  </si>
  <si>
    <t>['bayar', 'disuspend', 'komplen', 'aplikasi', 'buka', 'loding', '']</t>
  </si>
  <si>
    <t>['', 'guna', 'adu', 'layan', 'pakai', 'bot', 'bayar', 'mahal', 'layan', 'buruk']</t>
  </si>
  <si>
    <t>['layan', 'adu', 'aplikasi', 'lot', 'loading', 'proses', 'turun', 'kualitas', 'layan', 'indihome', '']</t>
  </si>
  <si>
    <t>['informatif', 'mudah']</t>
  </si>
  <si>
    <t>['aplikasi', 'ter', 'ngelag', 'cek', 'tagih', 'logout', '']</t>
  </si>
  <si>
    <t>['aplikasi', 'usah', 'telkom', 'loading', 'lambat', 'mohon', 'kembang', 'telkomsel']</t>
  </si>
  <si>
    <t>['susah', 'akses', 'loding', 'trs', '']</t>
  </si>
  <si>
    <t>['bayar', 'langsung', 'otomatis', 'connect', 'konfirmasi', 'konfirmasi', 'langsung', 'connect', 'internetnya', 'tullisan', 'tehnologi', 'otomatis', 'indiehome', 'lambat', 'bayar', 'kena', 'denda', 'aju', 'denda', 'indiehome', 'lambat', 'connecting', 'internetnya', 'laku', 'bisnis', 'koneksi', 'internet', 'rugi', '']</t>
  </si>
  <si>
    <t>['aplikasi', 'lelet', 'banyak', 'loadingnya']</t>
  </si>
  <si>
    <t>['payah', 'indihome', 'bayar', 'internet', 'isolir', 'aju', 'adu', 'aplikasi', 'telfon', 'kompensasi', 'tobat', 'indihome']</t>
  </si>
  <si>
    <t>['wfi', 'rumah', 'eror', 'mohon', 'bantu', 'servic', 'bos', 'malam']</t>
  </si>
  <si>
    <t>['indihome', 'wifie', 'rumah', 'kemarin', 'sore', 'lampu', 'pon', 'kedip', 'kedip', 'merah', 'pagi', 'mati', 'total', 'tolong', 'tangan', '']</t>
  </si>
  <si>
    <t>['jaring', 'lot', 'harga', 'mahal', 'bayar', 'lancar']</t>
  </si>
  <si>
    <t>['beneran', 'kecewa']</t>
  </si>
  <si>
    <t>['malas', 'pakai', 'indihome', 'bulan', 'bayar', 'tetiba', 'komfirmasi', 'tambah', 'layan']</t>
  </si>
  <si>
    <t>['iya', 'komen', 'langgan', 'hub', 'susah', 'ektension', 'belit', 'kaya', 'birokrasi', 'langsung', 'dihub', 'baca', 'langgan', 'cari', 'solusi', 'selesai', 'udah', 'bayar', 'real', 'time', 'gimana', 'kesel', '']</t>
  </si>
  <si>
    <t>['koneksi', 'aplikasi', 'lambat', 'mohon', 'baik', 'buka', 'youtube', 'lancar', 'buka', 'myindihome', 'lambat', '']</t>
  </si>
  <si>
    <t>['maaf', 'telat', 'bayar', 'lupa', 'bayar', 'hubung', 'sambung', 'sulit', 'aplikasi', 'banyak', 'menu', 'guna', 'banyak', 'promo', 'layan', 'lambat', 'buruk']</t>
  </si>
  <si>
    <t>['layan', 'lambat', 'bayar', 'tagih', 'bulan', 'bayar', 'tagih', 'internet', 'hidup', 'mati', 'down', 'bayar', 'mudah', 'usaha', 'lbh', 'profesional', 'layan', 'langgan', 'tks']</t>
  </si>
  <si>
    <t>['tolong', 'baik', 'layan', 'adu', 'call', 'center', 'aplikasi', 'akses', 'mudah', 'loading', 'koneksi', 'layan', 'adu', 'buruk', '']</t>
  </si>
  <si>
    <t>['aplikasi', 'gaguna', 'jelasjelas', 'indihime', 'bilng', 'terdaftr', '']</t>
  </si>
  <si>
    <t>['aplikasi', 'jelek']</t>
  </si>
  <si>
    <t>['lot', 'banget', 'sumpah']</t>
  </si>
  <si>
    <t>['sinyal', 'mati', 'aplikasi', 'adu', 'lag', 'langgan', 'indihome', 'kyk', 'gin', 'layan']</t>
  </si>
  <si>
    <t>['aplikasi', 'bayar', 'bulan', 'aplikasi', 'tulis', 'suruh', 'bayar', 'tanggal', 'februari', 'sempurna', 'aplikasi', 'aplikasi']</t>
  </si>
  <si>
    <t>['gimna', 'stelah', 'baru', 'aplikasi', 'indihomenya', 'bis', 'liat', 'rincin', 'bayar', 'msih', 'bagus', 'aplikasi', 'sblumnya', 'baru', 'sulit', 'erti', 'indihome', 'mahal', 'doank', 'jaringanya', 'lambat', 'bngt', 'pdahal', 'udh', 'pakai', 'kapasitas', 'sblumnya', 'tlat', 'bayar', 'bru', 'telat', 'hari', 'trus', 'lngsung', 'bayar', 'eeeh', 'jaring', 'udh', 'akses', 'ajh', 'tlong', 'donk', 'indihome', 'harap', 'baik', 'smuanya', 'kecewa', 'langgan', 'prgi', 'lho', '']</t>
  </si>
  <si>
    <t>['coba', 'saing', 'wifi', 'pilih', 'drpd', 'indihome', 'kecewa']</t>
  </si>
  <si>
    <t>['bayar', 'mas', 'cepet', 'isolir', 'pas', 'orang', 'udah', 'bayar', 'cepet', 'buka', 'udh', 'lambat', 'jaring', 'lot', 'skrg', 'bayar', 'mahal', '']</t>
  </si>
  <si>
    <t>['indihome', '']</t>
  </si>
  <si>
    <t>['mantep']</t>
  </si>
  <si>
    <t>['good', 'interaction', 'and', 'deducation', '']</t>
  </si>
  <si>
    <t>['download', 'bantu', 'gampang', 'sulit', 'kasi', 'rating', 'udah', 'kasi', 'bintang', '']</t>
  </si>
  <si>
    <t>['bagus', 'layan', 'apalikasi', 'indihome', 'tingkat', 'layan', 'ganguan', 'proses', 'adu', 'baik', 'cepat', 'proses', 'kerja', 'karna', 'bayar', 'ganguan', 'atas', 'cepat', 'tunda', 'hari', 'uang', 'trimaksi']</t>
  </si>
  <si>
    <t>['', 'byr', 'indihome', 'sampe', 'skrg', 'internet', 'blm', 'alami', 'hrs', 'byr', 'lsg', 'otomatos', 'pakai', 'internet', 'mlh', 'tlp', 'sampe', 'skrg', 'blm', 'internet', 'mhn', 'kerja', 'tuk', 'indihome', 'byr', 'mahal', 'layan', 'mlh', 'bener', 'pasang', 'internet', 'anak', 'kuliah', 'sekolah', 'daring', 'mlh', 'lambat', 'layan', 'mksh']</t>
  </si>
  <si>
    <t>['bantu', 'bayar', 'kurang', 'deteksi', 'guna', 'wifi']</t>
  </si>
  <si>
    <t>['asli', 'aplikasi', 'myindihome', 'kesel', 'ganggu', 'aneh', 'gimana', 'maju', 'aplikasi', 'ganggu', 'dipake', 'parah', 'errors', 'login', 'ganggu', 'kali', 'susah', 'login', 'masuk', 'aplikasi', 'myindihome', 'tolong', 'baik', 'sdm', 'terima', 'kasih', 'merespon', '']</t>
  </si>
  <si>
    <t>['oengguna', 'indihome', 'ksni', 'aneh', 'cepat', 'internet', 'buruk', 'kadang', 'los', 'kali', 'lapor', 'cepat', 'mbps', 'cepat', 'ksni', 'mahal', 'pakai', 'mbps', 'rincian', 'bayar', 'aplikasi', 'naik', 'biaya', 'males', 'pakai', 'indihome', 'server', 'msk', 'mngkin', 'langsung', 'pindah', 'gin', '']</t>
  </si>
  <si>
    <t>['bantu', 'teknis', 'ganggu', 'indihome', 'kontak', 'teknisi', 'indihome', 'khusus', 'tanggerang', 'selatan']</t>
  </si>
  <si>
    <t>['internet', 'bumn', 'buruk', 'bobrok', 'ambil', 'alat', 'indihome', 'semena', 'kecewa', 'indihome']</t>
  </si>
  <si>
    <t>['goooooddddd']</t>
  </si>
  <si>
    <t>['tingkat', 'kwlitas', 'jaring']</t>
  </si>
  <si>
    <t>['tolong', 'indihome', 'baik', 'sinyal', 'kya', 'gin', 'rusak', 'jaring', 'lelet', 'gaming', 'susah', 'kaya', 'langgan', 'tahun', 'tmbah', 'rusak', 'jringan', 'mahal', 'tolong', 'baik', '']</t>
  </si>
  <si>
    <t>['login', 'kog', 'ngg', 'masuk', 'mohon', 'tunjuk']</t>
  </si>
  <si>
    <t>['tolong']</t>
  </si>
  <si>
    <t>['langgan', 'layan', 'buruk', 'teknisi', 'kayak', 'tanggung', 'low', 'respon', 'bener', 'kerja', 'najis', 'deh', 'moga', 'koneksi', 'internet', 'lancar', 'main', 'game', 'lag', 'ping', '']</t>
  </si>
  <si>
    <t>['internet', 'indihome', 'rumah', 'putus', 'ganggu', 'kerja', 'kali', 'teknisi', 'hubung', 'respon', 'bingung', 'ngapain', '']</t>
  </si>
  <si>
    <t>['aplikasi', 'bayar', 'tagih', 'terimakasiii']</t>
  </si>
  <si>
    <t>['kali', 'main', 'game', 'knp', 'sinyal', 'jelek']</t>
  </si>
  <si>
    <t>['tolong', 'internetnya', 'liat', 'youtube', 'ngak', 'leg', 'knp', 'pass', 'main', 'leg', 'tolonggggg', 'baik', 'pakk', 'baik', 'internet', 'bayar', 'mahal', 'mahal', 'oky']</t>
  </si>
  <si>
    <t>['', 'mbps', 'pakai', 'data', 'status', 'wifi', 'internet', 'deposit', 'internetnya', 'nyala', 'ujung', 'hotspot', 'kerja', 'harga', 'banding', 'kualitas', '']</t>
  </si>
  <si>
    <t>['lag', 'bangett']</t>
  </si>
  <si>
    <t>['aplikasi', 'rumit', 'verifikasi']</t>
  </si>
  <si>
    <t>['provider', 'jelek', 'sinyal', 'buruk', 'bayar', 'mahal', 'gin']</t>
  </si>
  <si>
    <t>['', 'baru', '']</t>
  </si>
  <si>
    <t>['nama', 'update', 'mulu', 'ganti', 'mulu', 'kaya', 'kerja', 'devnya']</t>
  </si>
  <si>
    <t>['trouble']</t>
  </si>
  <si>
    <t>['cuman', 'ngasih', 'udah', 'langgan', 'indihome', 'bagus', 'kesini', 'jelek', 'pas', 'complain', 'bilang', 'restart', 'udah', 'restart', 'kali', 'ngelag', 'kecewa', 'layan', 'kaya', 'gin', '']</t>
  </si>
  <si>
    <t>['internet', 'lambat', 'banget', 'layan', 'mbps', 'serasa', 'mbps', 'download', 'upload', 'main', 'game', 'lambat']</t>
  </si>
  <si>
    <t>['cek', 'pakai', 'data', '']</t>
  </si>
  <si>
    <t>['nice', 'shot', '']</t>
  </si>
  <si>
    <t>['kalok', 'update', 'app', 'ngaruh', 'cepat', 'wifinya', 'nyuruh', 'update', 'makasa', 'kalok', 'buka', 'aplikasi']</t>
  </si>
  <si>
    <t>['jaring', 'ganggu', 'hujan', 'kapok']</t>
  </si>
  <si>
    <t>['aplikasi', 'bantu', 'informasi', 'tagih', 'bayar']</t>
  </si>
  <si>
    <t>['bosok', 'pelayananya', 'lapor', 'kabel', 'timpa', 'pohon', 'tangni', 'lintang', 'jalan', 'bahaya', 'guna', 'jalan', 'raya', 'petugasya', 'lapang', 'kopoken']</t>
  </si>
  <si>
    <t>['login', 'aplikasi', 'myindihome', 'kartu', 'gsm', 'blokir', 'mohon', 'solusi']</t>
  </si>
  <si>
    <t>['aplikasi', 'bermanfat', 'guna', 'indihome', 'ngecek', 'tagih', 'pakai', 'internet', 'langsung', 'aplikasi']</t>
  </si>
  <si>
    <t>['aplikasi', 'seringkali', 'error', 'speed', 'demand', 'susah', 'renew', 'gin', 'langgan', 'kecewa', 'pindah', 'provider', '']</t>
  </si>
  <si>
    <t>['very', 'good']</t>
  </si>
  <si>
    <t>['bagus', 'suka', 'manfaat']</t>
  </si>
  <si>
    <t>['mmudahkan', 'cek', 'billing', 'tagih', 'tagih', 'bayar']</t>
  </si>
  <si>
    <t>['aplikasi', 'jelek', 'renew', 'speed', 'sod', 'kadang', 'kadang', 'kayak', 'sulit', 'alih', 'isp', '']</t>
  </si>
  <si>
    <t>['tanggap', 'keluh', 'moga', 'maju']</t>
  </si>
  <si>
    <t>['tampil', 'bagus', 'aplikasi', 'berat', 'buka', 'tolong', 'bik', 'kak', '']</t>
  </si>
  <si>
    <t>['doang', 'nyediain', 'layan', 'tukar', 'poin', 'banyak', 'kebake', 'layan', 'bandara', 'terima', 'access', 'lounge', 'sayang', 'banget']</t>
  </si>
  <si>
    <t>['jaring', 'indihome', 'bagus']</t>
  </si>
  <si>
    <t>['langgan', 'indihome', 'hati', 'sabar', 'sabar', 'doa', 'dapet', 'rezeki', 'ganti', 'provider', 'laen', 'bintang', 'baca', 'ama', 'laen', 'bulan', 'kali', 'error', 'lampu', 'dop', 'merah', 'dibenerin', 'brp', 'rugi', 'beli', 'pulsa', 'paket', 'keluarga', 'sabr', 'sabr', 'sabr']</t>
  </si>
  <si>
    <t>['kapok', 'manis', 'awal', 'pahit']</t>
  </si>
  <si>
    <t>['ganggu', 'adu', 'bolak', 'balok', 'tanggap', 'suruh', 'tungu', 'tunggu', 'tunggu', '']</t>
  </si>
  <si>
    <t>['ampas']</t>
  </si>
  <si>
    <t>['update', 'jelek']</t>
  </si>
  <si>
    <t>['suka', 'fitur', 'baru', 'fitur', 'download', 'resi', 'tagih', 'hilang', 'mohon', 'tambah', 'download', 'kwitansi', 'aplikasi', 'indihome']</t>
  </si>
  <si>
    <t>['jelek', 'lot', 'aplikasi', 'jaring', 'bagus']</t>
  </si>
  <si>
    <t>['renew', 'speed', 'kuota', 'habis', 'kena', 'fup', 'speed', 'lambat', 'renew', 'renew', 'sistem', 'hapus', 'mohon', 'bantu', 'min']</t>
  </si>
  <si>
    <t>['betulin', 'woi', 'jaring', 'bener', 'main', 'lag']</t>
  </si>
  <si>
    <t>['oke', 'bangus', 'banget', '']</t>
  </si>
  <si>
    <t>['indihome', 'sinyal', 'kayak', 'gin', 'ayah', 'udah', 'bayar', 'saldo', 'ngelag']</t>
  </si>
  <si>
    <t>['jaring', 'buruk', 'lot']</t>
  </si>
  <si>
    <t>['mksh', 'indihome', 'playananya', 'coba', 'sinyal', 'baik', 'turun']</t>
  </si>
  <si>
    <t>['banget', 'isolir', 'bayar', 'udah', 'kali', 'isolir', 'gimana', 'minggu', 'pakai', 'itu', 'kadang', 'mati', 'isolir', 'haduhh']</t>
  </si>
  <si>
    <t>['ganti', 'email', 'aplikasi', 'gmn', '']</t>
  </si>
  <si>
    <t>['coba', 'sod', 'transfer', 'indihome', 'terang', 'aplikasi', 'gagal', 'drefund', 'dompet', 'aplikasi', 'nyata', 'zonk', 'coba', 'renew', 'gagal', 'usaha', 'zzzztttt', 'ahhhh', 'ikhlas', 'uang', '']</t>
  </si>
  <si>
    <t>['tingkat', 'layan', 'maintenance', 'didik', 'langgan']</t>
  </si>
  <si>
    <t>['mantul', 'aplikasi', 'myindihome', 'kece', 'good']</t>
  </si>
  <si>
    <t>['mohon', 'koreksi', 'aplikasi', 'myindihome', 'guna', 'internetnya', 'nggak', 'jalan', 'nggak', 'ubah', '']</t>
  </si>
  <si>
    <t>['wifinya', 'kencang', 'saking', 'kencang', 'ngelag', 'patah', 'patah', 'terima', 'kasih', 'indihome']</t>
  </si>
  <si>
    <t>['alhamdulillah', 'udah', 'baik', 'sukses']</t>
  </si>
  <si>
    <t>['sngat', 'rekomendasi', 'sinyal', 'parah', 'lag', 'terossss']</t>
  </si>
  <si>
    <t>['tolong', 'indihome', 'tagih', 'rb', 'dlm', 'jangka', 'wkt', 'tolong', 'info']</t>
  </si>
  <si>
    <t>['aplikasi', 'bantu', 'langgan', 'indihome', 'transaksi', 'terima', 'kasih', '']</t>
  </si>
  <si>
    <t>['ken', 'promo', 'sod', 'brooo', 'hahaaa']</t>
  </si>
  <si>
    <t>['bantu', 'tampil', 'mudah', 'erti', 'ribet']</t>
  </si>
  <si>
    <t>['mudah', 'nambah', 'add', '']</t>
  </si>
  <si>
    <t>['great', 'apps']</t>
  </si>
  <si>
    <t>['parah', 'sinyal', 'harga', 'mahal', 'jaring', 'jelek', 'merk', 'pasang']</t>
  </si>
  <si>
    <t>['ganggu', '']</t>
  </si>
  <si>
    <t>['keluh', 'jawab']</t>
  </si>
  <si>
    <t>['loading', 'ndak', 'script', 'ngelag', 'loading']</t>
  </si>
  <si>
    <t>['okeeeeeee']</t>
  </si>
  <si>
    <t>['layan', 'langgan', 'puas']</t>
  </si>
  <si>
    <t>['mohon', 'maaf', 'indihome', 'adu', 'koneksi', 'jaring', 'ganggu', 'cepat', 'akses', 'internet', 'lambat', 'you', 'tube', 'main', 'game', 'ngelag', 'terimakasih']</t>
  </si>
  <si>
    <t>['not', 'recommended', 'mending', 'mikir', 'pasang', 'buruk', 'pokok', 'gaming', 'mending', 'masang', 'nyesel', '']</t>
  </si>
  <si>
    <t>['woy', 'harga', 'mahal', 'sesuai', 'jaring', 'ngapain', 'jelek', 'banget']</t>
  </si>
  <si>
    <t>['tolong', 'masuk', 'nomer', 'indihome', 'valid', 'isi', 'nomer', 'indihome']</t>
  </si>
  <si>
    <t>['', 'niat', 'aplikasi']</t>
  </si>
  <si>
    <t>['kecewa']</t>
  </si>
  <si>
    <t>['selesai']</t>
  </si>
  <si>
    <t>['hadewww', 'jaring', 'koq', 'banget', 'lelet', 'segitu', 'mampu', 'indihome', 'lho', 'banyar']</t>
  </si>
  <si>
    <t>['pasang', 'wifi', 'indihome', 'bayar', 'pasang', 'tanggal', 'februari', 'trobel', 'gara', 'modem', 'nokia', 'yng', 'tangan', 'gara', 'tunggu', 'modem', 'pakai', 'mudah', 'rusak', 'tolong', 'layan', 'baik', '']</t>
  </si>
  <si>
    <t>['kembali', 'aplikasi', 'update', 'hank', 'buka', 'detail', 'ampun', 'lamanyaa', 'baik', 'layan', '']</t>
  </si>
  <si>
    <t>['wifi', 'lancar', 'banget', '']</t>
  </si>
  <si>
    <t>['wifi', 'kahhh', '']</t>
  </si>
  <si>
    <t>['baiksekali']</t>
  </si>
  <si>
    <t>['internetnya', 'ganggu', 'kasih', 'bintang']</t>
  </si>
  <si>
    <t>['gila', 'pasang', 'lancar', 'jos', 'lag', 'pas', 'ngelag', 'parah', 'bayar', 'serng', 'ganggu', 'internet', 'lot', 'gua', 'kecewa', 'bayar', 'mahal', 'ngelag']</t>
  </si>
  <si>
    <t>['ganggu', 'mulu']</t>
  </si>
  <si>
    <t>['okey']</t>
  </si>
  <si>
    <t>['jaring', 'jaring', 'buruk', 'indonesia', 'mentang', 'bsa', 'akses', 'dmana', 'kasih', 'harga', 'speed', 'rendah', 'imbang', 'harga', 'kaya', 'rampok', 'gamers', 'indonesia', 'rekomendasi', 'pakai', 'jaring', 'paket', 'phoenix', 'dll', 'goda', 'paket', 'indihome', 'blang', 'terima', 'kasih', 'feedback', 'baik', 'jaring', 'ratting', 'rendah', 'wajar', '']</t>
  </si>
  <si>
    <t>['tolong', 'baik', 'jaring', 'customer', 'kecewa', 'ambil', 'mb', 'rumah', 'kenceng', 'jaring', 'muter', 'lancar', 'jam', 'malam', 'jam', 'pagi', 'emosi', 'sesuai', 'telat', 'bayar', 'kena', 'denda', 'layan', 'kaya', 'gin', 'rumah', 'desa', 'rasa', 'tolong', 'pengertianya', 'mending', 'pindah', 'langgan', '']</t>
  </si>
  <si>
    <t>['transaksi', 'sod', 'gagal', 'transfer']</t>
  </si>
  <si>
    <t>['layan', 'cepat', 'tanggap']</t>
  </si>
  <si>
    <t>['bagus', 'banget']</t>
  </si>
  <si>
    <t>['aplikasi', 'anjing', '']</t>
  </si>
  <si>
    <t>['akwoakwok', 'otw', 'nabung', 'pindah', 'belah', '']</t>
  </si>
  <si>
    <t>['indihome', 'lodingnya', '']</t>
  </si>
  <si>
    <t>['tolong', 'tambah', 'login', 'via', 'email', 'pasword', 'otp', 'nomor', 'hilang', 'woi']</t>
  </si>
  <si>
    <t>['indihome', 'dsini', 'ubah', 'ganggu', 'sinyal', 'motor', 'dikit', 'ganggu', 'getar', 'langsung', 'dtratis', 'nyaman', 'thn', '']</t>
  </si>
  <si>
    <t>['', 'guys', 'mudah']</t>
  </si>
  <si>
    <t>['indihome', 'tolol', 'bayar', 'doang', 'mahal', 'wifi', 'lot']</t>
  </si>
  <si>
    <t>['oke', '']</t>
  </si>
  <si>
    <t>['tingkat', 'layan']</t>
  </si>
  <si>
    <t>['nice', 'banget', 'mah']</t>
  </si>
  <si>
    <t>['mantab', 'pasang']</t>
  </si>
  <si>
    <t>['wifi', 'kali', 'minggu', 'hubung', 'internet', '']</t>
  </si>
  <si>
    <t>['terimakasih', 'indihome', '']</t>
  </si>
  <si>
    <t>['aju', 'putus', 'udah', 'bayar', 'denda', 'device', 'ambil', 'ambil', 'jadwal']</t>
  </si>
  <si>
    <t>['tempat', 'bayar', 'rb', 'ganggu', 'kompetitor', 'paksa', 'pakai', 'indihome', 'kompetitor', 'pindah', 'layan', '']</t>
  </si>
  <si>
    <t>['buka', 'menu', 'status', 'putih', 'doang']</t>
  </si>
  <si>
    <t>['aplikasi', 'praktis', 'beli', 'add', 'minipack', 'sesuai', 'butuh', 'mantapp']</t>
  </si>
  <si>
    <t>['langsung', 'ngecek', 'tagih', 'pakai', 'internet', 'aplikasi', 'praktis', 'mudah']</t>
  </si>
  <si>
    <t>['buruk', 'ngehang']</t>
  </si>
  <si>
    <t>['bantu', '']</t>
  </si>
  <si>
    <t>['sayang', 'banget', 'indihome', 'ngapain', 'gampang', 'banget', 'karna', 'aplikasi']</t>
  </si>
  <si>
    <t>['bayar', 'tagih', 'dapet', 'poin', 'mantappp']</t>
  </si>
  <si>
    <t>['aplikasi', 'udah', 'oke', 'tambahin', 'promo', 'promo', 'donggg']</t>
  </si>
  <si>
    <t>['aplikasi', 'gampang', 'banget', 'deh', 'bayar', 'tagih', 'gampang']</t>
  </si>
  <si>
    <t>['alert', 'fup', 'abis', 'cepet', 'bayar', 'tagih', 'mantap']</t>
  </si>
  <si>
    <t>['user', 'friendly']</t>
  </si>
  <si>
    <t>['tolong', 'bates', 'fup', 'nurun', 'kemarin', 'gb', 'dpt', 'notif', 'lambat', 'gb', 'udh', 'dpt', 'motif', 'lambat', 'aneh', 'banget', 'tolong', 'kasih', 'info', 'paket', 'indihome', 'main', 'main', 'kerja', 'indihome', 'kelas', 'online', 'gara', 'lot', 'nauzubillah', '']</t>
  </si>
  <si>
    <t>['gokil', 'aplikasi', 'myindihome', 'gaada', 'lawan', 'kerennn']</t>
  </si>
  <si>
    <t>['layan', 'buruk', 'jaring', 'lelet', 'indihome', 'sampah']</t>
  </si>
  <si>
    <t>['bagus', 'manfaat', '']</t>
  </si>
  <si>
    <t>['layan', 'muas', 'coba', 'lapang', 'gerak', 'cepat']</t>
  </si>
  <si>
    <t>['indihome', 'hormat', 'tolong', 'layan', 'customer', 'tingkat', 'jaring', 'lelet', 'telkomsel', '']</t>
  </si>
  <si>
    <t>['koneksi', 'jelek', 'pasang', 'indihome', 'rumah', 'perangkat', 'lagg', 'upgrede', 'lagg', 'sepet', 'pakai', 'kartu', 'jaring', 'seluler', 'koneksi', 'wifi', 'indihome', 'upgrede', 'kemaren', 'lot']</t>
  </si>
  <si>
    <t>['', 'incredible', 'brooo', 'gokil', 'servicenya', '']</t>
  </si>
  <si>
    <t>['fiturnya', 'lengkap', 'mudah', 'hahaaa']</t>
  </si>
  <si>
    <t>['mantul', 'dahh', 'tinggal', 'transfer', 'applikasi', 'beres']</t>
  </si>
  <si>
    <t>['ohhh', 'gin', 'pakenya', 'gampang', 'bantu', 'banget', 'bayar']</t>
  </si>
  <si>
    <t>['ngirim', 'verifikasi', 'akun', 'banget', 'lola', 'kayak', 'jaring', 'internetnya', '']</t>
  </si>
  <si>
    <t>['enak', 'lapor', 'ganggu', 'lapor', 'aplikasi', 'terima', 'kasih']</t>
  </si>
  <si>
    <t>['neng', 'myindihome', 'mudah', 'langgan', 'indihome', '']</t>
  </si>
  <si>
    <t>['layan', 'indihome', 'muas', '']</t>
  </si>
  <si>
    <t>['layan', 'buruk']</t>
  </si>
  <si>
    <t>['duhhhh', 'ribet']</t>
  </si>
  <si>
    <t>['ancur', 'jaring', 'parah', 'nyesel', 'produk']</t>
  </si>
  <si>
    <t>['', 'stabil', 'mas', 'jaring', 'nyaa', 'turun', 'terusss']</t>
  </si>
  <si>
    <t>['tolong', 'mulu', 'turun', 'turun', 'koneksi', 'ingus', 'tolong', 'baik', 'diread', 'maksimal', 'koneksi', '']</t>
  </si>
  <si>
    <t>['gimana', 'jelek', 'tur', 'ngirim', 'ulang', 'jawabanya', 'kirim', 'cuman', 'sinyal', 'jelek', 'saran', 'pakai', 'wifi', 'mending', 'home', 'lai', 'nyesel']</t>
  </si>
  <si>
    <t>['langgan', 'kecewa', 'bayar', 'koneksi', 'internet', 'buruk', 'nilai', 'gin', 'maaf', '']</t>
  </si>
  <si>
    <t>['sinyal', 'burik']</t>
  </si>
  <si>
    <t>['hebat', 'indihome', 'nonton', 'dakor', 'jam', 'jam', 'hebat', 'indihome', 'main', 'game', 'jaring', 'indihome', 'temen', 'gue', 'nge', 'musuhin', 'gue', 'hebat', 'indihome', 'gua', 'kirim', 'video', 'notifikasi', 'menit', 'serasa', 'menit', 'neraka', 'hebat', 'indihome', 'keluarga', 'stress', 'jaring', 'jelek', 'mulu', 'rumah', 'gua', 'orang', 'hebat', 'sunguh', 'hebat']</t>
  </si>
  <si>
    <t>['aplikasi', 'berat', 'pas', 'kali', 'buka', 'henti', 'mohon', 'baik', 'respon', 'tangan', 'lambat', '']</t>
  </si>
  <si>
    <t>['hallo', 'rincian', 'tagih', 'riwayat', 'bayar', 'download', '']</t>
  </si>
  <si>
    <t>['jaring', 'busuk']</t>
  </si>
  <si>
    <t>['adakan', 'fitur', 'kick', 'org', 'connect']</t>
  </si>
  <si>
    <t>['addon', 'menu', 'pack', 'eror', 'gmn', 'neh', '']</t>
  </si>
  <si>
    <t>['tolong', 'update', 'bayar', 'real', 'time', 'bayar', 'aplikasi', 'muncul', 'tagih', 'komplain', 'revisi', 'tagih', 'fitur', 'payment', 'alfa', 'indomart', 'langgan', 'mudah', 'langgan', 'bayar', 'mahal', 'layan', 'kelas', 'hotel', 'melati', '']</t>
  </si>
  <si>
    <t>['tampil', 'harsunya', 'rincian', 'tagih', '']</t>
  </si>
  <si>
    <t>['enak', 'udah', 'kasih', 'informasi', 'coba', 'notifikaainya', 'aktif', 'tawar']</t>
  </si>
  <si>
    <t>['manteb', 'updatenya']</t>
  </si>
  <si>
    <t>['bayar', 'tagih', 'knapa', 'tagih', 'muncul', 'telat', 'bayar', 'tagih']</t>
  </si>
  <si>
    <t>['sampah']</t>
  </si>
  <si>
    <t>['payah', 'ganti', 'nomor', 'handphone', 'suruh', 'nunggu', 'operator', 'nelpon', 'tunggu', 'nelpon', 'login']</t>
  </si>
  <si>
    <t>['pusing']</t>
  </si>
  <si>
    <t>['bad', 'app', 'ngelag', 'parah']</t>
  </si>
  <si>
    <t>['pusing', 'pusing', 'aplikasi', 'baru', 'erorr', 'buka', 'aplikasi', 'nggak', 'login', 'alkhamdulillah', 'log', 'moga', 'tingkat', 'aplikasi', 'enteng', 'ngebukanya']</t>
  </si>
  <si>
    <t>['praktis', 'mudah']</t>
  </si>
  <si>
    <t>['aplikasi', 'myindihome', 'aktivasi', 'saldo', 'myindihome', 'sod', 'suruh', 'aktivasi', 'saldo', 'sod']</t>
  </si>
  <si>
    <t>['kecewa', 'udah', 'bagus', '']</t>
  </si>
  <si>
    <t>['', 'mantabz', '']</t>
  </si>
  <si>
    <t>['lapor', 'ganggu', 'mudah', 'banget', 'mantap']</t>
  </si>
  <si>
    <t>['login', 'trus', 'engga', 'masuk', 'payah', 'gimana', 'upgrade', 'jaring']</t>
  </si>
  <si>
    <t>['background', 'ganti', 'ganti', 'keren', '']</t>
  </si>
  <si>
    <t>['udah', 'daftar', 'indihome', 'verifikasi', 'customer', 'service', 'pasang', 'teknisi', 'minggu', 'teknisi', 'alas', 'odp', 'penuh', 'cek', 'website', 'daerah', 'sedia', 'liat', 'odp', 'teroasang', 'teknisi', 'males', 'gimana', 'tolong', 'indihome', 'tegur', 'karyawannya', 'emang', 'kerja', 'kerja', 'teknisi', 'dftr', 'via', 'sales', 'aju', 'plz', 'telkom', 'slawi']</t>
  </si>
  <si>
    <t>['ngebantu', 'banget', 'emang', 'better', 'informasi', 'tagih', 'rinciannya', 'gitu', 'moga', 'masuk', 'terima', 'thanks', '']</t>
  </si>
  <si>
    <t>['cek', 'cek', 'total', 'divice', 'seamles', 'hubung', 'mantap']</t>
  </si>
  <si>
    <t>['lapor', 'ganggu', 'apss', 'langsung', 'cepet', 'atas']</t>
  </si>
  <si>
    <t>['suka']</t>
  </si>
  <si>
    <t>['keluh', 'kesah', 'indihom', 'telcom', 'layan', 'costumer', 'langgan', 'ekspedisi', 'jam', 'kantor', 'langgan', 'udah', 'acc', 'pasang', 'telcom', 'kirim', 'pesan', 'costumer', 'servis', 'jawab', 'mohon', 'sabar', 'proses', 'sabar', 'udah', 'sabar', 'sales', 'tanggung', 'kecewa', 'udah', 'sma', 'telcom']</t>
  </si>
  <si>
    <t>['aplikasi', 'udah', 'bagus', 'dar', 'masuk', 'info', 'detail', 'tagih', 'muncul', '']</t>
  </si>
  <si>
    <t>['minim', 'bugs', 'cepet', 'akses', 'ngebantu', 'maanjiw']</t>
  </si>
  <si>
    <t>['sinyal', 'download', 'alami', 'lag', 'mbps', 'lag', 'tros', 'niat', 'kasih', 'sinyal', 'yaudah', 'gausah']</t>
  </si>
  <si>
    <t>['terkadang', 'lot', 'aplikasi', 'bagus']</t>
  </si>
  <si>
    <t>['mantap', 'jiwaaaaaaaaa']</t>
  </si>
  <si>
    <t>['mantap', 'aplikasi', 'bantu', 'banget']</t>
  </si>
  <si>
    <t>['buruk', 'hujan', 'habis', 'hujan', 'jaring', 'down', 'internet', 'kecewa']</t>
  </si>
  <si>
    <t>['', 'login']</t>
  </si>
  <si>
    <t>['moga', 'maju', 'indihomeee']</t>
  </si>
  <si>
    <t>['semenjak', 'download', 'aplikasi', 'mudah', 'banget', 'wfh']</t>
  </si>
  <si>
    <t>['lapor', 'ganggu', 'cepet', 'bener', 'alhamdulillah', 'teknisi', 'langsung']</t>
  </si>
  <si>
    <t>['gin', 'lancar', 'enak', 'mantapppp', 'jaya']</t>
  </si>
  <si>
    <t>['aplikasi', 'cek', 'usage', 'rumah', 'lumayan']</t>
  </si>
  <si>
    <t>['cek', 'fup', 'aplikasi']</t>
  </si>
  <si>
    <t>['', 'aplikasi', 'skrng', 'tagih', 'telepon', 'smua', 'include', 'internet', 'tlpon', 'jarang', 'dipke', 'ledak', 'tagih', 'ckck', 'knp', 'detail', 'tagih', 'dimunculin', '']</t>
  </si>
  <si>
    <t>['gimana', 'sampe', 'gabisa', 'bayar', 'jamin', 'deposit', 'alfa', 'terang', 'tagih', 'temu', 'kendala', 'pasang', 'indihome', 'pasang', 'teknisi', 'pasang', 'skarang', 'bayar', 'jamin', 'susah', 'banget', 'internet', 'nyala', 'produk', 'jgaa', '']</t>
  </si>
  <si>
    <t>['masuk', 'sulit']</t>
  </si>
  <si>
    <t>['nice', 'good']</t>
  </si>
  <si>
    <t>['magrib', 'ampe', 'jam', 'blom', 'daftar', 'data', 'personal', 'satu', 'salah', 'huruf']</t>
  </si>
  <si>
    <t>['sngat', 'istimewa', 'indihome', 'nyaman', 'and', 'lancar', 'kasih', '']</t>
  </si>
  <si>
    <t>['internet', 'los', 'buka', 'indihome', 'layan', 'udah', 'utak', 'atik', 'los', 'pas', 'adu', 'kirim', 'error', 'hebaaaat', 'sekali', 'andaaaa', '']</t>
  </si>
  <si>
    <t>['jellleeeee', 'eeeeeeeeekkkkkkkk', 'sumpah', 'jelekkkkkkkkk', 'jaring', 'laggggggggggg', 'lagggggggg', 'lagggggg', 'main', 'game', 'mantaaappppppp']</t>
  </si>
  <si>
    <t>['adu', 'layan', 'indihome', 'jam', '']</t>
  </si>
  <si>
    <t>['knp', 'malem', 'suka', 'nge', 'lag', 'trus', 'kecewa', 'banget', 'indihome', 'main', 'game', 'nge', 'lag', 'nonton', 'anime', 'ngelag', 'astaga', 'kecewa', '']</t>
  </si>
  <si>
    <t>['astagfirullah', 'wifi', 'sumpah', 'saranin', 'pakai', 'indihome', 'pakai', 'indihome', 'streesss', 'kotor', 'dosa', 'plss', 'pakai', 'indihome', 'laghhhhhhhhhhhhhhhhhhh', 'nyaaaaaaaaaa', 'parahhhhhhhhhhhhhhhhhhhhg', 'astgaaaaaaaaaaaaaaaa', 'anggota', 'indihome', 'menang', 'cangkem', 'pas', 'nawarin', 'indihome', 'cangkemnya', 'sinyal', 'lancar', 'buk', 'mas', 'kak', 'omong', 'basi', 'cuihhhhhhhhhhh']</t>
  </si>
  <si>
    <t>['maaf', 'kasih', 'bintang', 'tangan', 'harga', 'tagih', 'mahal', 'imbang', 'kerja', 'speed', 'internet', 'down', 'dear', 'indihome', 'mohon', 'baik']</t>
  </si>
  <si>
    <t>['manfaat']</t>
  </si>
  <si>
    <t>['sinyal', 'jelek', 'sinyal', 'main', 'game', 'kalah', 'sinyal', 'dri', 'kartu', 'kembang', 'lagi', 'harga', 'mahal', 'sesuai']</t>
  </si>
  <si>
    <t>['koneksi', 'internet', 'buruk', 'harga', 'wifi', 'anda', 'naik', 'wtf']</t>
  </si>
  <si>
    <t>['pelayananya', 'lambat', 'lapor', 'wifi', 'eror', 'mahal', 'jaring', 'parah', 'layan', 'bagus', 'lambat', 'maaf', 'ksih', 'bintang', '']</t>
  </si>
  <si>
    <t>['indihome', 'emosi', 'gua', 'kuliah', 'napa', 'jaring', 'ilang', 'nyesel', 'indihome', 'mending', 'ganti', 'laen', 'make', 'indihome', 'stress', 'udah', 'harga', 'mahal', 'kualitas']</t>
  </si>
  <si>
    <t>['login', 'udh', 'instal', 'ulang', 'ttp', 'yaa', 'makasih', 'indihome']</t>
  </si>
  <si>
    <t>['susah', 'masuk', 'login']</t>
  </si>
  <si>
    <t>['', 'ulas', 'bagus', 'ragu', 'pasang', 'indihome']</t>
  </si>
  <si>
    <t>['buruk', 'banget', 'jaring', 'siput', 'tolong', 'bayar', 'mahal', 'internetnya', 'ampun', 'rugi', 'pakenya', 'nyesel']</t>
  </si>
  <si>
    <t>['wifi', 'buruk', '']</t>
  </si>
  <si>
    <t>['sms', 'verifikasi', 'lamaaaaaaa', 'sampe', 'masukin', 'salah', 'nunggu', 'hariii']</t>
  </si>
  <si>
    <t>['sms', 'verifikasi', 'lamaaaaaaaaaa', 'nyampe', 'masukin', 'salah', 'kirim', 'ulang', 'lamaaaaaaaa']</t>
  </si>
  <si>
    <t>['aplikasi', 'responsif', 'opsi', 'batal', 'akun', 'perhati', 'opsi', 'hapus', 'akun', '']</t>
  </si>
  <si>
    <t>['waw', 'mudah', 'laku', 'bayar']</t>
  </si>
  <si>
    <t>['aplikasi', 'bagus', 'beli', 'sod', 'aplikasi', 'mudah']</t>
  </si>
  <si>
    <t>['bagus', 'aplikasi', 'suka']</t>
  </si>
  <si>
    <t>['lapor', 'ganggu', 'apps', 'gercep', 'banget', 'langsung', 'atas']</t>
  </si>
  <si>
    <t>['mudah', 'cek', 'tagih', 'add', 'rumah']</t>
  </si>
  <si>
    <t>['bantu', 'kece']</t>
  </si>
  <si>
    <t>['terima', 'kasih', 'apk', 'jalan', '']</t>
  </si>
  <si>
    <t>['indihome', 'udah', 'upgrade', 'paket', 'speed', 'ttp', 'ganggu', '']</t>
  </si>
  <si>
    <t>['aplikasi', 'mantul']</t>
  </si>
  <si>
    <t>['aplikasi', 'mantap', 'cek', 'tagih', 'poin', 'makasih', 'indihome']</t>
  </si>
  <si>
    <t>['bagus', 'bantu', 'banget', 'siih', 'tingkat', 'keren', '']</t>
  </si>
  <si>
    <t>['aplikasi', 'ciamik']</t>
  </si>
  <si>
    <t>['mantap', 'siih', 'udah', 'keren', 'laah', 'cuman', 'improve', '']</t>
  </si>
  <si>
    <t>['add', 'gampang', 'aplikasi', 'myindihome', 'mantul']</t>
  </si>
  <si>
    <t>['aplikasi', 'baru', 'informatif', 'promonya', 'banyak', 'yaaa']</t>
  </si>
  <si>
    <t>['ken', 'pasang', 'wifi', 'duit', 'udah', 'pasang', 'november', 'alesannya', 'gabisa', 'pasang', 'tetep', 'gabisa', 'gir', 'tetangga', 'gua', 'pasang', 'rumah', 'pelosok', 'adil', 'banget', 'indihome', 'laku', 'org', 'ngasih', 'duit']</t>
  </si>
  <si>
    <t>['alhamdulillah', 'lancar']</t>
  </si>
  <si>
    <t>['akses', 'aplikasi', 'lot', 'parah', 'muter']</t>
  </si>
  <si>
    <t>['aplikasi', 'lancar', 'moga', 'yaaa']</t>
  </si>
  <si>
    <t>['gue', 'sdah', 'daftar', 'indihome', 'dak', 'masuk', 'sampek', '']</t>
  </si>
  <si>
    <t>['sinyal', 'buruk', 'sinyal', 'edge', 'indiehome', 'lbh', 'buruk', 'tingkat', 'keburu', 'keren']</t>
  </si>
  <si>
    <t>['capek', 'komplain', 'indihome', 'buruk', 'jaringanya']</t>
  </si>
  <si>
    <t>['buffering', 'bayar', 'mahal', 'koneksi', 'gasesuai', 'pas', 'sesuai', 'cepat', 'jaring', 'kesini', 'kaya', 'lot', 'perbaikin', 'gamao', 'perbaikin', 'turunin', 'harga', '']</t>
  </si>
  <si>
    <t>['indihome', 'lot', 'jaring', 'pakai', 'mbps', 'lot', 'tolong', 'baik', 'jaring', 'main', 'game', 'lot', 'parah', 'banget', '']</t>
  </si>
  <si>
    <t>['kak', 'ngak', 'fup', 'enak']</t>
  </si>
  <si>
    <t>['indihome', 'sinyal', 'beda', 'merek', 'kyk', 'pengaruh', 'deh', 'temen', 'paket', 'mbps', 'beda', 'merek', 'ngelag', 'main', 'game', 'indihome', 'ngelag', 'parah', 'mbps', 'tugas', 'suruh', 'ganti', 'paket', 'game', 'hedeh', 'fasilitas', 'murah', 'pakai', 'paket', 'game', 'mahal', '']</t>
  </si>
  <si>
    <t>['udh', 'make', 'thn', 'pasang', 'kenceng', 'bangt', 'knp', 'kesini', 'lot', 'mohon', 'konfirmasi', '']</t>
  </si>
  <si>
    <t>['usetv', 'indihome', 'super', 'super', 'super', 'lemottttttttttttttttttttttttttttttttttttttt', 'parah', 'ting']</t>
  </si>
  <si>
    <t>['tolong', 'aplikasi', 'tingkat', 'muas', 'seeing', 'erorr']</t>
  </si>
  <si>
    <t>['udh', 'tahun', 'langgan', 'maen', 'game', 'ping', 'turun', 'mbps', 'tolong', 'tingkat', 'langgan', 'tetep', 'kaya', 'gin', '']</t>
  </si>
  <si>
    <t>['kencengin', 'jaring', 'niat', 'upgrade', 'speed', 'rb', 'rb', 'kasi', 'pencurry', 'orang', 'butuh', 'duit', 'mas', 'gin', 'situ', 'ngerti', 'mas', '']</t>
  </si>
  <si>
    <t>['kasih', 'rasa', 'lag', 'main', 'game', 'online', 'mobile', 'legend', 'pakai', 'paket', 'gamer', 'mbps', 'tolong', 'baik', 'terimakasih', '']</t>
  </si>
  <si>
    <t>['knpa', 'jaring', 'jelek', 'kamma', '']</t>
  </si>
  <si>
    <t>['', 'dlu', 'ubah', 'kasih', 'full']</t>
  </si>
  <si>
    <t>['akses', 'pdhal', 'udah', 'pasang', 'indhihome', 'nomer', 'salah', 'trus', 'gimna', 'mna', 'layan']</t>
  </si>
  <si>
    <t>['jariangan', 'error']</t>
  </si>
  <si>
    <t>['good', 'work', 'well']</t>
  </si>
  <si>
    <t>['min', 'adu', 'opsi', 'adu', 'bayar']</t>
  </si>
  <si>
    <t>['muas', 'apak', 'sinyal', 'wifi', 'buruk', '']</t>
  </si>
  <si>
    <t>['aplikasi', 'myindihome', 'pakai', 'lancar', 'bukti', 'ubah', 'bayar', 'tagih', 'fasilitas', 'telkomsel', 'pakai', 'kartu', 'kredit', 'kagak', 'gimana', 'neh']</t>
  </si>
  <si>
    <t>['renew', 'speed', 'indihome']</t>
  </si>
  <si>
    <t>['login', 'nge', 'renew', '']</t>
  </si>
  <si>
    <t>['', 'nomor', 'layan', 'nomor', 'telp', 'internet', 'jawab', 'nomor', 'nali', 'gilir', 'cek', 'tagih', 'marketplace', 'langsung', 'kenal', 'muncul', 'tagih', 'cek', 'barangkali', 'update', 'versi', 'baru', 'clear', 'cache', 'uninstall', 'install', 'ulang', 'app', 'ngaruh', '']</t>
  </si>
  <si>
    <t>['respon', 'aduh', 'layan', 'rusa', 'cepat', 'jam', 'teknisi', 'langsung', 'rumah', '']</t>
  </si>
  <si>
    <t>['jaring', 'indihome', 'lelet', 'pakai', 'nonton', 'ytb', 'download', 'pdhal', 'pakai', 'user', 'tolong', 'baik', 'langgan', 'udh', 'gin']</t>
  </si>
  <si>
    <t>['review']</t>
  </si>
  <si>
    <t>['langgan', 'aplikasi', 'udah', 'nunggu', 'minggu', 'kabar', 'layan', 'sangan', 'lambat']</t>
  </si>
  <si>
    <t>['mantul', 'moga', 'baguus']</t>
  </si>
  <si>
    <t>['aplikasi', 'cepat', 'kerja', 'tugas', 'indihome', 'butuh', 'kelar', 'hadehhh']</t>
  </si>
  <si>
    <t>['wifi', 'buruk', 'pakai', 'udah', 'mahal', 'lot', 'buka', 'bagus', 'lot', 'hadeh', 'pindah', 'biznet']</t>
  </si>
  <si>
    <t>['profesional', 'tanggap', 'informasi', 'perihal', 'kabel', 'jaring', 'telkom', 'indihome', 'juntai', 'jalan', 'ganggu', 'aktifitas', 'guna', 'jalan', 'informasi', 'kali', 'tpi', 'satu', 'tugas', 'baik', 'cek', 'nomor', 'lapor', 'nomor', 'in', 'tindak', 'kasih', 'bintang', '']</t>
  </si>
  <si>
    <t>['kendala', 'langsung', 'lapor', 'ganggu', 'aplikasi', 'simple']</t>
  </si>
  <si>
    <t>['layan', 'lapor', 'gangguanya', 'sukak', 'bantu', '']</t>
  </si>
  <si>
    <t>['layan', 'tambah', 'gampang', 'speed', 'fup', 'kereeen']</t>
  </si>
  <si>
    <t>['cepet', 'banget', 'repot']</t>
  </si>
  <si>
    <t>['lumayan', 'simple']</t>
  </si>
  <si>
    <t>['adain', 'promo', 'sod', 'aplikasi', 'overall', 'good', 'app', '']</t>
  </si>
  <si>
    <t>['makasih', 'bantu', 'rumah', '']</t>
  </si>
  <si>
    <t>['baca', 'ulas', 'ngeri', 'skip', 'ngga', 'indihome']</t>
  </si>
  <si>
    <t>['aplikasi', 'myindihome', 'add', 'mudah', '']</t>
  </si>
  <si>
    <t>['aplikasi', 'myindihome', 'keren', 'monitor', 'pakai', 'internet', 'mantul']</t>
  </si>
  <si>
    <t>['tolong', 'aplikasi', 'maksimal']</t>
  </si>
  <si>
    <t>['', 'layan', 'indihome', 'down', 'instalasi', 'outdor', 'hambur', 'kabel', 'pakai', 'rapi', 'bongkar', 'tugas', 'lambat', 'tegur', 'instalasi', 'urus', 'saran', 'kompetitor', 'layan', 'baik']</t>
  </si>
  <si>
    <t>['bantu', 'cek', 'tagih', 'bayar', 'tagih']</t>
  </si>
  <si>
    <t>['bantu', 'aktivasi', 'guna', 'indihome']</t>
  </si>
  <si>
    <t>['batu', 'lapor', 'keluh', '']</t>
  </si>
  <si>
    <t>['apps', 'banggan', 'indihome']</t>
  </si>
  <si>
    <t>['indihome', 'tolol', 'benerin', 'sinyal', 'cus', 'ngapain', 'wifi', 'guna', 'ngapain', 'coba', 'gua', 'pasang', 'wifii', 'niat', 'wifi', 'cus', 'mending', 'usaha', 'wifi']</t>
  </si>
  <si>
    <t>['bantu', 'knpa', 'masuk', 'nomor', 'indihome', 'apk']</t>
  </si>
  <si>
    <t>['harga', 'banding', 'sinyal', 'harga', 'sinyal', 'jelek', 'patah', 'burik', 'indihome', 'tolol']</t>
  </si>
  <si>
    <t>['aplikasi', 'ter', 'the', 'bestttttt']</t>
  </si>
  <si>
    <t>['kasih', 'bintang', 'rumah', 'ganggu', 'telpon', 'suruh', 'lapor', 'apk', 'myindihome', 'stelah', 'buah', 'adu', 'muncul', 'maaf', 'sdang', 'ganggu', 'masal', 'teknisi', 'malakukan', 'baik', 'adu', 'apk', 'pas', 'telpon', 'call', 'center', 'teknisi', 'rumah', 'alami', 'ganggu', 'smoga', 'depan', 'layan', '']</t>
  </si>
  <si>
    <t>['tolong', 'wifi', 'rumah', 'adu', 'blm', 'progres', 'indihome', 'tindak', 'kirim', 'teknisi', 'respon', 'balas', 'twit', 'blm', 'ttg', 'lampu', 'los', 'nyala', 'merah', 'otomatis', 'internet', 'akses', 'tolong', 'responnya', 'cepat', 'wifi', 'selesai', 'naik', 'bintang', '']</t>
  </si>
  <si>
    <t>['freeze', 'bgmn', 'ngakses', 'add', 'ambil', 'username', 'pssword', 'wifi', 'seamless', '']</t>
  </si>
  <si>
    <t>['layan', 'lapor', 'minggu', 'suruh', 'nunggu']</t>
  </si>
  <si>
    <t>['aplikasi', 'rusak', 'kayak', 'buka']</t>
  </si>
  <si>
    <t>['okeoke']</t>
  </si>
  <si>
    <t>['gilir', 'lambat', 'kena', 'denda', 'gilir', 'los', 'merah', 'ulah', 'kerja', 'indihom', 'alasanya', 'ganggu', 'nasionl', 'lai', 'bayar', 'utuh', 'kurang', 'los', 'merah', 'dandan', 'lapor', 'layan', 'indihom', 'kecewa']</t>
  </si>
  <si>
    <t>['jaring', 'lot', 'ajg', 'main', 'game', 'dpt', 'ping', 'merah', 'bkin', 'emosi', '']</t>
  </si>
  <si>
    <t>['parah', 'jaring', 'lambat', 'eror', 'kadang', 'wifi', 'komplen', 'respon', 'bener', 'hancur', 'tanggap', 'kapok', 'indihome', 'ancur', '']</t>
  </si>
  <si>
    <t>['wifi', 'soax', 'signal', 'soax', 'jumping', 'mulu', 'jiji', 'bett']</t>
  </si>
  <si>
    <t>['internet', 'off', 'udh', 'jam', 'udh', 'complain', 'tindak', 'muak', '']</t>
  </si>
  <si>
    <t>['orang', 'bayar', 'tagih', 'tanggal', 'tanggal', 'kuota', 'habis', 'tolong', 'baik', 'kya', 'gin', 'rugi']</t>
  </si>
  <si>
    <t>['mula']</t>
  </si>
  <si>
    <t>['kode', 'buka', 'payah', 'respons', 'adu']</t>
  </si>
  <si>
    <t>['pasang', 'dicancel', 'jarak', 'box', 'panel', 'tiang', 'ranting', 'pohon', 'halang', 'teknisi', 'lanjut', 'proses', 'pasang', 'meter', 'box', 'panel', 'lokasi', 'jalan', 'haji', 'tepu', 'boribellayya', 'kabupaten', 'maros', 'sulawesi', 'selatan', '']</t>
  </si>
  <si>
    <t>['bayar', 'internet', 'putus', 'saran', 'suruh', 'restart', 'mati', 'nyala', 'masuk', 'akal', 'njing', '']</t>
  </si>
  <si>
    <t>['nge', 'bug', 'buka', 'laen', 'lot', 'banget']</t>
  </si>
  <si>
    <t>['mantap', 'pokok', 'aplikasi', 'baik']</t>
  </si>
  <si>
    <t>['apk', 'bantu', '']</t>
  </si>
  <si>
    <t>['mantapp', 'suka', 'mudah']</t>
  </si>
  <si>
    <t>['lapor', 'ganggu', 'gampang']</t>
  </si>
  <si>
    <t>['tambahin', 'merchant', 'poin', 'tarik', '']</t>
  </si>
  <si>
    <t>['moga', 'canggih']</t>
  </si>
  <si>
    <t>['sukses', 'myindihome', '']</t>
  </si>
  <si>
    <t>['aplikasi', 'bantu', 'informasi', 'baru', 'tawar', 'tarik', 'layan', 'langgan', 'indihome', 'rekomendasi', 'langgan', '']</t>
  </si>
  <si>
    <t>['mantap', 'lancar', '']</t>
  </si>
  <si>
    <t>['helpful', 'and', 'informative', '']</t>
  </si>
  <si>
    <t>['aplikasi', 'good', 'user', 'friendly', 'informatif', 'pokok', 'bantu', 'langgan']</t>
  </si>
  <si>
    <t>['good', 'app', 'bantu', 'langgan', '']</t>
  </si>
  <si>
    <t>['gausah', 'ribet', 'nelpon', 'lapor', 'apss', 'langsung', 'atas', 'mantap']</t>
  </si>
  <si>
    <t>['aplikasi', 'manfaat', 'banget', 'manage', 'indihome', 'rumah']</t>
  </si>
  <si>
    <t>['beli', 'addon', 'cepet', 'banget', 'apss']</t>
  </si>
  <si>
    <t>['lapor', 'ganggu', 'cepet', 'banget', 'proses']</t>
  </si>
  <si>
    <t>['internetnya', 'buruk', 'senang', 'internetnya', 'lancar', 'ganggu']</t>
  </si>
  <si>
    <t>['aplikasi', 'bagus', 'lapor', 'ganggu', 'gampang', '']</t>
  </si>
  <si>
    <t>['lancar', 'mantapppp']</t>
  </si>
  <si>
    <t>['alhamdulillah', 'gampang', 'cek', 'terima', 'kasih', 'yaaaa']</t>
  </si>
  <si>
    <t>['app', 'bugs', 'track', 'langgan', 'hilang']</t>
  </si>
  <si>
    <t>['parah', 'jaring', 'indihome', 'mohon', 'baik']</t>
  </si>
  <si>
    <t>['indihome', 'lag', 'lag', 'tros', 'nge', 'push', 'mes', 'tros', 'baik', 'lahh', '']</t>
  </si>
  <si>
    <t>['', 'register', 'bet', 'loadingnya']</t>
  </si>
  <si>
    <t>['aplikasi', 'versi', 'baru', 'responsif', 'harga', 'add', 'minipack', 'moga', 'murah', 'yaa']</t>
  </si>
  <si>
    <t>['kendala', 'langsung', 'lapor', 'ganggu', 'aplikasi', 'cepat', 'praktis']</t>
  </si>
  <si>
    <t>['top', 'saldo', 'myindihome', '']</t>
  </si>
  <si>
    <t>['ganggu', 'applikasi', 'langgan', 'mbps', 'beli', 'paket', 'renew', 'speed', 'fup', 'tolong', 'cek', 'problem', 'system', '']</t>
  </si>
  <si>
    <t>['telpon', 'info', 'suruh', 'tunggu', 'teknisi', 'alhasil', 'rumah', 'nyari', 'nyari', 'telat', 'kerja', 'teknisi', 'pikir', 'custemer', 'suruh', 'tunggu', 'hasil', 'teknisi', 'karyawan', 'tolong', 'tingkat']</t>
  </si>
  <si>
    <t>['internetnya', 'lag', 'mulu', 'ngirim', 'yudas', 'main']</t>
  </si>
  <si>
    <t>['puas', 'trimakasih', 'indehom', 'keluh', 'bsa', 'langsung', 'tanggap', 'cepat', 'lgi', 'trimakasih', 'indehom', 'layan', 'moga', 'kerja', 'amin']</t>
  </si>
  <si>
    <t>['erti', 'pakai']</t>
  </si>
  <si>
    <t>['', 'mbps', 'amplas', 'lelet', 'mending', 'cari', 'provider', 'fiber', 'menang', 'mahal', 'doang']</t>
  </si>
  <si>
    <t>['tambah', 'add', 'simple', 'banget', 'nge', 'bantu', 'abis', '']</t>
  </si>
  <si>
    <t>['aplikasi', 'muantull', 'keren', 'deh', 'mudah', 'add', 'ntabs']</t>
  </si>
  <si>
    <t>['aplikasi', 'guna', 'adu', 'suruh', 'bayar', 'layan', 'terisolasir', 'woooiiii', 'jatuh', 'tempo', 'tgl', 'tanggal', 'tingkat', 'indihome', 'layan', 'cabut', 'bayar', 'telat', 'layan', 'telat', 'buruk']</t>
  </si>
  <si>
    <t>['pas', 'moga', 'duit', 'haram']</t>
  </si>
  <si>
    <t>['aplikasi', 'canggih', 'dab', 'praktis']</t>
  </si>
  <si>
    <t>['puas', 'layan', 'cepat', 'respon', 'karyawannya', 'rama', 'sopan']</t>
  </si>
  <si>
    <t>['kesini', 'nyaman', 'fitur', 'renew', 'speed', 'tindas', 'suru', 'bayar', 'tindas', 'batas', 'kuota', 'kaya', 'merdeka']</t>
  </si>
  <si>
    <t>['log']</t>
  </si>
  <si>
    <t>['hai', 'indihome', 'aplikasi', 'indihome', 'ngecek', 'pakai', 'internet', 'biasaya', 'cek', 'pakai', 'skrang', 'tolong']</t>
  </si>
  <si>
    <t>['ngga', 'lihat', 'detail', 'rincian', 'tagih', 'disembunyiinlah', '']</t>
  </si>
  <si>
    <t>['ujan', 'ngelag', 'banget', 'ujan', 'ngelag', 'keunggulanya', 'mana', 'mas', 'nama', 'mohon', 'tingkat', 'sibuk', 'semenjak', 'minggu', 'kemarin', 'udh', 'parah', 'banget', 'wifi', 'daerah', 'jakarta', 'selatan', '']</t>
  </si>
  <si>
    <t>['kpd', 'indi', 'home', 'jaring', 'buruk', 'indihome', 'harga', 'mahal', 'banding', 'balik', 'sinyal', 'buruk', 'tahun', 'langgan', 'rencana', 'nyari', 'andai', 'bintang', 'kasih', 'bintang', 'bagus', 'kasi', 'bintang', 'harga', 'mahal', 'banding', 'balik', 'jaring', 'koneksi', 'buruk', 'trimakasih', 'dengar', 'keluh', 'oke', 'dengar', 'oke', 'masyarakat']</t>
  </si>
  <si>
    <t>['aplikasi', 'suka', 'bengong', 'respon', 'klik', '']</t>
  </si>
  <si>
    <t>['bayar', 'feedback', 'langgan', 'lambat', 'jaring', 'lambat', 'banget', 'wifi', 'beli', 'kuota', 'buang', 'buang', 'duit', 'ngempanin', 'indihome', '']</t>
  </si>
  <si>
    <t>['aplikasi', 'pasang']</t>
  </si>
  <si>
    <t>['pasang', 'monopoli', 'gimana', 'masuk', 'daerah', 'indihome', 'pasang', 'aplikasi', 'super', 'lot']</t>
  </si>
  <si>
    <t>['layan', 'pasang', 'sampe', 'aplikasi', 'lot']</t>
  </si>
  <si>
    <t>['best', 'pasang', 'kabel', 'tembaga', 'migrasi', 'optic', 'baik', 'deposit', 'kaga', 'dibalikin', 'coba', 'lunasin', 'tagih', 'bawa', 'ont', 'stb', 'plaza', 'telkom', 'daerah']</t>
  </si>
  <si>
    <t>['ngelag', 'anjg', 'gaje']</t>
  </si>
  <si>
    <t>['apk', 'bagus', 'pke', 'wifinya', 'loading', 'mulu', 'udh', 'complain', 'tetep', 'duhh', 'parah', 'pindah', 'kali', '']</t>
  </si>
  <si>
    <t>['versi', 'opsi', 'reset', 'fup', '']</t>
  </si>
  <si>
    <t>['wifi', 'ajg', 'maen', 'lag', 'sedangakan', 'pakai', 'republic', 'normal']</t>
  </si>
  <si>
    <t>['bumn', 'bumdes', '']</t>
  </si>
  <si>
    <t>['beli', 'kuota', 'mudah', 'aplikasi', 'top', 'pokok', '']</t>
  </si>
  <si>
    <t>['pilih', 'background', 'bagus', 'bagus', 'suka']</t>
  </si>
  <si>
    <t>['bantu', 'banget', 'kendala', 'layan', 'bantuanya', '']</t>
  </si>
  <si>
    <t>['bantu', 'menu', 'lapor', 'ganggu', 'mantuls']</t>
  </si>
  <si>
    <t>['aplikasi', 'bantu', 'pas', 'wfh', 'gin', 'gampang', 'lapor', 'ganggu', 'terima', 'kasih', 'yaaaa']</t>
  </si>
  <si>
    <t>['hancur', 'jaring', 'indihome', 'aplikasi', 'guna', 'respon', 'adminnya', 'tolong', 'baik', 'jaringannyaaa', '']</t>
  </si>
  <si>
    <t>['apk', 'error', 'login', 'baik', 'kualitas', 'jaring', 'beli', 'paket', 'mbps', 'serasa', 'mbps']</t>
  </si>
  <si>
    <t>['sip', 'mantab']</t>
  </si>
  <si>
    <t>['keren', 'aplikasi']</t>
  </si>
  <si>
    <t>['nice', 'pokok']</t>
  </si>
  <si>
    <t>['aplikasi', 'manfaat', 'transaksi', 'add', 'mini', 'pack', 'langsung', 'aplikasi']</t>
  </si>
  <si>
    <t>['udah', 'bagus', 'errornya', 'rangin', 'min']</t>
  </si>
  <si>
    <t>['aplikasi', 'versi', 'baru', 'promo', 'banyak', 'yaaa']</t>
  </si>
  <si>
    <t>['bayar', 'tagih', 'sayang', 'banget', 'rincian', 'tagih', '']</t>
  </si>
  <si>
    <t>['aplikasi', 'praktiss', 'bayar', 'tagih', 'langsung', 'aplikasi']</t>
  </si>
  <si>
    <t>['wifi', 'interior', 'koneksi', 'buruk', 'awal', 'pasang', 'oke', '']</t>
  </si>
  <si>
    <t>['jelek', 'banget', 'eror', 'adu', 'tanggap', 'mahal', 'tagih']</t>
  </si>
  <si>
    <t>['indihome', 'rumah', 'jaringanya', 'lambat', 'udah', 'bayar', 'pakai', 'orang']</t>
  </si>
  <si>
    <t>['renew', 'sod', 'suka', 'gagal']</t>
  </si>
  <si>
    <t>['mantap', '']</t>
  </si>
  <si>
    <t>['mohon', 'tingkat', 'konsep', 'aplikasi', 'udah', 'bagus', '']</t>
  </si>
  <si>
    <t>['aplikasi', 'udah', 'bagus', 'mohon', 'tingkat', 'tolong', 'kendala', '']</t>
  </si>
  <si>
    <t>['moga', 'indihome', 'cepat', 'internet', 'sukses', '']</t>
  </si>
  <si>
    <t>['buruk', 'koneksi', 'hubung', 'lampu', 'indikator', 'merah', 'listrik', 'hidup', 'mati']</t>
  </si>
  <si>
    <t>['batu', 'guna']</t>
  </si>
  <si>
    <t>['tolong', 'ubah', 'data', 'guna', 'yoza', 'ktp', 'yuza', 'langgang', 'indihome', 'lampir', 'photo', 'ktp', 'photo', 'rumah', 'ditlp', 'pusat', 'nama', 'yuza', 'tampil', 'indihome', 'data', 'email', 'masuk', 'data', 'langgan', 'yoza', 'yuza', 'tugas', 'ubah', 'bayar', 'skrg', 'blm', 'ubah', 'salah', 'tugas', 'salah', 'bkn', '']</t>
  </si>
  <si>
    <t>['niat', 'mbukak', 'usaha', '']</t>
  </si>
  <si>
    <t>['masalah', 'ubah']</t>
  </si>
  <si>
    <t>['suntik', 'mati', 'aplikasi', 'error', 'developer', 'ijazah', 'doang', 'manage', 'aplikasi', 'kek', 'gin', 'lol', '']</t>
  </si>
  <si>
    <t>['kasih', 'bintang', 'minggu', 'renew', 'slalu', 'gagal', 'smpai', 'detik', '']</t>
  </si>
  <si>
    <t>['bayar', 'mahal', 'asa', 'pakai', 'wifi', 'lancar', 'kuota', 'internet', '']</t>
  </si>
  <si>
    <t>['app', 'doang', 'bantu', 'sisa', 'kadng', 'buka', 'kdng', 'error', 'sekli', 'macet', 'appnya', 'coba', 'install', 'laen', 'langgan', 'indihome', 'wifi', 'udh', 'putus', 'sndri', 'jls', 'maen', 'mobile', 'legends', 'lag', 'kya', 'jaring', 'pas', 'bgus', 'pdhal', 'paket', 'mbps', 'cepat', 'udh', 'stabil', 'not', 'recommended', 'pepet', 'krena', 'provider', 'sudh', 'nikmatin', 'penilian', 'udh', 'bnyk', 'jlk', 'ttp', 'gakadaperubahancok']</t>
  </si>
  <si>
    <t>['', 'stabil']</t>
  </si>
  <si>
    <t>['sippp']</t>
  </si>
  <si>
    <t>['indihome', 'kek', 'ajg', 'bayar', 'bulan', 'ngelag', 'niat', 'ngasih', 'sinyal', 'mending', 'operasi', 'ajg']</t>
  </si>
  <si>
    <t>['permisi', 'komplain', 'sinyal', 'lambat', 'tinggal', 'kota', 'tinggal', 'pandeglang', 'indihome', 'rata', 'sinyal', 'tipe', 'gamer', 'benci', 'jaring', 'lag', 'mohon', 'telekomunisasi', 'indonesia', 'rata', 'sinyal', 'indihome', 'ramai', 'pakai', 'wifi', 'maaf', 'kritik', 'kenan', 'terimakasih', '']</t>
  </si>
  <si>
    <t>['tangan', 'cepat', 'respon']</t>
  </si>
  <si>
    <t>['tolong', 'pelayananya', 'sumpah', 'judes']</t>
  </si>
  <si>
    <t>['login', 'gagal', 'mohon', 'ulang', 'gagal', 'gimana', 'cek', 'tagih', 'pas', 'bayar', 'mahal', 'langgan', 'add', 'cek', 'apps', 'login', 'payah', '']</t>
  </si>
  <si>
    <t>['kecewa', 'uang', 'jamin', 'cair', 'henti', 'langgan', 'tanggal', 'januari', 'kabar', '']</t>
  </si>
  <si>
    <t>['', 'kota', 'blitar', 'layan', 'gerai', 'nyatutup', 'trus', 'trknisinya', 'dateng', '']</t>
  </si>
  <si>
    <t>['knp', 'udh', 'registrasi', 'kali', 'nomor', 'beda', 'email', 'beda', 'login', 'gagal', 'tolong', 'baik']</t>
  </si>
  <si>
    <t>['kasih', 'dikit', 'puas']</t>
  </si>
  <si>
    <t>['aplikasi', 'guna', 'liat', 'bayar', 'kenapasetiap', 'adu', 'ganggu', 'eror', 'sistem', 'sunggu', 'sayang']</t>
  </si>
  <si>
    <t>['indohome', 'lost']</t>
  </si>
  <si>
    <t>['hang', 'paket', 'apa', 'wifi', 'ttep', 'hang', 'hrus', 'ulang', 'trus', 'bkin', '']</t>
  </si>
  <si>
    <t>['baik', 'jaringn', 'anjingg', 'gua', 'udh', 'pasang', 'mbps', 'knp', 'malam', 'siang', 'sore', 'jelek', 'jringn', 'gua', 'main', 'mobile', 'lejen', 'kntl', 'udh', 'gua', 'naik', 'mbps', 'ngaruh', 'kntl']</t>
  </si>
  <si>
    <t>['masang', 'smart', 'memorynya', '']</t>
  </si>
  <si>
    <t>['minggu', 'internet', 'pakai', 'suruh', 'bayar', 'sumbang', 'layan', 'internet', 'buruk', 'kemarin', 'baik', 'hnya', 'sedikit', 'jaring', 'kesini', 'layan', 'buruk', '']</t>
  </si>
  <si>
    <t>['tidk', 'login', 'akun', 'sms', 'verifkasinya', 'tidk', 'kirim', 'sistem', 'aplikasi', 'mohon', 'baik', 'terima', 'kasih']</t>
  </si>
  <si>
    <t>['ingetin', 'bayar', 'rajin', 'kualitas', 'internetnya', 'tolong', 'perhati', 'makas']</t>
  </si>
  <si>
    <t>['jaring', 'kencang', 'main', 'game', 'lambat', 'parah', 'indihome', '']</t>
  </si>
  <si>
    <t>['tagih', 'mahal', 'koneksi', 'kayaa', 'taaae']</t>
  </si>
  <si>
    <t>['pakek', 'indihome', 'nyesel', 'pakek', 'indihome', 'cuman', 'pas', 'pasang', 'dapet', 'enak', 'jaring', 'game', 'kaga', 'stabil', 'kaga', 'main', 'game', 'iya']</t>
  </si>
  <si>
    <t>['kesini', 'indihome', 'lot', 'sinyal', 'ilang', 'ilangan', 'gampang', 'merahh', 'tolong', 'yahh', 'bayar', 'uang', 'capek', 'kaya', 'gin', 'hubung', 'indihome', 'jarang', 'balas', 'tolong', 'yahh', 'kecewa', '']</t>
  </si>
  <si>
    <t>['gmn', 'kak', 'download', 'trus', 'login', 'kode', 'otp', 'nggk', 'kirim', 'masuk', 'pesan', 'masuk', 'login', 'nggk', 'gmn', 'lanjur', 'kecewa']</t>
  </si>
  <si>
    <t>['kalah', 'aplikasi', 'swasta', 'eror', 'aplikasi']</t>
  </si>
  <si>
    <t>['jaring', 'wifi', 'alami', 'lag', 'mb', '']</t>
  </si>
  <si>
    <t>['apk', 'puekok', 'kenek', 'gawe']</t>
  </si>
  <si>
    <t>['aplikasi', 'indihome']</t>
  </si>
  <si>
    <t>['jaring', 'jelek', 'udah', 'bayar', 'bagus', 'jelek', 'dilaporin', 'hasil', 'aneh', 'provider']</t>
  </si>
  <si>
    <t>['sengaja', 'kasih', 'bisul', 'pafa', 'baca', 'langgan', 'ataw', 'langgang', 'indihome', 'salah', 'baik', 'sampe', 'wilayah', 'jemana', 'tugas', 'sungguh', 'profesional', 'telat', 'bayar', 'denda', 'rusa', 'gelas', 'kompensasi', 'mending', 'pindah', 'mega', 'bearti', 'potong', 'bayar', 'gimana', 'ngerjain', 'tugas', 'kantor', 'mega', 'pernh', 'ganggu', 'sampe', 'tolong', 'tindak', 'lanjut', '']</t>
  </si>
  <si>
    <t>['kecewa', 'nambah', 'nomer', 'inet', 'eror', 'hapus', 'tambah', 'aplikasi', 'tamabah', 'upgrade', 'eror']</t>
  </si>
  <si>
    <t>['indihome', 'mahal', 'lot', 'habis', 'thinking']</t>
  </si>
  <si>
    <t>['apk', 'rusak', 'bener', 'ngirim', 'sms', 'gabisa', 'lol']</t>
  </si>
  <si>
    <t>['aplikasi', 'renew', 'speed']</t>
  </si>
  <si>
    <t>['kecewa', 'indihome', 'jaring', 'buruk', 'kesal', 'banting', 'wifi', '']</t>
  </si>
  <si>
    <t>['lemotttttt']</t>
  </si>
  <si>
    <t>['indihome', 'lot']</t>
  </si>
  <si>
    <t>['indihome', 'jaring', 'lelet', 'bayar', 'mau', 'cepat', 'akses', 'nyaman', 'lot', 'kemaren', 'jaring', 'diruma', 'lelet', 'tolong', 'benah', 'system', 'bayar', 'cepat']</t>
  </si>
  <si>
    <t>['aplikasi', 'suka', 'eror', 'diupgrade', 'jelek']</t>
  </si>
  <si>
    <t>['', 'harga', 'naek', 'internet', 'lot', 'lapor', 'gada', 'tindak', 'fup', 'turun', 'gb', 'gb', 'gada', 'informasi', 'buru', 'ancur', 'deh']</t>
  </si>
  <si>
    <t>['good', 'service', 'thankyou', 'indihome', '']</t>
  </si>
  <si>
    <t>['aplikasi', 'renew', 'speed', '']</t>
  </si>
  <si>
    <t>['aplikasi', 'login', 'liat', 'tampil', 'menu', 'login', 'gerakin', 'liat', 'tampil', 'menu', 'tolong', 'perbaikin', 'hari', 'udah', 'kek', 'gitu']</t>
  </si>
  <si>
    <t>['internet', 'kagak', 'make', 'orang', 'ngelag', 'kya', 'nunngu', 'siput', 'kokok']</t>
  </si>
  <si>
    <t>['tuju', 'naik', 'cepat', 'mbps', 'mbps', 'pasti', 'tagih', 'komplain', 'tuju', 'blm', 'kabar', 'telpon', 'naik', 'cepat', 'buruk']</t>
  </si>
  <si>
    <t>['apk', 'lihat', 'rincian', 'tagih', 'buka', '']</t>
  </si>
  <si>
    <t>['slow', 'respon', 'langgang', 'megajukan', 'adu']</t>
  </si>
  <si>
    <t>['beli', 'add', 'gampang', 'banget', 'langsung', 'aktif']</t>
  </si>
  <si>
    <t>['udah', 'bagus', 'merchand', 'banyakin', 'min']</t>
  </si>
  <si>
    <t>['aplikasi', 'indihome', 'manfaat', 'banget', 'beli', 'add', 'mudah']</t>
  </si>
  <si>
    <t>['good', 'banget', 'apknya']</t>
  </si>
  <si>
    <t>['batal', 'langgan', 'indihome', 'gagal']</t>
  </si>
  <si>
    <t>['susah', 'masuk']</t>
  </si>
  <si>
    <t>['lapor', 'ganggu', 'cepet', 'langsung', 'hubung', 'teknis', 'keren', 'maju', 'yaaa']</t>
  </si>
  <si>
    <t>['bener', 'wifi', 'layak', 'sampah', 'langgan', 'wifi', 'pikir', 'udah', 'semenjak', 'cepat', 'internet', 'sampek', 'kbps', 'cepat', 'donwload', 'mbps', 'turun', 'drastis', 'banget', 'emang', 'wifi', 'sampah']</t>
  </si>
  <si>
    <t>['sinyal', 'lot', 'banget', 'stabil', 'udah', 'langgan', 'sinyal', 'jelek']</t>
  </si>
  <si>
    <t>['pasang', 'jangkau', 'kabel', 'pasang', 'tetangga', 'pasang', 'indihome', 'jarak', '']</t>
  </si>
  <si>
    <t>['internetnya', 'cepat', 'nelp', 'puas']</t>
  </si>
  <si>
    <t>['gagal', 'renew', 'speed']</t>
  </si>
  <si>
    <t>['info', 'sedia', 'aplikasi', 'beda', 'aku', 'teknisi', 'jargon', 'jangkau', 'pelosok', 'negeri', 'sesuai', 'alas', 'jaring', 'full', 'nyuruh', 'nunggu', 'usaha', 'gaet', 'langgan']</t>
  </si>
  <si>
    <t>['balikin', 'duit', 'deposit', 'gua', 'bulan', 'brenti', 'langgan', 'dibalikin', 'inbok', 'layan', 'aplikasi', 'sosmed', 'respon', 'janji', 'doang', 'realisasi', 'dibalikin', 'duit', 'deposit', '']</t>
  </si>
  <si>
    <t>['pasang', 'indihome', 'rumah', 'msh', 'hrs', 'nunggu', 'tiang', 'jaring', 'full', 'moga', 'daerah', 'kampung', 'kelapa', 'citayam', 'pasang', 'tiang', 'nikmat', 'indihome', 'rumah', '']</t>
  </si>
  <si>
    <t>['beli', 'paket', 'masalah', 'kak', 'aplikasi', 'kemarin', 'lancar']</t>
  </si>
  <si>
    <t>['pasang', 'indihome', 'daerah', 'kampung', 'kelapa', 'citayam', 'msh', 'hrs', 'nunggu', 'tiang', 'jaring', 'full', 'moga', 'cepat', 'pasang', 'tiang']</t>
  </si>
  <si>
    <t>['paket', 'sya', 'baik', 'terimakasih', 'indihome']</t>
  </si>
  <si>
    <t>['kecewa', 'indihome', 'aplikasi', 'eror', 'ndk', 'buka', '']</t>
  </si>
  <si>
    <t>['indihome', 'tempat', 'mesti', 'loss', 'lapor', 'tpi', 'lanjut', '']</t>
  </si>
  <si>
    <t>['wifi', 'mati', 'tagih', 'bulan', 'tolong', 'profesional']</t>
  </si>
  <si>
    <t>['jaring', 'sinyal', 'jelek', 'telkom', 'indihome', 'amanah', 'tipu', 'langgan', 'sesuai', 'janji', 'langgan', 'indihome', 'februari', 'pas', 'janji', 'harga', 'paket', 'mbps', 'fup', 'gb', 'harga', 'cek', 'aplikasi', 'indihome', 'pasang', 'fup', 'turun', 'cek', 'pas', 'turun', 'gb', 'komplain', 'indihome', 'terang', 'indihome', 'jelas', 'masuk', 'akal', '']</t>
  </si>
  <si>
    <t>['', 'arah', 'aplikasi', 'cuman', 'fungsi', 'mesti', 'buruk', 'bayar', 'ribetin', 'klu', 'telat', 'kena', 'denda']</t>
  </si>
  <si>
    <t>['sumpah', 'nggak', 'nyaman', 'pakai', 'indihome', 'lelet', 'bener', 'bayar', 'mahal', 'performa', 'nol', 'pindah', 'aplikasi', 'bumn', 'performa', 'hancur']</t>
  </si>
  <si>
    <t>['aplikasi', 'batalin', 'langgan', 'simles', 'gagal', 'melulu', 'indihome', 'jaring', 'lelet', 'pakai', 'mbps']</t>
  </si>
  <si>
    <t>['usaha', 'korupsi', 'jaring', 'nge', 'lag', 'parah', 'orang', 'keluh', 'ngak', 'usaha', 'asing', 'saing', 'telkom', 'indihome']</t>
  </si>
  <si>
    <t>['udah', 'langgan', 'indihome', 'pakai', 'jaring', 'bagus', 'keluh', 'masuk', 'jaring', 'jelek', 'jelek', 'akibat', 'ganggu', 'kerja', 'karna', 'guna', 'internet', 'krusial', 'kerja', 'strategi', 'marketing', 'indihome', 'lancar', 'jelek', 'pesan', 'langgan', 'udah', 'gitu', 'jaring', 'malu', '']</t>
  </si>
  <si>
    <t>['mosok', 'trobel', 'tok', 'ilang', 'planggan', 'gara', 'sinyal', 'lag']</t>
  </si>
  <si>
    <t>['mohon', 'tunggu', 'ajg', 'lahh', 'udh', 'jam', 'gua', 'nunggu']</t>
  </si>
  <si>
    <t>['gua', 'ama', 'gua', 'push', 'rank', 'war', 'ngelag', 'habis', 'mati', 'kalah', 'maksud', 'kyk', 'gua', 'neng', 'tenang', 'sehariiiii', 'emosi', 'pagi', 'gebrak', 'meja', 'siang', 'banting', 'malam', 'bakar', 'rumah', 'gara', 'gars', 'ngeleggggggggggggg', 'gua', 'main', 'growtopia', 'game', 'bit', 'bisanyaaaa', 'ngelaggg', 'trs', 'ngelag', 'trssss', 'gua', 'suruh', 'main', 'apaa', 'pou', 'tolong', 'laaa', 'gua', 'buka', 'play', 'store', 'komen', 'delay', 'parah']</t>
  </si>
  <si>
    <t>['indihome', 'mkin', 'lelet', 'banget', 'trobel', 'jaring', 'gitu', 'dlu', 'pke', 'provaider', 'biznet', '']</t>
  </si>
  <si>
    <t>['renew', 'ajah', 'susah', 'isp', 'lbh', 'pindah', 'sakit', 'hati', 'dng', 'indihome', 'skelas', 'bumn', 'rakyat', 'sndiri', 'ajah', 'buruk', 'apalgi', 'internasional', 'woy', 'renew']</t>
  </si>
  <si>
    <t>['kasih']</t>
  </si>
  <si>
    <t>['eror', 'trus', 'verikasi', 'ktp', '']</t>
  </si>
  <si>
    <t>['bener', 'bener', 'indihome', 'naik', 'tagih', 'pemberitahuan', 'alas', 'add', 'aktif', 'speed', 'turun', 'komplain', 'customer', 'service', 'ramah', 'layan', 'khusus', 'tasikmalaya', 'langsung', 'pusat', 'tanggap', 'gimana', 'kecewa', 'telat', 'bayar', '']</t>
  </si>
  <si>
    <t>['rincian', 'tagih', 'cek', 'detail', 'rincian', 'tampil', '']</t>
  </si>
  <si>
    <t>['ganti', 'orang', 'aplikasi', 'eror', 'kelas', 'bumn', 'aplikasi', 'eror']</t>
  </si>
  <si>
    <t>['aplikasi', '']</t>
  </si>
  <si>
    <t>['aplikasi', 'macet', 'macet', 'ajaaaaa', '']</t>
  </si>
  <si>
    <t>['lapor', 'rusa', 'lekuar', 'tiket', 'teknis', 'cuman', 'lihat', 'sampek', 'hilang', 'kabar', 'layan', 'jelek', '']</t>
  </si>
  <si>
    <t>['login', 'error', 'mulu', 'udah', 'registerasi', 'akun', 'parah', 'kau']</t>
  </si>
  <si>
    <t>['fitur', 'tagih', 'bulan', 'hilang', 'naik', 'harga', 'pemberitahuan']</t>
  </si>
  <si>
    <t>['layan', 'indihome', 'jelek', 'bayar', 'telat', 'denda', '']</t>
  </si>
  <si>
    <t>['error', '']</t>
  </si>
  <si>
    <t>['udh', 'minggu', 'mati', 'haduh', 'jelek', 'tolong', 'tangan', 'telpon', 'area', 'ganggu', 'massal', 'tetangga', 'lancar']</t>
  </si>
  <si>
    <t>['ngelag']</t>
  </si>
  <si>
    <t>['', 'ngerti', 'aplikasi', 'sudh', 'registrasi', 'trus', 'login', 'tpi']</t>
  </si>
  <si>
    <t>['udah', 'internet', 'lelet', 'main', 'game', 'ping', 'turu', 'kirim', 'kode', 'verifikasi', 'lelet', 'hadeh', '']</t>
  </si>
  <si>
    <t>['login']</t>
  </si>
  <si>
    <t>['usaha', 'telekomunikasi', 'aplikasi', 'android', 'indihome', 'cacat', 'kecewa', '']</t>
  </si>
  <si>
    <t>['wifi', 'mahal', 'selagit', 'jaring', 'kaya', 'babi', 'wifi', 'ribu', 'wifi', 'kaya', 'gitu', 'wajar', 'anjg', 'kesal', 'wifi', 'bodoh']</t>
  </si>
  <si>
    <t>['internet', 'ngelag', 'banget', 'gimana', 'ajar', 'online', 'ganggu', 'ngelag', 'poko', 'kacau', 'banget', 'indihome', 'bintang', 'kek', 'udh', 'rating', '']</t>
  </si>
  <si>
    <t>['layan', 'cabut', 'perangkat', 'parah', 'proses', 'refund', 'uang', 'jamin', 'asli', 'indihome', 'profesional', 'kerja', '']</t>
  </si>
  <si>
    <t>['aplikasi', 'urus', 'ngelag', 'nyaman', 'tolong', 'baik']</t>
  </si>
  <si>
    <t>['apk', 'bangke']</t>
  </si>
  <si>
    <t>['halo', 'aplikasi', 'plat', 'merah', 'brand', 'udah', 'niat', 'aplikasi', 'hasil', 'nyaman', 'guna', 'indihome', 'ayoo', 'tunjuk', 'lebih', '']</t>
  </si>
  <si>
    <t>['guna', 'langgan', 'indihome', 'alam', 'rasa', 'kena', 'turun', 'kualitas', 'naik', 'harga', 'ganggu', 'alas', 'pikir', 'normal', 'baik', 'iring', 'jalan', 'paket', 'mb', 'gadget', 'hubung', 'alami', 'ganggu', 'capai', 'fup', 'lot', 'gin', 'tulis', 'karakter', 'huruf']</t>
  </si>
  <si>
    <t>['dalam', 'senang', 'senang', 'gagal', 'usaha', 'plat', 'merah']</t>
  </si>
  <si>
    <t>['aplikasi', 'sentuh', 'kirain', 'eror', 'tau', 'aplikasi']</t>
  </si>
  <si>
    <t>['bug']</t>
  </si>
  <si>
    <t>['main', 'game', 'ngelag', 'sekali', 'main', 'sosmed', 'lancar', 'ngelag', 'ganti', 'wifi']</t>
  </si>
  <si>
    <t>['tolol', 'kasih', 'bintang', 'kerja', 'becus', 'haram', 'duit']</t>
  </si>
  <si>
    <t>['nanya', 'min', 'udh', 'pngajuan', 'pindah', 'wifi', 'msih', 'cek', 'lokasi', 'skrg', 'tpi', 'intrnet', 'mati', 'internet', 'sedia', 'pdhal', 'pmbyaran', 'smpe', 'tgl', '']</t>
  </si>
  <si>
    <t>['lag', 'trus']</t>
  </si>
  <si>
    <t>['dipake', 'adu', 'mubazir']</t>
  </si>
  <si>
    <t>['wes', 'wae']</t>
  </si>
  <si>
    <t>['niat', 'pasang', 'wifi', 'ajar', 'main', 'game', 'lancar', 'naekin', 'darah', 'doang', 'sinyal', 'coba', 'stabil', 'ngga', 'beli', 'nge', 'game', 'bagus', 'pas', 'dipake', 'lag', 'hadehhh', 'indihome', 'pantes', 'kalah', 'saing', 'oxygen', 'karna']</t>
  </si>
  <si>
    <t>['sdah', 'minggu', 'aplikasi', 'error', 'trus', 'gmna', 'maju', 'aplikasi', 'error', 'trus', 'tolong', 'baharu', 'playanan', 'lbih']</t>
  </si>
  <si>
    <t>['january', 'sya', 'pindah', 'perangkat', 'alamat', 'tpi', 'smpai', 'skarang', 'teknisi', 'dtang', 'rumah', 'sya', 'tlpon', 'ktanya', 'tpi', 'smpai', 'skrng', 'nggk', 'hsil', 'sya', 'langgan', 'indihom', 'dri', 'thun', 'brbagai', 'alas', 'ktakan', 'indihom', 'krna', 'lelah', 'tunggu', 'skrng', 'aju', 'buat', 'perangkat', 'indihom', 'bru', 'langsung', 'merespon', 'pasang', 'dlm', 'wktu', 'jam', 'dasar', 'licik', 'pas', 'mintak', 'pindahin', 'perangkat', 'nggk', 'ngurus', '']</t>
  </si>
  <si>
    <t>['sampah', 'nge', 'down', 'trs']</t>
  </si>
  <si>
    <t>['gajelas', 'indihome', 'najis', 'mending', 'ganti', 'bizznet', '']</t>
  </si>
  <si>
    <t>['eror', 'mulu', 'aplikasi', 'benerin', 'donk', 'fup', 'kelas', 'hap', 'fupp', 'jadi', 'dedicated']</t>
  </si>
  <si>
    <t>['login', 'eror', 'tulis', 'pas', 'udah', 'login', 'liat', 'cepat', 'internet', 'pakai', 'eror', 'liat', 'tagih', 'lancar', 'jaya', 'detail', 'tagih', 'gaada', 'maksud', '']</t>
  </si>
  <si>
    <t>['app', 'cacat', 'tdi', 'discrool', 'gerak', 'taik', 'developer', 'gimana', '']</t>
  </si>
  <si>
    <t>['lot', 'mbps', 'lumayan', 'lancar', 'mbps', 'kya', 'siput', 'buka', 'status', 'muter', 'mulu', 'bayar', 'tagih', 'jatuh', 'tempo', '']</t>
  </si>
  <si>
    <t>['hang']</t>
  </si>
  <si>
    <t>['hbs', 'update', 'dbuka', 'malu', 'telkom', 'app', 'bermasalh', 'tnp', 'solusi']</t>
  </si>
  <si>
    <t>['jelek', 'kelas', 'usah', 'bumn', 'aplikasi', 'receh', 'bagi', 'koneksi', 'akses', 'lambat', '']</t>
  </si>
  <si>
    <t>['wifi', 'jelek', 'jaring', 'indihome', 'pucek', 'maen', 'pubg', 'beban', 'ngotak']</t>
  </si>
  <si>
    <t>['tim', 'trouble', 'sistem', 'baik', 'semangat', '']</t>
  </si>
  <si>
    <t>['langgan', 'internet', 'harga', 'mahal', 'biaya', 'tagih', 'atas', 'banding', 'tagih', 'listrik', 'pdhl', 'listrik', 'pakai', 'sungguh', 'harga', 'jual', 'internet', 'bodoh', 'masyarakat', 'orang', 'kaya', 'wajar', 'miskin', 'butuh', 'ajar', 'daring', 'gmn', 'edan']</t>
  </si>
  <si>
    <t>['tunggu', 'koneksi', 'wifinya', 'bagus', 'layan', 'youtube', 'nikmat', 'bru', 'thanks']</t>
  </si>
  <si>
    <t>['aplikasi', 'susah', 'buka', 'loading', 'selesai', 'selesai', 'males', '']</t>
  </si>
  <si>
    <t>['apk', 'error']</t>
  </si>
  <si>
    <t>['aplikasi', 'manfaat', '']</t>
  </si>
  <si>
    <t>['', 'baik']</t>
  </si>
  <si>
    <t>['lot', 'parah', 'sesuai', 'standard', 'jaring', 'komunikasi', 'nasional', '']</t>
  </si>
  <si>
    <t>['lot', 'indihome', 'tolong', 'baik', 'jaring', 'jaring', 'lot', 'semalem', 'tanda', 'merah', 'resivernya']</t>
  </si>
  <si>
    <t>['komplain', 'ganggu', 'internet', 'aplikasi', 'gerak', 'parah']</t>
  </si>
  <si>
    <t>['aplikasi', 'log', 'eror', 'mulu']</t>
  </si>
  <si>
    <t>['aplikasi', 'jelek', 'banget', 'sumpah', 'eror', 'mulu', 'sinyal', 'jelek', 'banget', 'layan', 'indihome', 'kecewa']</t>
  </si>
  <si>
    <t>['parah', 'indihome', 'jelek', 'signal', 'suka', 'banget', 'ilang', 'signal', 'ping', 'suka', 'stabil', 'tolong', 'baik', 'nyaman', '']</t>
  </si>
  <si>
    <t>['aplikasi', 'error', 'bayar', 'nggk', 'sesuai', 'tera', '']</t>
  </si>
  <si>
    <t>['maaf', 'mba', 'mas', 'sya', 'langgan', 'wifi', 'indihome', 'kcepatan', 'mbps', 'kcepatan', 'sya', 'mnjadi', 'mbps', 'bagus', 'buruk', 'tolong', 'baik', 'puas', 'langgan', 'utama', 'terima', 'kasih', '']</t>
  </si>
  <si>
    <t>['kali', 'ganggu', 'gmna', 'ganggu', 'trs', 'bayar', 'kena', 'denda', 'internet', 'putusin', 'biaya', 'tambah', 'hadehhh', 'internet', '']</t>
  </si>
  <si>
    <t>['aplikasi', 'nga', 'guna', 'telfon', 'ngatas', 'nama', 'aplikasi', 'adu', 'nga', 'respon', 'sampah']</t>
  </si>
  <si>
    <t>['aplikasi', 'usaha', 'warnet', 'user', 'download', 'data', 'luar', 'pabrik', 'andal', 'renew', 'sod', 'proses', 'warnet', 'tutup', 'ambil', 'sod', 'renew', 'bayar', 'tagih', 'telkom', 'kayak', 'gin', '']</t>
  </si>
  <si>
    <t>['kecewa', 'indihome', 'pasang', 'minggu', 'kabar', 'provider', 'daerah', 'pasang', 'indihome']</t>
  </si>
  <si>
    <t>['aplikasi', 'mudah', 'tagih', 'layan', 'daftar', 'poin', 'langgan', 'indihome', 'rewards', 'poin', 'tsb', 'blm', 'tukar', 'langgan', 'error', 'kali', 'tukar', 'solusi', 'poin', 'hangus', 'tahun', 'tukar', 'rewards', 'luar', 'bandung', 'pilih', 'saran', 'mohon', 'benah', 'sistem', '']</t>
  </si>
  <si>
    <t>['mantap', 'super', 'cepat']</t>
  </si>
  <si>
    <t>['kembali', 'tombol', 'unduh', 'tagih', 'bayar', 'thank', 'you']</t>
  </si>
  <si>
    <t>['detail', 'tagih', 'hilang', 'gembel', 'kucing', 'karung', '']</t>
  </si>
  <si>
    <t>['hubung', 'pindah', 'wifi', 'alamat', 'alamat', 'maks', 'jam', 'jam', 'hubung', 'indihome', 'bayar', 'tagih', 'layan', '']</t>
  </si>
  <si>
    <t>['payah', 'tagih', 'pemberitahuan', 'langgan']</t>
  </si>
  <si>
    <t>['temen', 'temen', 'kerja', 'ditelkom', 'indihome', 'nawarin', 'jasa', 'pasang', 'wifi', 'murah', 'bayar', 'suruh', 'transfer', '']</t>
  </si>
  <si>
    <t>['mantap', 'gan', 'ane']</t>
  </si>
  <si>
    <t>['nomer', 'indihome', 'buka', 'tagih']</t>
  </si>
  <si>
    <t>['malu', 'kasi', 'bintang', 'usah', 'bumn', 'bagus', 'tolong', 'donk', 'baik', '']</t>
  </si>
  <si>
    <t>['abis', 'update', 'knp', 'log', 'susah', 'udah', 'login', 'ngelink', 'internet', 'masuk', 'liat', 'tagih', 'tolong', 'baik', 'detail', 'tagih', 'internet', 'pakai', 'bayar', 'beda', 'tolong', '']</t>
  </si>
  <si>
    <t>['', 'kecewa', 'banget', 'berlanganan', 'indihome', 'dlm', 'minggu', 'aplikasi', 'indihome', 'masalah', 'cek', 'pengunaan', 'loading', 'sod', 'gagal']</t>
  </si>
  <si>
    <t>['proviser', 'pling', 'kacau', 'psang', 'putus', 'abis', 'laporin', 'lot', 'ado', 'bloc', 'jngan', 'maksa', 'msang', 'sistem', 'arisan', 'indihome', 'jangam', 'sehri', 'main', 'menit', 'gnguan', 'hubung', 'sila', 'restar', 'modem', 'udah', 'ampir', 'restar', 'modem', 'msi', '']</t>
  </si>
  <si>
    <t>['aplikasi', 'erorr', 'ngehang', 'jln', 'lapor', 'ganggu', 'susah', 'nomor', 'call', 'center', 'lapor', 'ganggu']</t>
  </si>
  <si>
    <t>['ngelag', 'banget', 'benerin', 'napa', '']</t>
  </si>
  <si>
    <t>['mahal', 'doang', 'sekali', 'problem', 'baik', 'galagi', 'galagi', 'deh', '']</t>
  </si>
  <si>
    <t>['jujur', 'kecewa', 'kpda', 'indihome', 'lag', 'main', 'game', 'online', 'ping', 'kuning', 'merah', 'aploud', 'tugas', 'lag', 'nonton', 'youtube', 'tiktok', 'cmn', 'muter', 'tolong', 'baik', 'karna', 'lang', 'indihome', 'ber', '']</t>
  </si>
  <si>
    <t>['aplikasi', 'lot', 'database', 'rapihin', 'registrasi', 'update', 'ribet', 'rincian', 'bayar', 'mana', 'tampil', 'langgan', 'cek', 'rincian', 'bayar', '']</t>
  </si>
  <si>
    <t>['renew', 'speed', 'eror', '']</t>
  </si>
  <si>
    <t>['kasih', 'bintang', 'tetep', 'komentar', 'ksh', 'bintang', 'apa', 'aplikasi', 'butut', 'kaya', 'gin', 'install', 'loginnya', 'susah', 'parah', 'hasil', 'masuk', 'dashboard', 'notifikasi', 'lengkap', 'profile', 'kolom', 'skip', 'next', 'klik', 'alhasil', 'stuck', 'situ', 'usaha', 'nama', 'org', 'layan', 'bobrok', 'bngt', 'tagih', 'sesuai', '']</t>
  </si>
  <si>
    <t>['oke', 'deh', 'bintang', 'karna', 'telkom', 'hadir', 'kembang', 'bidang', 'telekomunikasi', 'suda', 'bantu', 'masyarakat', 'indonesia', 'kurang', 'lebih', 'dlm', 'layan', 'usaha', 'wajar', 'layan', 'masyarakat', 'seruluh', 'indonesia', 'mudah', 'moga', 'depa', 'layan', 'semangat', 'telkom', '']</t>
  </si>
  <si>
    <t>['chat', 'pakai', 'salah', 'sistem', 'tolong', 'baik', 'layan', 'tagih', 'depan', 'butuh', 'puas', 'langgan']</t>
  </si>
  <si>
    <t>['kemarin', 'hapus', 'aplikasi', 'eror', 'instal', 'ulang', 'tracknya', 'pasang', 'indihome', 'notifikasi', 'bayar', 'deposit', 'ulang', 'kali', 'lapor', '']</t>
  </si>
  <si>
    <t>['aplikasi', 'penuh', 'error', 'gagal']</t>
  </si>
  <si>
    <t>['akses', 'aplikasi', 'lambat', 'internetan', 'game', 'cepat', 'adu', 'layan', 'diperoses', 'muas', '']</t>
  </si>
  <si>
    <t>['ratingnye', 'jelek', 'mahal', 'doang', 'lot', 'iya']</t>
  </si>
  <si>
    <t>['tagih', 'usaha', 'raksasa', 'puluh', 'layan', 'kecewa', 'kalah', 'provider', 'menu', 'minus', 'bintang', 'kasih', 'minus', '']</t>
  </si>
  <si>
    <t>['aplikasi', 'lot', 'banget', '']</t>
  </si>
  <si>
    <t>['tingkat', 'performa']</t>
  </si>
  <si>
    <t>['internetnya', 'jelek', 'banget', 'mending', 'biznet']</t>
  </si>
  <si>
    <t>['lapor', 'sulit', 'jawab', 'muter', 'muter', 'melulu', 'aplikasi', '']</t>
  </si>
  <si>
    <t>['aplikasi', 'nggak', 'pakai', 'nggak', 'guna', '']</t>
  </si>
  <si>
    <t>['kacau', 'banget', 'lot', 'eror', 'mulu', 'jaring', 'aplikasi', '']</t>
  </si>
  <si>
    <t>['wifi', 'haram', 'udh', 'ganggu', 'mohon', 'baik', 'gara', 'wifi', 'bayar', 'tpi', 'rasa', '']</t>
  </si>
  <si>
    <t>['dapet', 'balas', 'indihome', 'nang', 'tgl', 'internet', 'tanggal', 'tolong', 'simak', 'jalur', 'indihome', 'beda', 'beda', 'tugas', 'ahli', 'profesional', 'bidang', 'ngakalin', 'tok', 'selang', 'box', 'tutup', 'tiang', 'jalur', 'udah', 'mana', 'kemari', 'kemarin', 'gimana', 'error', 'kabel', 'listrik', 'kena', 'air', 'tanggung', 'bos', '']</t>
  </si>
  <si>
    <t>['lapor', 'ulang', 'kali', 'reapon', 'cabut', 'henti', 'langgan', '']</t>
  </si>
  <si>
    <t>['amanah', 'indihome', 'aju', 'refund', 'deposit', 'minggu', 'telpon', 'admin', 'putus', 'telkom', 'telpon', 'malam', 'jam', 'jam', 'istirahat', 'jaga', 'ridho', '']</t>
  </si>
  <si>
    <t>['kecewa', 'indihome', 'respond', 'internet', 'pakai', 'cepat', 'merespond', 'maklum', 'guna', 'respond', 'hari', 'konfirmasi', 'apa', 'telat', 'bayar', 'kecewa', '']</t>
  </si>
  <si>
    <t>['aplikasi', 'stabil', 'nge', 'hang', 'add', 'error', 'mulu', '']</t>
  </si>
  <si>
    <t>['aplikasi', 'edan', 'udh', 'buka', 'gerakin', 'diem', 'layar', 'kali', 'masuk', 'aplikasi', 'gerak', 'cek', 'tagih', 'susah', 'banget']</t>
  </si>
  <si>
    <t>['parah', 'parah', 'instal', 'verifikasi', 'ngelek', 'pencet', 'kaya', 'prt', 'sysrq', 'keyboard', 'payah', '']</t>
  </si>
  <si>
    <t>['knpa', 'susah', 'masuk', 'gagal', 'trus']</t>
  </si>
  <si>
    <t>['instal', 'buka', 'login', 'masuk', 'aplikasi', 'lot', 'bener', '']</t>
  </si>
  <si>
    <t>['halamanya', 'not', 'responding', 'kadang', 'reload', 'respon', 'pada', 'jaringanyaa', 'sinyal', 'aman']</t>
  </si>
  <si>
    <t>['detail', 'rincian', 'tagih', 'bulan', 'hilang', 'ecek', 'tagih', 'bulan', 'enak', 'langsung', 'aplikasi', '']</t>
  </si>
  <si>
    <t>['aplikasi', 'indihome', 'parah', 'lot', 'banget', 'rincian', 'tagih', 'liat', 'guna', 'error', 'pokok', 'kecewa', '']</t>
  </si>
  <si>
    <t>['gua', 'samsung', 'ultra', 'parah', 'banget', 'lag', 'liat', 'menu', 'parah', 'ampun']</t>
  </si>
  <si>
    <t>['payah', 'login', 'stack', 'halaman', 'kode', 'otp', 'developer', '']</t>
  </si>
  <si>
    <t>['', 'eror']</t>
  </si>
  <si>
    <t>['aplikasi', 'bug', 'loadingnya', 'parah']</t>
  </si>
  <si>
    <t>['keluar', 'bulan']</t>
  </si>
  <si>
    <t>['sumpah', 'login', 'pdahal', 'kode', 'otp', 'bner', '']</t>
  </si>
  <si>
    <t>['tama', 'pasang', 'jaring', 'lancar', 'lot', 'udah', 'paket', 'bagus', 'bayar', 'lancar', 'deposit', 'lot', 'nggak', '']</t>
  </si>
  <si>
    <t>['indihome', 'pasang', 'tau', 'trouble', 'gimana', 'cct', 'indihome', 'buruk']</t>
  </si>
  <si>
    <t>['lambat', 'respon', 'complain']</t>
  </si>
  <si>
    <t>['apk', 'lot', 'suka', 'ngehank', 'gitu', 'pas', 'loading', 'tampil', 'udh', 'update', 'aplikasi', 'smpe', 'reinstal', 'tetep', 'slalu', 'ngehank', 'dri', 'ruang', 'simpan', 'aman', 'tolong', 'baik', 'makasihhh']</t>
  </si>
  <si>
    <t>['pasang', 'teknisi', 'alas', 'line', 'penuh', 'panel', 'dekat', 'emang', 'penuh', 'panel', 'kecewa', 'kelas', 'indihome', 'jaring', 'fiber', 'optik', 'susah', 'urus']</t>
  </si>
  <si>
    <t>['habis', 'update', 'aneh', 'login', 'masukin', 'kode', 'otp', 'nunggu', 'menit', 'dpt', 'masuk', 'sma', 'otp', 'otp', 'opsi', 'geometri', 'gua', 'skip', 'gagal', 'login', 'gua', 'iyain', 'masuk', 'password', 'salah', 'mulu', 'mingking', 'gua', 'lupa', 'pencet', 'lupa', 'password', 'gagal', 'ganti', 'pasword', 'aplikasi', 'ribet', 'login', 'gua', 'login', 'liat', 'internet', 'bayar', 'bayar', 'kagak', '']</t>
  </si>
  <si>
    <t>['aplikasi', 'niat', 'gabisa', 'buka', 'wifi', 'kaya', 'ganggu', 'minggu', 'minggu', 'lapor', 'layan', 'gabisa', 'kecewa']</t>
  </si>
  <si>
    <t>['', 'banget', 'eror', 'loading', 'doang', 'muncul']</t>
  </si>
  <si>
    <t>['aplikasi', 'buka', 'lot']</t>
  </si>
  <si>
    <t>['like']</t>
  </si>
  <si>
    <t>['kecewa', 'aplikasi', 'indihome', 'harga', 'catchplay', 'berlamgganan']</t>
  </si>
  <si>
    <t>['bagus', 'indihome', 'moga', 'jaya']</t>
  </si>
  <si>
    <t>['otensikasi', 'wifi']</t>
  </si>
  <si>
    <t>['historis', 'detail', 'guna', 'update', '']</t>
  </si>
  <si>
    <t>['detail', 'keloloa', 'indihome', 'mudah', 'bnyk', 'bug', '']</t>
  </si>
  <si>
    <t>['habis', 'upgrade', 'mbps', 'lelet', 'putus', 'nyambung', 'kecewa', 'berat', '']</t>
  </si>
  <si>
    <t>['buruk', 'aplikasi', 'loading', 'lambat', '']</t>
  </si>
  <si>
    <t>['indhome', 'jelek', 'lot', 'bayar', 'wifi', 'telat', 'layan', 'kecewa']</t>
  </si>
  <si>
    <t>['login', 'gagal', 'heran']</t>
  </si>
  <si>
    <t>['aplikasi', 'bagus', 'klik', 'bantu', 'puluh', 'kali', 'muter', 'melulu', 'telkom', 'layan', 'kelas', 'dunia', 'malu', 'aplikasi', 'susah', 'akses', 'langgan', 'indihome', 'baik', 'layan', 'langgan', 'kecewa', '']</t>
  </si>
  <si>
    <t>['susah', 'banget', 'login', 'pdhal', 'gampang', 'skrg', 'log', 'biometrik', 'trus', 'reset', 'pasword', 'susah', 'hadoohh']</t>
  </si>
  <si>
    <t>['', 'kmrn', 'buka', 'aplikasi', 'nggk', 'blank', 'trus', 'nggk', 'muncul', 'nominal', 'tagih', 'udh', 'coba', 'uninstall', 'trus', 'instal', 'ulang', 'tetep', 'responnya', 'muter', 'trus', 'nggk', 'byr', 'tghn', 'via', 'aplikasi', 'deh']</t>
  </si>
  <si>
    <t>['aplikasi', 'buruk', 'download']</t>
  </si>
  <si>
    <t>['aplikasi', 'lot', 'susah', 'jalan']</t>
  </si>
  <si>
    <t>['registrasi', 'akun', 'myindihome', 'gagal', 'tolong', 'solusi', 'trims', '']</t>
  </si>
  <si>
    <t>['bantu', 'banget', 'mudah', 'ngecrash', 'udah', 'bagus']</t>
  </si>
  <si>
    <t>['myi', 'eror', '']</t>
  </si>
  <si>
    <t>['login', 'indihome', '']</t>
  </si>
  <si>
    <t>['parah', 'aplikasi', 'susah', 'login', 'aplikasi', 'login']</t>
  </si>
  <si>
    <t>['kesal', 'aplikasi', 'doang', 'susah', 'banget', 'cek', 'pakai', 'liat', 'tagih']</t>
  </si>
  <si>
    <t>['trimakasih', 'bukti', 'bantu', 'tingkat', 'layan', 'indihome', 'guna', 'indihome', 'keren', '']</t>
  </si>
  <si>
    <t>['pasang', 'naikin', 'paket', 'mbps', 'gaada', 'beda', 'aplikasi', 'tampil', 'paket', 'ambil', 'tetangga', 'belah', 'henti', 'langgan', 'putus', 'kabel', 'malahnkabel', 'putus', 'jumper', '']</t>
  </si>
  <si>
    <t>['sulit', 'login', 'ganggu']</t>
  </si>
  <si>
    <t>['tolong', 'baik']</t>
  </si>
  <si>
    <t>['', 'ubah', 'arah', 'apk', 'saran', 'apk', 'pusing', 'lgsng', 'klik', 'update', 'hapus', 'sih', 'cache', 'trs', 'download', 'ulang', 'pas', 'login', 'masukin', 'nmr', 'verifikasi', 'udah', 'ngaco', 'pdhl', 'nmr', 'udah', 'sesuai', 'stlh', 'pas', 'udah', 'msk', 'normal', 'tau', 'pas', 'klik', 'tombol', 'lengkap', 'ngapa', 'in', 'tombol', 'back', 'fungsi', 'henti', 'paksa', 'yaaaaah', 'parah', 'banget', 'kayak', 'baca', 'posting', 'mslh', 'kritik', '']</t>
  </si>
  <si>
    <t>['aplikasi', 'ngebug', 'profesional', 'banget']</t>
  </si>
  <si>
    <t>['kecewa', 'naik', 'tarif', 'konfirmasi']</t>
  </si>
  <si>
    <t>['masuk', 'susah', 'bangat', 'pke', 'pke', 'email', 'terdftar', 'jdi', 'bgai', 'mna', 'email', 'terdftar', 'indihom']</t>
  </si>
  <si>
    <t>['log', 'pakai', 'email', 'nomor', 'aplikasi', '']</t>
  </si>
  <si>
    <t>['bug', 'banget', 'kaya', 'app', 'luncur']</t>
  </si>
  <si>
    <t>['hallo', 'kak', 'langgan', 'indihome', 'sulit', 'masuk', 'akun', 'aplikasi']</t>
  </si>
  <si>
    <t>['kecewa', 'wakil', 'terimakasih']</t>
  </si>
  <si>
    <t>['bantu', 'tpi', 'lot']</t>
  </si>
  <si>
    <t>['ngga', 'login', 'akun']</t>
  </si>
  <si>
    <t>['aplikasi', 'tampil', 'pas', 'reinstall', 'login', 'ribet', 'bolak', 'masuk', 'kelas', 'indihome', 'koq', 'mau', 'kembali', 'menu', 'cek', 'tagih', 'rinci', 'aplikasi', 'titik', 'terima', 'kasih', '']</t>
  </si>
  <si>
    <t>['indihome', 'udah', 'internetnya', 'mati', 'lapor', 'janjiin', 'teknisi']</t>
  </si>
  <si>
    <t>['bantu', 'verifikasi', 'bolak', '']</t>
  </si>
  <si>
    <t>['aplicasinya', 'masalah', 'nga', 'tampil', 'trus', 'sya', 'coba', 'urgadet', 'tinkatkan', 'cepat', 'lwat', 'apps', 'nga', 'berulankali', 'coba', 'nga', 'jaringanya', 'hilang', 'hilang', 'lebibagus', 'jaring', 'telkom', 'bandin', 'jaring', 'indhom', '']</t>
  </si>
  <si>
    <t>['aplikasi', 'login', 'bangke']</t>
  </si>
  <si>
    <t>['aplikasi', 'lot', 'banget', 'info', 'tagih', 'muncul']</t>
  </si>
  <si>
    <t>['udh', 'download', 'apk', 'indihome', 'aplikasi', 'pas', 'login', 'lgi', 'kgk', 'ngecek', 'tagih']</t>
  </si>
  <si>
    <t>['aplikasi', 'eror']</t>
  </si>
  <si>
    <t>['aplikasi', 'buka', 'lot', 'detail', 'bayar', 'ilangin', 'kesini', 'update', 'appnya', 'smakin', 'jelek']</t>
  </si>
  <si>
    <t>['kecewa', 'layan', 'teknisi', 'indihome', 'kerja', 'lambat', 'harga', 'barang', 'nota', 'knp', 'langsung', 'jual', 'kabel', 'blg', 'jual', 'langgan', '']</t>
  </si>
  <si>
    <t>['ribeeet']</t>
  </si>
  <si>
    <t>['lupa', 'password', 'login', 'ulang', 'pasword', 'gagal']</t>
  </si>
  <si>
    <t>['aplikasi', 'ecek', '']</t>
  </si>
  <si>
    <t>['aplikasi', 'pakai', 'refresh']</t>
  </si>
  <si>
    <t>['rusak', 'gin', 'aplikasi', 'baru', 'nyaman', 'ehh', 'kek', 'hmm', '']</t>
  </si>
  <si>
    <t>['login', 'jelek', 'banget', 'aplikasi', 'bagus']</t>
  </si>
  <si>
    <t>['ngga', 'app', 'liat', 'tagih', 'ngga', 'tanda', 'refresh', 'log', 'out', 'pas', 'login', 'ngga']</t>
  </si>
  <si>
    <t>['applikasi', 'indihome', 'susah', 'akses', 'riwayat', 'tagih', 'hilang', 'tagih', 'slnjutnya', 'muncul', 'muncul', 'eror', 'akses', 'malas', 'absenin', '']</t>
  </si>
  <si>
    <t>['knpa', 'login', 'bingung', 'liat', 'tagih']</t>
  </si>
  <si>
    <t>['errrrrror']</t>
  </si>
  <si>
    <t>['sulit', 'akses', 'sinyal', 'lemah', 'cepat', 'sudak', 'apgred']</t>
  </si>
  <si>
    <t>['error', 'info', 'paket', 'blank', 'login', 'susah']</t>
  </si>
  <si>
    <t>['registrasi', 'sulit', 'tolong', 'baik', 'ksh', 'bintang', 'stlah', 'naik']</t>
  </si>
  <si>
    <t>['bantu', 'guna', 'indhihom']</t>
  </si>
  <si>
    <t>['aplikasi', 'akses', 'aneh', 'banget']</t>
  </si>
  <si>
    <t>['bayar', 'ahli', 'tangan', 'aplikasi', 'biar', 'uang', 'aplikasi', 'myindihome', 'jalan', 'lancar', 'kecewa', 'kelas', 'telkom', '']</t>
  </si>
  <si>
    <t>['aplikasi', 'loding', 'nga', 'muncul', '']</t>
  </si>
  <si>
    <t>['skrang', 'blank', 'tulis', 'putih', 'apk', '']</t>
  </si>
  <si>
    <t>['sya', 'kasih', 'saran', 'tolong', 'rincian', 'bayar', 'tampil', 'aplikasi', '']</t>
  </si>
  <si>
    <t>['', 'aplikasi', 'login', 'relogin', 'gagal', 'login']</t>
  </si>
  <si>
    <t>['lengganan', 'dasar', 'paksa', 'karna', 'jaring', 'jaring', 'alih']</t>
  </si>
  <si>
    <t>['maaf', 'aplikasi', 'koq', 'muter', 'muter', 'buka', 'tolong', 'update', 'rincian', 'fup', 'dihaapus', 'bagus', 'rinciannya', 'dusta', 'tqu']</t>
  </si>
  <si>
    <t>['aplikasi', 'buka', 'udah', 'internet', 'error', 'laporin', '']</t>
  </si>
  <si>
    <t>['login', 'akun']</t>
  </si>
  <si>
    <t>['gabisa', 'login', 'aplikasi', 'udah', 'bener']</t>
  </si>
  <si>
    <t>['harga', 'jangkau', 'layan', 'tingkat']</t>
  </si>
  <si>
    <t>['auto', 'uninstal', 'cek', 'sedia', 'jaring', 'daerah', 'rumah', 'tetangga', 'indihome', 'aplikasi', 'mudah', 'jengkel']</t>
  </si>
  <si>
    <t>['jaring', 'wifi', 'kenceng', 'data', 'kenceng', 'log', 'sekali', 'log', 'putih', '']</t>
  </si>
  <si>
    <t>['appnya', 'gabisa', 'dipake', 'akun', 'logout']</t>
  </si>
  <si>
    <t>['aplikasi', 'banget', 'error']</t>
  </si>
  <si>
    <t>['gagal', 'maaf', 'minta', 'gagal', 'mohon', 'ulang', 'proses', 'gitu', '']</t>
  </si>
  <si>
    <t>['cek', 'tagih', 'loadingnya', 'bad', 'susah', 'cek', 'tagih']</t>
  </si>
  <si>
    <t>['aplikasi', 'lot', '']</t>
  </si>
  <si>
    <t>['pakai', 'data', 'muncul', 'muter', 'tok', 'indihome', '']</t>
  </si>
  <si>
    <t>['aplikasi', 'layak', 'edar', 'halaman', 'muka', 'tanda', 'reload', 'cek', 'tagih', 'jga', 'tanda', 'reload', 'aplikasi', 'tsv', '']</t>
  </si>
  <si>
    <t>['', 'jaring', 'bagus', 'aplikasi', 'berat', 'buka', 'fak']</t>
  </si>
  <si>
    <t>['apps', 'berat', 'cek', 'pakai', 'lot']</t>
  </si>
  <si>
    <t>['tolong', 'telkom', 'fokus', 'layan', 'untung', 'aplikasi', 'myindihome', 'urus', 'suka', 'error', 'jringan', 'stabil', 'uda', 'nambah', 'speed', 'tmbh', 'ngeleg', 'lucu']</t>
  </si>
  <si>
    <t>['heran', 'aplikasi', 'guna', 'adu', 'layan', 'aplikasi', 'lot', 'eror']</t>
  </si>
  <si>
    <t>['lot', 'admin']</t>
  </si>
  <si>
    <t>['ayooo', 'kasih', 'bintang', 'apk', 'lemottt']</t>
  </si>
  <si>
    <t>['salut', 'apk', 'mahal', 'harga', 'mutu', 'super', 'lelet', '']</t>
  </si>
  <si>
    <t>['update', 'speed', 'mbps', 'mbps', 'sulit', 'ampuuuunnn', 'deeeh', '']</t>
  </si>
  <si>
    <t>['apk', 'milik', 'bumn', 'lemoott']</t>
  </si>
  <si>
    <t>['aplikasi', 'lelet', 'mutu']</t>
  </si>
  <si>
    <t>['susah', 'buka', 'loadingnya', 'lammmaaaa']</t>
  </si>
  <si>
    <t>['super', 'lelet']</t>
  </si>
  <si>
    <t>['aplikasi', 'busuk', 'lot']</t>
  </si>
  <si>
    <t>['login', '']</t>
  </si>
  <si>
    <t>['aplikasi', 'lelet', 'kirain', 'hari', 'doang', 'udah', 'hari', 'gin', 'gin', 'cek', 'tagih', 'bayar', 'serius', 'app', 'nilai', 'bawah', 'bener', 'ngecewain', 'mantap', '']</t>
  </si>
  <si>
    <t>['pasang', 'sampe', 'datengin', 'sales', 'suruh', 'registrasi', 'via', 'apk', 'apk', 'lot', 'register', 'susah', 'kemaren', '']</t>
  </si>
  <si>
    <t>['gajelas']</t>
  </si>
  <si>
    <t>['', 'ampun', 'telkom', 'gin', 'ngelola', 'apk', 'ingetin', 'elu', 'isp', 'masak', 'server', 'apk', 'gin', 'ancur', 'banget', 'pakai', 'muter', 'kek', 'otak', 'nyampe', 'untung', 'bumn', 'swasta', 'mahal', 'gpp', 'ikhlas', 'kek', 'kualitas', 'apk', 'amburadul', '']</t>
  </si>
  <si>
    <t>['habis', 'uninstal', 'instal', 'aplikasi', 'cek', 'tagih', 'palah', 'ngga', 'login', 'trus', 'error', 'muncul', 'notif', 'langkah', 'solusi', 'gmana', 'admin', '']</t>
  </si>
  <si>
    <t>['jelek', 'banget', 'applikasi', 'buka']</t>
  </si>
  <si>
    <t>['aplikasi', 'lot', 'susah', 'konek', 'rincian', 'bayar', 'tampil', '']</t>
  </si>
  <si>
    <t>['kelamaaan', 'log', 'hrs', 'baru', '']</t>
  </si>
  <si>
    <t>['gajelas', 'apk', 'login', 'indihome', 'sulit', 'eror', 'gagal', 'lsh', 'males', 'apk']</t>
  </si>
  <si>
    <t>['kren']</t>
  </si>
  <si>
    <t>['akun', 'indihome', 'udh', 'coba', 'gagal']</t>
  </si>
  <si>
    <t>['', 'pakai', 'indihome', 'sekrang', 'ancur', 'banget', 'baik', 'samasekali']</t>
  </si>
  <si>
    <t>['taik', 'aplikasi', 'buka', 'lola', 'kali', 'pakek', 'jaring', 'wifi', 'kembang', 'aplikasi', 'cuman', 'carik', 'ranting', 'gimna', 'taik']</t>
  </si>
  <si>
    <t>['alikasi', 'lot', 'jaring', 'bagus', 'loadingnya']</t>
  </si>
  <si>
    <t>['skng', 'apk', 'bsa', 'bka', '']</t>
  </si>
  <si>
    <t>['aplikasi', 'lot', 'parah', 'cek', 'sisa', 'quota', 'susah']</t>
  </si>
  <si>
    <t>['lahh', 'apk', 'indihome', 'akses', 'udh', 'jaring', 'lot']</t>
  </si>
  <si>
    <t>['aplikasi', 'ngadat', 'server', 'sibuk', '']</t>
  </si>
  <si>
    <t>['detail', 'rincian', 'tagih', 'gambar', 'mohon', 'tunggu', 'loding', 'nongol', 'hadehhh', 'ush', 'aplikasi', 'dipake', 'buang', 'kuota']</t>
  </si>
  <si>
    <t>['plat', 'merah', 'yaa', 'segitu', 'beranta', 'layan', '']</t>
  </si>
  <si>
    <t>['gimana', 'cit', 'buka', 'aplikasi', 'login', 'loading', 'wifi', 'aplikasi', 'buka', 'kocak', 'kocak']</t>
  </si>
  <si>
    <t>['aplikasi', 'buka']</t>
  </si>
  <si>
    <t>['guna', 'aplikasi', 'mudah', 'ecek', 'bayar', 'pakai', 'login', 'susah', 'ampun', '']</t>
  </si>
  <si>
    <t>['masuk', 'ajg']</t>
  </si>
  <si>
    <t>['rincian', 'bayar', 'jelas', 'donk', 'luas', 'sebar', 'wifi', 'seamless']</t>
  </si>
  <si>
    <t>['ampas', 'login']</t>
  </si>
  <si>
    <t>['', 'buka', 'aplikasi', 'coba', 'hapus', 'download', 'gagal', 'masuk', 'gimana', 'tolong', 'baik']</t>
  </si>
  <si>
    <t>['ngga', 'muncul', 'aplikasi', 'loading', 'internet', 'lancar', 'youtub', 'lancar', 'bayar', 'tagih']</t>
  </si>
  <si>
    <t>['indihome', 'kacau', 'kemaren', 'apknya', 'akses']</t>
  </si>
  <si>
    <t>['terimakasih', 'indihome', 'mohon', 'maaf', 'aplikasi', 'myindihome', 'buka', 'susah', 'banget', 'aplikasi', 'indihome', 'bantu', 'mohon', 'aplikasi', 'lancar', 'terima', 'kasih', 'mohon', 'maaf', 'kalimat', 'salah', '']</t>
  </si>
  <si>
    <t>['aplikasi', 'berat', 'loading']</t>
  </si>
  <si>
    <t>['knp', 'buffering', 'ros', 'aplikasi', 'lapor', 'ganggu', '']</t>
  </si>
  <si>
    <t>['update', 'login', 'komplain', 'ulas', 'lambat', 'baik', '']</t>
  </si>
  <si>
    <t>['indhomenya', 'ngadat', 'siar', 'youtube', '']</t>
  </si>
  <si>
    <t>['buka']</t>
  </si>
  <si>
    <t>['gilir', 'komplain', 'apk', 'dipake', 'hubung', 'bayar', 'suruh', 'telat', 'denda', 'komplain', 'ilang']</t>
  </si>
  <si>
    <t>['apk', 'error', 'wifi', 'putus', 'connection', 'pulak', 'alah', 'ken', 'pindah']</t>
  </si>
  <si>
    <t>['better', 'than', 'before', '']</t>
  </si>
  <si>
    <t>['masuk', 'apk', 'indihome', 'indihome', 'payah']</t>
  </si>
  <si>
    <t>['parah', 'baik', 'aplikasi', 'tampil', 'kosong', 'bentar', 'gosong', '']</t>
  </si>
  <si>
    <t>['screen', 'blank', 'lot', 'responnya', 'lambat']</t>
  </si>
  <si>
    <t>['udah', 'lot', 'tagih', 'langit', 'otw', 'penyopotan', 'yok', 'nyopot', 'rame', 'rame']</t>
  </si>
  <si>
    <t>['aplikasi', 'knp', 'login', 'gagal', 'masuk', 'jaring', 'data', 'buffering', 'login', 'aplikasi', 'knp', 'bgitu', 'lelet', 'pdahal', 'jaring', 'bagusn', 'dipake', 'nnton', 'youtube', 'tes', 'browsing', 'lancar', 'bgitu', 'msuk', 'aplikasi', 'mutar', 'lelet', 'bnget', 'bhkan', 'sma', 'skali', 'knp', 'aplikasi', '']</t>
  </si>
  <si>
    <t>['buka', 'aplikasi', 'indihome', 'loading', 'cek', 'tagih', 'lihat', 'kuota', 'pakai', '']</t>
  </si>
  <si>
    <t>['login', 'aplikasi', 'gagal', '']</t>
  </si>
  <si>
    <t>['cacat']</t>
  </si>
  <si>
    <t>['akses', 'aplikasi', 'indihomenya', 'kemarin', 'login', '']</t>
  </si>
  <si>
    <t>['loadingnya', 'lelet', 'alias', 'fix', '']</t>
  </si>
  <si>
    <t>['parah', 'erorrrrrrrrr', '']</t>
  </si>
  <si>
    <t>['kemarin', 'susah', 'akses', 'aplikasi', 'myindihome', 'lapor', 'rusa', 'jaring', 'wilayah', 'tolong', 'aplikasi', 'myindihome', 'ringan', 'terima', 'kasih']</t>
  </si>
  <si>
    <t>['aplikasi', 'buruk', 'log', 'gagal']</t>
  </si>
  <si>
    <t>['erti', 'apk', 'indihome', 'ulang', 'kali', 'coba', 'login', 'eror', 'aneh', 'banget', 'asli', 'jawab', 'sih', 'chace', 'install', 'ulang', 'aplikasi', 'sambung', 'facebook', 'please', 'akun', 'gua', 'benerin', 'seemless', 'sulit', 'wfh', 'improve', 'gitu', 'diem', '']</t>
  </si>
  <si>
    <t>['', 'daftar', 'internet', 'mb', 'tgl', 'desember', 'aplikasi', 'indihome', 'biaya', 'bulan', 'rb', 'telpon', 'indihome', 'biaya', 'bulan', 'plus', 'pajak', 'logika', 'kisar', 'bulan', 'tagih', 'februari', 'twitter', 'lwt', 'aplikasi', 'direspon', 'kecewa', 'orang', 'kecewa', 'harap', 'akn', 'rekomendasi', 'orang', 'orang', 'akn', 'jelek', 'jelek', 'nyata', 'jaring', 'nge', 'lag']</t>
  </si>
  <si>
    <t>['eror', 'yaa']</t>
  </si>
  <si>
    <t>['knp', 'app', 'buka', 'fungsi', 'mohon', 'info']</t>
  </si>
  <si>
    <t>['gin', 'aplikasi', 'susah', 'adu', 'repot', '']</t>
  </si>
  <si>
    <t>['login', 'akun', 'akun', 'cepat', 'mbps', 'lelet', 'putus', 'nyambung']</t>
  </si>
  <si>
    <t>['buka', 'udah']</t>
  </si>
  <si>
    <t>['macet', 'login']</t>
  </si>
  <si>
    <t>['tagih', 'pas', 'udah', 'bayar', 'bayar', 'buka', 'loading', 'loading', 'kesel', 'banget', 'sumpah']</t>
  </si>
  <si>
    <t>['smntra', 'ksh', 'bintang', 'klau', 'bayar', 'masuk', 'apk', 'indhome', 'masuk', 'menu', 'utama', 'emosi', '']</t>
  </si>
  <si>
    <t>['', 'buka', 'aplikasi', 'kemaren', '']</t>
  </si>
  <si>
    <t>['kaga', 'aplikasi']</t>
  </si>
  <si>
    <t>['login', 'akun', 'indihome', 'aplikasi', 'myindihome', 'eror']</t>
  </si>
  <si>
    <t>['coba', 'log', 'kemarin', 'brlom', 'masuk', '']</t>
  </si>
  <si>
    <t>['banget', 'loadingnya', 'bapuk', 'banget', 'aplikasi', 'hadeh', 'hadeh']</t>
  </si>
  <si>
    <t>['kak', 'masuk', 'akun', 'gbisa', 'stelah', 'update', 'aplikasi', 'trus', 'knp', 'beda', 'harga', 'klw', 'pindah', 'rumah', 'rb', 'blm', 'ppn', 'ikr', 'klw', 'plasa', 'telkom', 'ndk', 'rb', 'blm', 'ppn', 'ikr', 'knpa', 'beda', 'gtu', '']</t>
  </si>
  <si>
    <t>['login', 'susah', '']</t>
  </si>
  <si>
    <t>['aplikasi', 'aplikasi', 'hapus', 'karna', 'reset', 'skg', 'login', 'dll', 'susah', 'banget', 'niat', 'mudah', 'costumer', 'aplikasi', 'fokusin', 'aplikasi', 'stabil', 'ancur', '']</t>
  </si>
  <si>
    <t>['lemod', 'banget']</t>
  </si>
  <si>
    <t>['ganteng', 'ibuk', 'cantik', 'nihh', 'aplikasi', 'indihome', 'login', 'masuk', 'error', 'truss', 'masukin', 'nomor', 'hape', 'email', 'tolong', 'jelas', 'ibuk', '']</t>
  </si>
  <si>
    <t>['idihome', 'lancar', 'kesini', 'indihome', 'bobrok', 'ancur', '']</t>
  </si>
  <si>
    <t>['kecewa', 'rincian', 'tagih', 'hilang', 'harga', 'langgan', 'notifikasi', 'rincian', 'hilang', 'percaya', 'customer', 'report', 'pusat', 'bantu', 'blm', 'respon', 'niat', 'nyari', 'duit', '']</t>
  </si>
  <si>
    <t>['manta']</t>
  </si>
  <si>
    <t>['aplikasi', 'myindihome', 'login', 'hapus', 'cache', 'kesini', 'indihome', 'kurang', 'kualitas', 'sinyal', 'mohon', 'tanggap', 'cepat', 'keluh', 'langgan', 'terima', 'kasih']</t>
  </si>
  <si>
    <t>['enga', 'daftar', 'aplikas', 'indihome', 'sumpah', 'leleeeeeeeeeeeeeeeeeeettttttttttttttt', 'bangetttttttttttttt', 'jeleeeeeeeeeeeeeeeeeeeeeeeeeeeeeeeeeeeeeeeee', 'bangettttttttttttttttttttttttttttttttttttttttttttttttt', 'aplikasiiiiiiiiiiiiiiiiiiiiiiiiiiiiiiiiiiii', 'yaaaaaaa', 'aaaaa', 'mohonnnnnnnnnnnnnnnnn', 'arahannnnnnnnnnnnnnnnn', 'yaaaaaaaaaaaaaa', 'engaaaaaaaaaaaaaaaaaaaaaaa', 'bisaaaaaaaaaaaaaaaaaa', 'daftararrrrrrrrrrrrrrrrrrrrr', 'indihomeeeeeeeeeeeee', 'sayaaaaaaa', 'coba', 'kemaren', 'pagi', 'sampe', 'malam', 'enga', 'daftar']</t>
  </si>
  <si>
    <t>['upgrade', 'akun', 'dibbuka']</t>
  </si>
  <si>
    <t>['aplikasi', 'loding', 'doang', 'menu', 'laksana', 'reload', 'terussss', 'lapor', 'indihome', 'via', 'apps', 'haduh']</t>
  </si>
  <si>
    <t>['aplikasi', 'sampah', 'buka', 'trmskh']</t>
  </si>
  <si>
    <t>['login', 'gagal', 'update', 'tampil', 'informasi', 'tampil', 'dasar', 'tagih', 'guna', 'internet', 'sulit', 'web', 'indihome', 'susah', 'login', 'harap', 'baik', 'cepat', '']</t>
  </si>
  <si>
    <t>['inibapllikasi', 'kanapa', 'sampe', 'skrg', 'digunaain', 'cuk', 'hadeuuhh']</t>
  </si>
  <si>
    <t>['apl', 'bingung', 'bayar', 'mahal', 'cek', 'tagih', 'susah', 'susah', 'klw', 'apl', 'blm', 'maksimal', 'ngak', 'dipublish', 'aplikasi', 'sempurna', 'tpi', 'puasa', 'kpd', 'pakai', 'langgan', 'indihome', '']</t>
  </si>
  <si>
    <t>['aplikasi', 'bug', 'mohon', 'tingkat']</t>
  </si>
  <si>
    <t>['buka', 'kakak', 'liat', 'maki', 'kemrin', 'enak', 'tuk', 'tetep', 'mohon', 'bimbing', 'kakak', '']</t>
  </si>
  <si>
    <t>['eror', '']</t>
  </si>
  <si>
    <t>['susah', 'login', 'aplikasi', 'indhihome', '']</t>
  </si>
  <si>
    <t>['sulit', 'buka', 'ubah', 'fitur', 'ndak']</t>
  </si>
  <si>
    <t>['udah', 'benhenti', 'langgan', 'knp', 'tagih', 'masuk']</t>
  </si>
  <si>
    <t>['henti', 'langgan', 'knp', 'tagih', 'masuk', 'coba', 'cek', 'gmna', '']</t>
  </si>
  <si>
    <t>['kapitalis', 'detail', 'tagih', 'hilangin', 'harga', 'tagih', 'user', 'paket', 'beda', 'banding', 'tagih', 'buka', 'ribu', 'ribu', 'ratus', 'ribu', '']</t>
  </si>
  <si>
    <t>['aplikasi', 'gabisa', 'buka', 'bayar', '']</t>
  </si>
  <si>
    <t>['skrg', 'mao', 'log', 'app', 'indihome', 'ngecek', 'tagih', 'pakai', 'pke', 'web', '']</t>
  </si>
  <si>
    <t>['februari', 'aplikasi', 'tampil', 'rincian', 'tolong', 'kondisi', 'mohon', 'info', 'solusi']</t>
  </si>
  <si>
    <t>['aplikasi', 'hapus', 'pakai', 'baca', 'ulas', 'positif', 'tolong', 'admin', 'aplikasi', 'baca', 'sesuai', 'protokol', 'admin', 'manajemen', 'lucu', 'usaha', 'telekomunikasi', 'besar', 'indonesia', 'aplikasi', 'mutu']</t>
  </si>
  <si>
    <t>['hilang', 'jaring', 'buka', 'instagram', 'nda', 'lancar', 'tagih', 'bulan', 'rb', 'udah', 'rusak', 'nda', 'nonton', 'pajang', 'pegawai', 'ditanyain', 'respond', 'bagus', 'cuekin', 'apasih']</t>
  </si>
  <si>
    <t>['donk', 'henti', 'langgan', 'alnya', 'sinyal', 'jelek', 'jdinya', 'kaya', 'mubazir', 'ajj', 'bayar', 'lbih', 'uang', 'bli', 'makan', 'terimakasih']</t>
  </si>
  <si>
    <t>['', 'terkadang', '']</t>
  </si>
  <si>
    <t>['aplikasi', 'akses']</t>
  </si>
  <si>
    <t>['akses', 'saldo', 'salah', 'sebab', 'dimna', 'ganti', 'pin', 'saldo', 'skrg', 'buka', 'aplikasi', 'muter', 'ngk', 'halaman', 'direfresh', 'tetep']</t>
  </si>
  <si>
    <t>['servernya', 'down', 'tolong', 'jelasin', 'masak', 'buka', 'aplikasi', 'bngt', 'koneksi', 'internetnya', 'bagus', '']</t>
  </si>
  <si>
    <t>['', 'login', 'udah', 'error', 'kecewe']</t>
  </si>
  <si>
    <t>['login', 'gagal', 'login', 'nmer', 'email', 'tetep', '']</t>
  </si>
  <si>
    <t>['ndak', 'masuk', 'indihome', '']</t>
  </si>
  <si>
    <t>['info', 'tagih', 'myindihome', 'ilang', 'ilang', 'tagih', 'barusan', 'bayar', 'bulan', 'februari', 'transakti', 'bayar', 'myindihome', 'ilang', 'gimana']</t>
  </si>
  <si>
    <t>['aplikasi', 'myindihome', 'pas', 'akses', 'susah', 'buka', 'aplikasi', 'susah', 'muncul', 'tampilanya', 'loading']</t>
  </si>
  <si>
    <t>['internet', 'lelet', 'mulu', 'harga', 'doang', 'mahal', '']</t>
  </si>
  <si>
    <t>['aplikasi', 'bosok', 'login', 'gabisa', 'mau', 'udh', 'sinyal', 'turun', 'kek', 'lampu', 'lalulintas', 'tagih', 'mahal', 'koneksi', 'busuk', 'mbps', 'sinyal', 'kek', 'gin', 'nyesel', 'pakai', 'provider', 'mahal', 'doang', 'koneksi', 'murah', 'udh', 'lapor', 'perbaikanalah', 'abai', 'indihome', 'hahahahaha', '']</t>
  </si>
  <si>
    <t>['aplikasi', 'lot', 'bug', 'login', 'aplikasi']</t>
  </si>
  <si>
    <t>['devloper', 'aplikasi', 'pecat', 'login', 'kagak', '']</t>
  </si>
  <si>
    <t>['wifi', 'indihome', 'luemot', 'banget', 'udah', 'bayar', 'ttp', 'layan', 'internet', 'lot', 'banget', 'mending', 'cabut']</t>
  </si>
  <si>
    <t>['hmpir', 'brp', 'bln', 'lma', 'aplikasi', 'bres', 'btul', 'slah', 'stu', 'kcptan', 'lmbat', 'mnta', 'hampu', 'srta', 'respon', 'lmbat', 'mnyesal', 'pkai', 'indihome', 'pikir', 'skli', 'lgi', 'pkai', 'aplikasi', 'gnti', 'provder', '']</t>
  </si>
  <si>
    <t>['knp', 'buka', 'aplikasi', 'cek', 'sampe', 'masuk', 'web', 'tetep', 'tolong', 'jelas']</t>
  </si>
  <si>
    <t>['login', 'semenjak', 'update', 'susah', 'login', 'ulang']</t>
  </si>
  <si>
    <t>['', 'bintang', 'turunin', 'karna', 'aplikasi', 'manjadi', 'lamban', 'berat', 'lodingnya', 'lancar']</t>
  </si>
  <si>
    <t>['aplikasi', 'myindiehome', 'buka']</t>
  </si>
  <si>
    <t>['aplikasi', 'bangke', 'ngelag', 'aplikasi', 'plat', 'merah', 'buruk', 'jaga', 'kualitas', 'nyaman', 'guna', 'rincian', 'tagih', 'hilang', 'maksud', 'rincian', 'bayar', 'tagih', 'ribu', 'rinciannya', 'bayar', 'nama', 'produk', 'nonaktif', 'henti', 'langgan', 'tagih', 'ribu', 'tagih', '']</t>
  </si>
  <si>
    <t>['koq', 'gaq', 'buka', 'apk']</t>
  </si>
  <si>
    <t>['aplikasi', 'error', 'daritadi', 'login', 'tulis', 'error', 'sampe', 'uninstall', 'install', 'kali', 'tetep', 'keluh', 'arah', 'twitter', 'trus', 'kerja', 'ngapain', 'langgan', 'lempar', 'solusi', 'gaji', 'langgan', '']</t>
  </si>
  <si>
    <t>['parah', 'aplikasi', 'loading', 'mulu', 'buka', 'kaga']</t>
  </si>
  <si>
    <t>['', 'indihome', 'ganggu', 'login']</t>
  </si>
  <si>
    <t>['layan', 'masuk', 'angin', 'malam', 'mati', 'siang', 'normal', 'telp', 'fisik', 'rusak', 'telp', 'tehnisi', 'cek', 'ntah', 'kpan', 'cek', 'kecewa']</t>
  </si>
  <si>
    <t>['jual', 'cloud', 'aplikasi', 'lot', 'heran']</t>
  </si>
  <si>
    <t>['aplikasi', 'myindihome', 'login', 'muter', 'melulu', 'user', '']</t>
  </si>
  <si>
    <t>['fitur', 'upgrade', 'speed', 'error', '']</t>
  </si>
  <si>
    <t>['aplikasi', 'buka', 'loadingnya', 'banget']</t>
  </si>
  <si>
    <t>['aplikasi', 'becus', 'load', 'data', 'banget', 'jaring', 'nonton', 'yutub', 'lancar', 'tpi', 'buka', 'aplikasi', 'muter', 'doang', '']</t>
  </si>
  <si>
    <t>['aplikasi', 'indihome', 'tidsk', 'buka']</t>
  </si>
  <si>
    <t>['aplikasi', 'indihome', 'knp', 'gue', 'login', 'gagal', 'udh', 'login', 'kacau', 'banget']</t>
  </si>
  <si>
    <t>['biaya', 'kualitas', 'banding']</t>
  </si>
  <si>
    <t>['harga', 'mahal', 'banding', 'kualitas']</t>
  </si>
  <si>
    <t>['mantul', 'gaes', 'keluh', 'kait', 'indihome', 'langsung', 'tangan', 'upgrade', 'pakek', 'ribet', 'jempol', 'bintang', '']</t>
  </si>
  <si>
    <t>['lola', 'ngecek', 'buka', 'piye', 'update', 'ubah']</t>
  </si>
  <si>
    <t>['jaring', 'lot', 'udah', 'gitu', 'aplikasi', 'liat', 'tagih', 'indihome', '']</t>
  </si>
  <si>
    <t>['daftar', 'aplikasi', 'myindihome', 'coba', 'kali', 'kali', 'webnya', 'tolong', 'solusi', '']</t>
  </si>
  <si>
    <t>['lot', 'maen', 'game', 'ngelag', 'player', 'mobile', 'legend', 'komplain', 'parah', 'abis', 'update', 'login', 'indihome']</t>
  </si>
  <si>
    <t>['login', 'register', 'loading', 'selesai', 'kecewa', 'mohon', 'baik', 'cepat']</t>
  </si>
  <si>
    <t>['aplikasi', 'lambat', 'respon', 'cepat', 'ganggu']</t>
  </si>
  <si>
    <t>['login', 'akun', 'indihome', 'gagal', 'ganti']</t>
  </si>
  <si>
    <t>['aplikasi', 'error', 'log', 'cek', 'tagih', 'sinyal', 'bagus', 'streaming', 'browsing', 'dll', 'bilang', 'suruh', 'clear', 'cache', 'hapus', 'data', 'restart', 'install', 'ulang', 'apk', 'dll', 'tolong', 'baik', 'aplikasi', '']</t>
  </si>
  <si>
    <t>['indihome', 'layan', 'muas', 'bilang', 'jengkel', 'langgan', 'indihome', 'kualitas', 'signal', 'dapat', 'sungguh', 'kecewa', 'mohon', 'indihome', 'tanggulang', 'terima', 'kasih', 'notes', 'kecewa', '']</t>
  </si>
  <si>
    <t>['cek', 'tagih']</t>
  </si>
  <si>
    <t>['aplikasi', 'lot', 'muter', 'mulu', 'komplain', 'gabisa', 'gaguna', 'fitur', 'adu', 'layan', 'ngegame', 'ngelag', 'trus', 'dipake', 'malem', 'lag', 'mbps', 'bener', 'woi']</t>
  </si>
  <si>
    <t>['kacau', 'log', 'coba', 'kali', 'server', 'negeri', 'antah', '']</t>
  </si>
  <si>
    <t>['tanggap', 'komplain', 'sinyal', 'lag', 'aplikasi']</t>
  </si>
  <si>
    <t>['log', '']</t>
  </si>
  <si>
    <t>['', 'indihome', 'parah', 'tagih', 'hilang', 'kontrak', 'bayar', 'tagih', 'aplikasi', 'tera', 'bayar', 'skr', 'indihome', 'baca', 'parah', 'bangetttt']</t>
  </si>
  <si>
    <t>['tolong', 'aplikasi', 'buka', 'tampil', 'kosong', 'muter', 'loading', 'tolong', 'baik', 'liat', 'tagih', '']</t>
  </si>
  <si>
    <t>['aplikasi', 'jelek', 'temu', 'usaha', 'aplikasi', 'akses', 'tagih', 'cepat', 'internet']</t>
  </si>
  <si>
    <t>['udh', 'bayar', 'mahal', 'lag', 'truss', 'maen', 'mulu', 'malem', 'tdurnya', 'jam', 'gegara', 'indi', 'rank', 'trun']</t>
  </si>
  <si>
    <t>['aplikasi', 'baru', 'aoleng', 'trus']</t>
  </si>
  <si>
    <t>['ngga', 'login', 'dikarna', 'minta', 'gagal', 'mohon', 'ulang', 'proses', 'kode', 'maksud', 'yaa', '']</t>
  </si>
  <si>
    <t>['ngeleg', 'lihat', 'rincian']</t>
  </si>
  <si>
    <t>['lemottt', '']</t>
  </si>
  <si>
    <t>['progres', '']</t>
  </si>
  <si>
    <t>['app', 'buka', 'update', 'saran', 'baik', 'app', 'lengkap', 'jelas', 'ganggu', 'jaring', 'sprtinya', 'berat', 'jaring', 'jelas', '']</t>
  </si>
  <si>
    <t>['aplikasi', 'hebat', 'banget', 'buka', 'beranda', 'muter', 'mulu']</t>
  </si>
  <si>
    <t>['aplikasi', 'kampreereeet', 'mutu']</t>
  </si>
  <si>
    <t>['jelek', 'buka']</t>
  </si>
  <si>
    <t>['aplikasi', 'suka', 'susah', 'buka', 'tampil', 'gambar', 'susah', 'ngecek', 'tagih', 'fuf', 'kuota']</t>
  </si>
  <si>
    <t>['app', 'kerja', 'lot', 'banget']</t>
  </si>
  <si>
    <t>['', 'nggk', 'buka', 'pas', 'login', 'error', 'tolong', 'baik', 'nggk', 'login', 'eror']</t>
  </si>
  <si>
    <t>['sinyal', 'ilang', 'mulu']</t>
  </si>
  <si>
    <t>['jaring', 'bagus', 'aplikasi', 'loading', '']</t>
  </si>
  <si>
    <t>['aplikasih', 'rusak', 'gmn', 'lhat', 'byar', 'tagih', 'sma', 'barapa', 'tagih', 'bulan', '']</t>
  </si>
  <si>
    <t>['aplikasi', 'responsif', 'tunggu', 'modem', 'mati']</t>
  </si>
  <si>
    <t>['login', 'internet', 'los', 'lapor', 'aplikasi', 'myindihome']</t>
  </si>
  <si>
    <t>['masuk', 'indihome', 'susah', 'masuk', 'tolong', 'baik', 'kemarin', 'kemarin', 'aplikasi', 'udah', 'masuk', 'masuk', 'gagal', 'masuk', 'tolong', 'baik', '']</t>
  </si>
  <si>
    <t>['login', 'aplikai', 'login', 'web', 'sya', 'hrus', 'login', 'mana', 'minnnnn', 'aplikasi', 'dipake', 'web', 'dipake']</t>
  </si>
  <si>
    <t>['informasi', 'muncul', 'muncul']</t>
  </si>
  <si>
    <t>['masuk', 'apk', 'myindihome', 'wifi', 'jaring', 'oke']</t>
  </si>
  <si>
    <t>['aplikasi', 'indihome', 'jelek', 'aplikasi', 'susah', 'buka', 'rincian', 'bayar', 'hilang', 'jujur', 'konsumen']</t>
  </si>
  <si>
    <t>['kali', 'adu', 'udah', 'clear', 'telpon', 'pindah', 'perangkat', 'internet', 'sedia', 'internet', 'diaktivasi', 'adu', 'udah', 'diaktivasi', 'nomer', 'internetnya', 'cape', 'nemuin', 'teknisi', 'orang', 'beda']</t>
  </si>
  <si>
    <t>['aplikasi', 'login', 'akun', 'indihome', 'gagal', 'email', 'nohp', 'masukin', 'susah', 'maaf', 'minta', 'gagal', 'mohon', 'ulang', 'proses', 'wtf', 'lihat', 'tagih', 'susah', '']</t>
  </si>
  <si>
    <t>['indihome', 'trobel', 'kah', 'jaring', 'wifi', 'stabil', 'trus', 'lihat', 'tagih', 'tolong', 'donk', 'solusi']</t>
  </si>
  <si>
    <t>['login', 'aplikasi', 'mutu', 'harap', 'tim', 'baik', 'konsumen', 'kecewa', '']</t>
  </si>
  <si>
    <t>['aplikasi', 'buka', 'pkek', 'muter', '']</t>
  </si>
  <si>
    <t>['aplikasi', 'banget', 'error', 'masuk', 'susah', 'loading']</t>
  </si>
  <si>
    <t>['jelek', 'fiturnya', 'udah', 'keliatam', 'cek', 'tagih', 'pakai', 'baik', 'puas', 'langgan']</t>
  </si>
  <si>
    <t>['pasang', 'nomor', 'langgan', 'deposit']</t>
  </si>
  <si>
    <t>['error', 'loading', 'halaman']</t>
  </si>
  <si>
    <t>['aplikasi', 'masuk', '']</t>
  </si>
  <si>
    <t>['aplikasi', 'gabisa', 'login', 'gua', 'gajelad', 'gua', 'liat', 'tagih', 'woy']</t>
  </si>
  <si>
    <t>['update', 'user', 'login', 'registrasi', 'loading', 'sangant', 'gagal', 'truz', 'payah', 'aplikasi', 'gagal', '']</t>
  </si>
  <si>
    <t>['aplikasi', 'buruk', 'kali', 'kali', 'alami', 'bug', 'dll', 'baik']</t>
  </si>
  <si>
    <t>['buka', 'akun', 'nomor', 'internetnya', 'lupa', 'gimana', 'nomor', 'internet', 'nomor', 'langgan', 'doang', 'ganti', 'lelet', 'susah', 'bukaa']</t>
  </si>
  <si>
    <t>['aplikasi', 'error', 'gsk', 'buka', 'gambar']</t>
  </si>
  <si>
    <t>['aplikasi', 'myindihome', 'anjuiing', 'kuontool', 'bangzaath', 'taiiqk', 'update', 'akunkeluar', 'masuk', 'aplikasi', 'uda', 'layananya', 'jelek', 'aplikaso', 'goblook', '']</t>
  </si>
  <si>
    <t>['aplikasi', 'guna', 'buka', 'lancar']</t>
  </si>
  <si>
    <t>['aplikasi', 'eror', 'kah']</t>
  </si>
  <si>
    <t>['abs', 'update', 'login', 'yowes', 'emang', 'busuk', 'skr', 'layan', '']</t>
  </si>
  <si>
    <t>['susah', 'banget', 'registrasi', 'buka', '']</t>
  </si>
  <si>
    <t>['kaga', 'masuk', 'login', 'knapa', 'iya']</t>
  </si>
  <si>
    <t>['tambah', 'fitur', 'pakai', 'hari', 'ganggu', 'internet', 'dipake', 'contoh', 'rangin', 'hari', 'ganggu', 'total', 'tagih', 'rang']</t>
  </si>
  <si>
    <t>['aplikasi', 'lot']</t>
  </si>
  <si>
    <t>['login', 'versi', 'akun', 'login']</t>
  </si>
  <si>
    <t>['aplikasi', 'lambat', 'sesuai', 'bumn']</t>
  </si>
  <si>
    <t>['mohon', 'informasi', 'aplikasi', 'myindihome', 'pakai', 'internet', 'bayar', 'bulan', 'mala', 'layan', 'jelek', '']</t>
  </si>
  <si>
    <t>['aplikasi', 'gajelas', 'error', 'informasi', 'detail', 'fup', 'liat', 'banget', 'sumpah', 'laen', 'indihom', 'sampah', '']</t>
  </si>
  <si>
    <t>['ngotak', 'ngasih', 'sinyal', 'lag']</t>
  </si>
  <si>
    <t>['indihome', 'jelek', 'lot', 'sistem', 'parah', 'telat', 'bayar', 'dikit', 'wifi', 'putus', 'udh', 'gitu', 'kena', 'denda']</t>
  </si>
  <si>
    <t>['mending', 'apus', 'aplikasi', 'gunain', 'buka', 'loading', 'doang']</t>
  </si>
  <si>
    <t>['indihome', 'buka', 'cek', 'kouta', 'tagih']</t>
  </si>
  <si>
    <t>['parah', 'sumpah']</t>
  </si>
  <si>
    <t>['terusin', 'gitu', 'kasih', 'masuk', 'suruh', 'lapor', 'min', '']</t>
  </si>
  <si>
    <t>['cek', 'tagih', 'indihome', 'muncul', 'muter', 'bayar', 'gmna']</t>
  </si>
  <si>
    <t>['buka', 'apikasi', 'indihome', 'susah', 'eror', 'pdhl', 'tgl', 'kmnrn', 'cek', 'tagih', 'byr', 'tagih', 'msh', 'wifi', 'rmh', 'lancar', 'lancar', 'buka', 'apikasi', 'indihome', 'knapa', 'prah', 'apikasi', 'mhon']</t>
  </si>
  <si>
    <t>['jaring', 'lot', 'kesel', 'provider', 'ganti', 'buang', 'indihome']</t>
  </si>
  <si>
    <t>['sampah', 'gabisa', 'buka', 'aplikasi']</t>
  </si>
  <si>
    <t>['susah', 'masuk', 'app', 'susah', 'banget']</t>
  </si>
  <si>
    <t>['indihime', 'dzolim', 'customernya', 'internetcmati', 'rua', 'udah', 'telpon', 'kali', 'kali', 'dasae', 'provider', 'dzolim']</t>
  </si>
  <si>
    <t>['aneh', 'daftar', 'gimana', 'lapor', 'tolong', 'diperbaikin', 'donk', 'aplikasi']</t>
  </si>
  <si>
    <t>['buka', 'aplikasi', 'muter', 'login']</t>
  </si>
  <si>
    <t>['kualitas', 'buruk', 'jaring', 'tempat', 'lancar', 'login', 'baik', 'jaring', '']</t>
  </si>
  <si>
    <t>['', 'buka', 'lot', 'isi', 'nggak', 'tampil', 'buka', 'aplikasi', 'pakai', 'internet', 'indihome']</t>
  </si>
  <si>
    <t>['kecewa', 'tlp', 'susah', 'konek', 'masuk', 'app', 'stak', 'mohon', 'tggu']</t>
  </si>
  <si>
    <t>['apk', 'berat', 'gagal', 'loading', 'jaring', 'lancar', 'normal', 'tolong', 'baik', 'bug', 'gimana', 'addon', 'renew', 'paket']</t>
  </si>
  <si>
    <t>['error', 'muluuuuu', 'aplikasi', '']</t>
  </si>
  <si>
    <t>['register']</t>
  </si>
  <si>
    <t>['bantam', 'bantu']</t>
  </si>
  <si>
    <t>['jujur', 'kecewa', 'banget', 'indihome', 'dua', 'wifi', 'lag', 'ampun', 'settingan', 'max', 'orang', 'trhubung', 'udah', 'reset', 'fup', 'msh', 'lag', 'bizznet', 'smpai', 'lokasi', 'ganti', 'bizznet', 'fup', 'reset', 'hnya', 'akal', 'akal', 'reset', 'mngkin', 'lag', 'iming', 'fup', 'reset', 'sprti', 'rangin', 'speed', 'ajak', 'upgrade', 'mbps', 'hhh']</t>
  </si>
  <si>
    <t>['tolong', 'aplikasi', 'login', 'mohon', 'tindak', 'lanjut']</t>
  </si>
  <si>
    <t>['respon', 'teknisi', 'cepat', 'jelas', 'aplikasi', 'fyi', 'pasang', 'daerah', 'jatiwaringin', 'pondok', 'gede', 'bekas', 'yudi', 'teknisi', 'abal', 'abal', 'udah', 'pecah', 'kabel', 'kabel', 'optik', 'kasih', 'kadaluarsa', 'tari', 'asal', 'tolong', 'tindak', 'lanjutin', 'niat', 'gausah', 'bantu', 'pasang']</t>
  </si>
  <si>
    <t>['aplikasi', 'buruk', 'indonesia', 'login', 'susah', 'kode', 'otp', 'masuk', 'kode', 'otp', 'salah', 'minggu', 'macan', 'hancur', '']</t>
  </si>
  <si>
    <t>['login', 'susah', 'parah', 'solusi', 'donk', '']</t>
  </si>
  <si>
    <t>['aplikasi', 'error']</t>
  </si>
  <si>
    <t>['detail', 'ama', 'rincian', 'napa', 'hilang', 'engga', 'liat', 'tagih', '']</t>
  </si>
  <si>
    <t>['gagal', 'log', '']</t>
  </si>
  <si>
    <t>['parah', 'aplikasi', 'buka', 'indihomeku', 'masalah', 'tlfon', 'operator']</t>
  </si>
  <si>
    <t>['aplikasi', 'registrasi', 'signal', 'kadang', 'puts', 'kec', 'margasari', 'kab', 'tegal']</t>
  </si>
  <si>
    <t>['tlong', 'baru', 'donk', 'mlihat', 'tagih', 'bsa', 'layar', 'putih', 'muter', 'pdhal', 'aplikasi', 'indihome', 'sudh', 'prbaruhi', 'buka', '']</t>
  </si>
  <si>
    <t>['aplikasi', 'cek', 'tagih', 'ngga', 'aneh']</t>
  </si>
  <si>
    <t>['kasih', 'bintang', 'tuju', 'aplikasi', '']</t>
  </si>
  <si>
    <t>['bubarin', 'wifi', 'lemod', 'poll']</t>
  </si>
  <si>
    <t>['harga', 'tagih', 'baru', 'beda', 'pemberitahuan', 'dekat', 'tagih', 'internet', 'lot', 'putus', 'sedia', 'layan', 'pindah', 'indihome', '']</t>
  </si>
  <si>
    <t>['jaring', 'stabil', 'suka', 'reconecting', 'mulu', 'tinggal', 'kota', 'jaring', 'gin', 'gin', 'tingkat', '']</t>
  </si>
  <si>
    <t>['jelek', 'muter', 'trus', 'cek', 'tagih', 'muternya', 'abad']</t>
  </si>
  <si>
    <t>['susah', 'regis', 'gagal', 'mulu']</t>
  </si>
  <si>
    <t>['aplikasi', 'lot', 'sekaliiiii']</t>
  </si>
  <si>
    <t>['parah', 'susah', 'login', 'jaring', 'suka', 'putus', 'semdiri', 'main', 'game', 'online', 'lag', 'parah', 'jam', 'sore', 'sampe', 'jam', 'malam']</t>
  </si>
  <si>
    <t>['aplikasi', 'suka', 'lot', 'komplain', 'proses', 'trus', 'tulis', 'gaada', 'ubah']</t>
  </si>
  <si>
    <t>['tarif', 'mbps', 'reguler', 'mahal', 'dripada', 'gamer', 'parah']</t>
  </si>
  <si>
    <t>['lelet', 'fitur', 'tagih', 'detail', 'ilang', 'fitur', 'layan', 'susah', 'daftar', 'layan', 'aplikasi']</t>
  </si>
  <si>
    <t>['worst', 'isp', 'ganguan', '']</t>
  </si>
  <si>
    <t>['indihome', 'kyk', 'gin', 'kontrak', 'untung', 'konsumen', 'nyesel', 'langgan', 'indihome', 'aplikasi']</t>
  </si>
  <si>
    <t>['aplikasi', 'buka', 'kembang']</t>
  </si>
  <si>
    <t>['hancur', 'layan', 'internet', 'ganggu', 'bulan', 'lapor', 'ganggu', 'puluh', 'kali', 'kasih', 'swasta', 'kelola', 'malu', 'phei', '']</t>
  </si>
  <si>
    <t>['woy', 'jngn', 'nge', 'lag', 'napah']</t>
  </si>
  <si>
    <t>['muas', 'akses', 'lot', 'baik', 'telkom']</t>
  </si>
  <si>
    <t>['buka', 'aplikasi', 'lalodnya', 'ampun', 'nga', 'upgrade', 'cepat', 'eeehhh', '']</t>
  </si>
  <si>
    <t>['login', 'uninstall', 'bolak', 'tetep']</t>
  </si>
  <si>
    <t>['ken', 'pasang', 'biznet', 'ngga', 'firstmedia', 'sedia', 'indihome', 'nasib', 'main', 'sinyal', 'detik', 'jumping', 'turun', 'niat', 'wifi', 'ngelawak', 'doang', '']</t>
  </si>
  <si>
    <t>['gimana', 'udh', 'deposit', 'pagi', 'jam', 'jam', 'gin', 'aktif', 'wifi', 'minggu', 'nunggu', 'udh', 'deposit', 'bom', 'aktif', 'tolong', 'tugas', 'sekolah', 'online', 'adik']</t>
  </si>
  <si>
    <t>['aplikasi', 'lot', 'ganggu', 'internet', 'lapor', 'indihome', 'telpon', 'kali', 'telpon', 'respon']</t>
  </si>
  <si>
    <t>['aplikasi', 'tolong', 'baik']</t>
  </si>
  <si>
    <t>['aplikasi', 'nggak', 'login', 'susah', '']</t>
  </si>
  <si>
    <t>['aplikasi', 'buruk', 'putus', 'berat', 'ponsel']</t>
  </si>
  <si>
    <t>['woi', 'napa', 'lag', 'baca', 'muter']</t>
  </si>
  <si>
    <t>['kecewa', 'masuk', 'keapknya', 'keluh']</t>
  </si>
  <si>
    <t>['bayar', 'aplikasi', 'eror']</t>
  </si>
  <si>
    <t>['halo', 'kalimantan', 'utara', 'biznet', 'ibukota', 'harap', 'henti', 'langgan', 'cepat', 'indihome', 'sekian']</t>
  </si>
  <si>
    <t>['', 'app', 'susah', 'log']</t>
  </si>
  <si>
    <t>['', 'gimana', 'lag', 'lag', 'masuk', 'masuk']</t>
  </si>
  <si>
    <t>['login', 'nonton', 'youtube', 'muter', 'muter', 'barusan', 'bayar', 'tagih', 'mohon', 'baik']</t>
  </si>
  <si>
    <t>['detail', 'rinciannya', 'hilang', 'pantesan', 'lihat', 'tagih', 'beda', 'beda', 'transparan', 'cap', 'jelek', '']</t>
  </si>
  <si>
    <t>['layan', 'buruk', 'lapor', 'internet', 'lambat', 'baik']</t>
  </si>
  <si>
    <t>['', 'takut', 'update', 'maaf', 'baik', 'apknya', 'komplain', 'blm', 'keluarin', 'update', 'masak', 'kalah', 'mobile', 'banking', 'bank']</t>
  </si>
  <si>
    <t>['registrasi', 'ulang', 'indiehome', 'jelek']</t>
  </si>
  <si>
    <t>['aplikasi', 'error', 'connect', 'server']</t>
  </si>
  <si>
    <t>['lemooottt', 'aplikasi', 'hati', 'buka', 'coba', 'ekstrim', 'uninstall', 'install', 'lemooottt', 'kesel', 'nanya', 'mesin', 'jawab', 'cape', 'muter', 'muter', 'bolak']</t>
  </si>
  <si>
    <t>['bayar', 'buka', 'aplikasi', 'detail', 'baca']</t>
  </si>
  <si>
    <t>['buka', 'aplikasi', 'ganggu', 'kah', 'login', 'kecewa']</t>
  </si>
  <si>
    <t>['buka', 'aplikasi', 'lelet', 'banget', 'males', 'buka', 'cek', 'tagih', 'doang', 'sampe', 'jam', 'nunggu', '']</t>
  </si>
  <si>
    <t>['aplikasi', 'lot', 'gin', 'request', 'time', 'out', 'please', 'baik', 'kontrol', 'pakai', 'internet', '']</t>
  </si>
  <si>
    <t>['masuk', 'loading', 'muter', '']</t>
  </si>
  <si>
    <t>['loading', 'bet', 'ajg']</t>
  </si>
  <si>
    <t>['fiturnya', 'loadingnya']</t>
  </si>
  <si>
    <t>['login', 'akun', 'mohon', 'baik', 'fiturnya', 'mohon', 'kerjasamanya']</t>
  </si>
  <si>
    <t>['buka', 'gonta', 'ganti', 'sulit', 'masuk']</t>
  </si>
  <si>
    <t>['app', 'sampah', 'renew', 'gagal', 'coba', 'via', 'web', '']</t>
  </si>
  <si>
    <t>['main', 'ping', 'ngejump', 'mahal', 'biznet', 'udah', 'pindah', '']</t>
  </si>
  <si>
    <t>['lapor', 'ganggu', 'susah', 'instal', 'unistal', 'login', 'ulang', 'tlp', 'mesin', 'jawab', 'error', 'bos', 'bgmna', 'layan', 'custumers', 'lapor', 'sni', 'kabel', 'jalan', 'kena', 'angin', 'putus', 'bahaya', 'kabel', 'lintang', 'dampak', 'internet', 'tetangga', 'mati', 'tolong', 'lanjut', 'lapor', 'susah', 'gonta', 'ganti', 'dirut', 'layan', 'after', 'salesnya', 'jelek', '']</t>
  </si>
  <si>
    <t>['indihome', 'medan', 'performa', 'turun', 'udh', 'jaring', 'lelet', 'lampu', 'merah', 'pon', 'aplikasi', 'indhome']</t>
  </si>
  <si>
    <t>['gue', 'lapor', 'ganggu', 'karna', 'internet', 'proses', '']</t>
  </si>
  <si>
    <t>['aplikasi', 'loading', 'komplen', 'aplikasi', 'loadingnya', 'buka', 'buka', '']</t>
  </si>
  <si>
    <t>['udh', 'update', 'apk', 'myindihome', 'nampil', 'beranda', 'utama', 'loading', 'menit', 'tunggu', 'menit', 'nemu', 'tampil', 'tulis', 'apa', 'beranda', 'loading', 'screen', 'adu', 'ganggu', 'layan', 'heran', 'apk', 'layan', 'akses', '']</t>
  </si>
  <si>
    <t>['', 'update', 'masuk', 'kode', 'otp', 'anggap', 'salah', 'mulu', '']</t>
  </si>
  <si>
    <t>['haduuhhh', 'sering', 'ngeblank', 'app', 'stlah', 'masuk', 'kosong', 'doang', 'tampil', 'menu', 'mao', 'ngecek', 'susah', 'mao', 'komplen', 'layan', 'hambat', 'sampe', 'bbrp', 'kali', 'install', 'ulang', 'applikasi', 'ttp', 'problem', 'gitu', 'mulu', 'sorry', 'bintang', 'bagus', 'naekin', 'bintang', 'terima', 'kasih']</t>
  </si>
  <si>
    <t>['susah', 'banget', 'masuk', 'kemrin', 'skrng', 'malh', 'sekli', '']</t>
  </si>
  <si>
    <t>['lot', 'naudzubillah']</t>
  </si>
  <si>
    <t>['buka', 'aplikasi', 'lot', 'banget', 'anjirrr']</t>
  </si>
  <si>
    <t>['update', 'aplikasi', 'lemottttt', 'aju', 'upgrade', 'speed', 'aplikasi', 'sampe', 'respon', 'tolong', 'baik', 'aplikasi', 'bagus', 'lot', 'tolong', 'respon', 'aju', 'upgrade', 'speed', 'trims']</t>
  </si>
  <si>
    <t>['knp', 'aplikasi', 'indihome', 'eror', 'tlong', 'baik', 'krna', 'catat', 'tagih', 'muncul']</t>
  </si>
  <si>
    <t>['lemooot', 'aplikasi', 'buka', 'jaring', 'wifi', 'paket', 'lot', 'bintang', 'terima', 'kasih', 'moga', 'cepat', 'tingkat', 'layan']</t>
  </si>
  <si>
    <t>['jaring', 'main', 'mobile', 'legend', 'lag', 'menang', 'comeback', 'gara', 'sinyal', 'mending', 'indihomo', 'bubarin', 'bayar', 'iya', 'jaring', 'kek', 'siput', 'lambat', 'untung', 'ane', 'pindah', 'biznet', 'internet', 'baik']</t>
  </si>
  <si>
    <t>['komentar', '']</t>
  </si>
  <si>
    <t>['parah', 'muter', 'applikasiny', 'useless']</t>
  </si>
  <si>
    <t>['tagih', 'gimmick', 'sesuai', 'paket', 'internet', 'telepon', 'pindah', 'paket', 'internet', 'informasi', 'bayar', 'bln', 'tagih', 'bulan', 'capai', 'mending', 'pindah', 'provider', 'mohon', 'indihome', 'coba', 'ganggu', 'provider', 'msuk', 'daerah', 'indihome', 'hebat', 'tipu', 'costumer']</t>
  </si>
  <si>
    <t>['', 'liat', 'tagih', 'jelek', 'bnget', '']</t>
  </si>
  <si>
    <t>['paya', 'bat', 'sring', 'ganggu', 'apliasinya']</t>
  </si>
  <si>
    <t>['ngak', 'registrasi']</t>
  </si>
  <si>
    <t>['coba', 'registrasi', 'ulang', 'kali', 'gagal']</t>
  </si>
  <si>
    <t>['tolong', 'aplikasi', 'benah', 'bikin', 'simple', 'bikin', 'ribet', '']</t>
  </si>
  <si>
    <t>['indihome', 'bgn', 'bulan', 'rb', 'tetangga', 'masang', 'bulan', 'paket', 'speed', 'asli', 'kecewa', 'ditanyain', 'sales', 'kyk', 'lepas', 'tangan']</t>
  </si>
  <si>
    <t>['cek', 'tagih', 'mohon', 'bijak', 'moga', 'cepat', 'betul']</t>
  </si>
  <si>
    <t>['cek', 'detail', 'loading', 'doang', 'trus', 'uninstall', 'trus', 'install', 'ulang', 'login', 'masuk', 'aneeeeeh']</t>
  </si>
  <si>
    <t>['buruk', 'guna', 'aplikasi', 'sesuai', 'predikat', 'lepas', 'add', 'ons', 'susah', 'bener', 'cek', 'tagih', 'indihome', 'ancam', 'bangkrut', 'gimana', 'mundur', 'layan']</t>
  </si>
  <si>
    <t>['aplikasi', 'login', 'ajaa', 'susah']</t>
  </si>
  <si>
    <t>['aplikasi', 'jalan', 'mohon', 'baik']</t>
  </si>
  <si>
    <t>['lemoooot']</t>
  </si>
  <si>
    <t>['aplikasi', 'busuk']</t>
  </si>
  <si>
    <t>['bodoh', 'publik']</t>
  </si>
  <si>
    <t>['apliksi', 'sampah']</t>
  </si>
  <si>
    <t>['burik']</t>
  </si>
  <si>
    <t>['login', 'sulit', 'udah', 'masuk', 'otp']</t>
  </si>
  <si>
    <t>['login', 'susah', 'salaaaammmmmmmm']</t>
  </si>
  <si>
    <t>['baik', 'aplikasi', 'gagal', 'akses', 'sumpah', 'parah', 'banget', '']</t>
  </si>
  <si>
    <t>['aplikasi', 'susah', 'buka', 'muncul', 'tagih', 'bulan', 'langgan', 'indihome', 'kecewa', 'tolong', 'baik', 'aplikasi', '']</t>
  </si>
  <si>
    <t>['parah', 'aplikasi', 'login', 'susah', 'login', 'karna', 'ganti', 'jaring', 'kacau', 'kecewa', '']</t>
  </si>
  <si>
    <t>['', 'wifinya', 'server', 'webnya', 'lot', 'aplikasi', 'bugnya']</t>
  </si>
  <si>
    <t>['apk', 'ribet', 'gagal', 'log', 'lihat', 'tagih', 'bingung', 'gin', 'ribett', 'log', 'out', 'trs', 'log', 'gagal']</t>
  </si>
  <si>
    <t>['kualitas', 'ganggu', 'rusa', 'tunggu', 'proses', 'udah', 'woy', 'kerja', '']</t>
  </si>
  <si>
    <t>['coba', 'moga', 'muas']</t>
  </si>
  <si>
    <t>['gimana', 'indhome', 'apk', 'ngelag', 'udah', 'akun', 'pas', 'masukin', 'gagal', 'sii', 'apk', 'baik', 'yaa', 'ngecek', 'tagih', 'susah', 'banget', 'aneh', 'indhome', 'banget', 'mafia', 'nnya', 'nihh']</t>
  </si>
  <si>
    <t>['eror']</t>
  </si>
  <si>
    <t>['masuk', 'ribet', 'jaring', 'lelet', 'putus', 'bayar', '']</t>
  </si>
  <si>
    <t>['paksa', 'pakai', 'jaring', 'masuk', 'wilayah', 'sya', '']</t>
  </si>
  <si>
    <t>['apk', 'ammpuunnn', 'login', 'ulang', 'gagal', 'trus', 'kode', 'otp', 'nda', 'respon', 'respon', 'coba', 'jam', 'apk', 'bikin', 'mudah', 'mah', 'balik', 'ribet', 'bikin', 'mudah', '']</t>
  </si>
  <si>
    <t>['aplikasi', 'erorr']</t>
  </si>
  <si>
    <t>['gimana', 'aplikasi', 'masuk', 'kode', 'otp', 'sundah', 'muncul', 'aplikasi', 'loading']</t>
  </si>
  <si>
    <t>['provider', 'sampahh', 'udah', 'masang', 'paket', 'mbps', 'make', 'orang', 'main', 'game', 'doang', 'ngelag', 'ping', 'merah', 'emang', 'udh', 'usaha', 'bumn', 'ngurus', 'bener', 'sampahh']</t>
  </si>
  <si>
    <t>['sumpah', 'layan', 'indihome', 'kaya', 'iiii', 'gue', 'lapor', 'bayar', 'adu', 'via', 'chat', 'indita', 'lapor', 'tgl', 'tgl', 'kelar', 'balesan', 'admin', 'beda', 'beda', 'chat', 'chat', 'baca', 'bales', 'proses', 'proses', 'tampa', 'tindak', 'kacau', 'kerja', 'karyawan', 'indihome', 'bumn', 'kalah', 'swasta', 'kampret', 'rugi', 'gara', 'internet', 'isolir', 'lelet', '']</t>
  </si>
  <si>
    <t>['applikasi', 'error', '']</t>
  </si>
  <si>
    <t>['log', 'kode', 'otp', 'gagal', 'masuk', 'lot', 'loadingnya']</t>
  </si>
  <si>
    <t>['susah', 'apk', 'indihome']</t>
  </si>
  <si>
    <t>['bagus', 'lancar', 'jalan', 'bulan', 'leg', 'stak', 'loby', 'tampil', 'piturnya', 'lambang', 'muat', 'ulang', 'aplikasi', 'indihome', '']</t>
  </si>
  <si>
    <t>['aplikasi', 'tolol', 'ngebug', 'loading', 'instal', 'ulang', 'masuk', 'otp', 'kirim', 'telat', 'gagal', 'kirim', 'ulang', 'sampe', 'habis', 'coba', 'tolol']</t>
  </si>
  <si>
    <t>['udah', 'instal', 'loginnya', 'susah', 'bener', 'ampun']</t>
  </si>
  <si>
    <t>['lot', 'kalah', 'kompetitor']</t>
  </si>
  <si>
    <t>['ngelag', 'parah', '']</t>
  </si>
  <si>
    <t>['rincian', 'tagih', 'lampir', 'tipu', 'masuk', 'nominal', 'tagih', 'kasih', 'detail', 'bayar', 'jelas', 'hubung', 'profesional', 'kirim', 'detail', 'rincian', 'tagih', 'tagih', 'tingkat', 'jelas', '']</t>
  </si>
  <si>
    <t>['libur', 'resah', 'krna', 'dri', 'kmrn', 'ampe', 'skrng', 'gada', 'baik', 'respon', 'bangett', 'rugi', 'bayar', 'hrus', 'full', 'sedangkn', 'dri', 'kmrn', 'ampe', 'skrng', 'ganggu', 'mulu', 'los', 'truss', 'powernya', 'bayarr', 'mauny', 'full', 'tapi', 'ganggu', 'mulu', 'kapokk', 'masang', 'lgi', 'indihome']</t>
  </si>
  <si>
    <t>['indihome', 'voucher', 'ribu', 'ganggu', 'mulu', 'butut', 'jelek', 'ganggu', 'trus']</t>
  </si>
  <si>
    <t>['eror', 'knp', 'gabisa', 'login', '']</t>
  </si>
  <si>
    <t>['indihome', 'disneyhostar', 'seru', 'mantap']</t>
  </si>
  <si>
    <t>['upgrade', 'speed', 'ribet', 'kaya', 'mending', 'layan', 'tetangga', 'layan', 'ribet', 'banyak', 'wawancara', 'udah', 'wawancara', 'kerjain', '']</t>
  </si>
  <si>
    <t>['ganti', 'nama', 'inditod', 'jaring', 'ngen', '']</t>
  </si>
  <si>
    <t>['negara', 'pilih', 'provider', 'sampah', 'kualitas', 'jasa', 'sampah', 'cakup', 'daerah', 'paksa', 'untung', 'abai', 'kualitas', 'jasa']</t>
  </si>
  <si>
    <t>['pasang', 'tpi', 'sulit', 'teknisi', 'jaring', 'sedia', 'lokasi', 'dapet', 'konfirmasi', 'langsung', 'dri', 'indihome', 'kasih', 'info', 'jaring', 'sedia', 'suruh', 'tunggu', 'terusss', 'tunggu', 'skr', 'kerja', 'wfh', 'anak', 'ajar', 'dri', 'rumah', 'layan', 'internet', 'sulit', 'buruk', 'layan', '']</t>
  </si>
  <si>
    <t>['bintang', 'bicara']</t>
  </si>
  <si>
    <t>['buruk', 'error']</t>
  </si>
  <si>
    <t>['perangkat', 'lancar', 'happy']</t>
  </si>
  <si>
    <t>['update', 'tampil', 'rincian', 'tagih', 'download', 'bukti', 'bayar', 'aplikasi', 'indihome', 'inti', 'bagus', 'aplikasi', 'tagih', 'terusss', 'udah', 'konfirmasi', 'upgrade', 'speed', 'tagih', 'indihome', 'nggak', 'iya', 'email', 'telkom', 'statement', 'lampir', 'tagih', 'isi', 'rinci', 'benefit', 'skrg', 'rincian', '']</t>
  </si>
  <si>
    <t>['aplikasi', 'crash', 'pas', 'buka']</t>
  </si>
  <si>
    <t>['nob']</t>
  </si>
  <si>
    <t>['internet', 'udah', 'masuk', 'ganti', 'indihome', 'internet', 'mulu', 'gue', 'panggil', 'orang', 'indihome', 'benerin', 'mintain', 'uang', 'roko', 'udah', 'bulan', 'mahal', 'bayar', 'orang', 'indihome', 'nyerpis']</t>
  </si>
  <si>
    <t>['pas', 'main', 'game', 'online', 'sinyal', 'jumping', 'mulu', 'ngak', 'orang', 'make', 'cuman', 'doang', 'langsung', 'lemes', 'sinyal', 'gimana']</t>
  </si>
  <si>
    <t>['indihome', 'lelet', 'poll', 'tangan', 'anjirrr']</t>
  </si>
  <si>
    <t>['udah', 'bayar', 'bulan', 'udah', 'upgrade', 'tetep', 'lag', 'kali', 'wifinya', 'mati', 'harga', 'sesuai', 'kualitas', '']</t>
  </si>
  <si>
    <t>['cek', 'tagih', 'force', 'close', 'bug', 'flow', 'aplikasi', 'sadar', 'bintang', 'difix', 'bugnya', 'update', 'bug', 'fixed', 'bintang', '']</t>
  </si>
  <si>
    <t>['indihome', 'jaring', 'mahal', 'lot', 'nyesel', 'banget', 'langgan', 'indihome', '']</t>
  </si>
  <si>
    <t>['udah', 'internet', 'akses', 'udah', 'telfon', 'customer', 'service', 'sampe', 'kali', 'udah', 'adu', 'kali', 'suruh', 'tunggu', 'tunggu', 'sampe', '']</t>
  </si>
  <si>
    <t>['', 'teknisi', 'muncul', 'ganggu', 'yanh', 'salam', 'keluh', 'sebelumnnya', 'pasang', 'paket', 'mbps', 'ganggu', 'layan', 'indiehome', 'lapor', 'tindak', 'teknisi', 'tlpn', 'indihome', 'streamer', 'rugi', 'muncul', 'ganggu', 'sampe', '']</t>
  </si>
  <si>
    <t>['bnyak']</t>
  </si>
  <si>
    <t>['bintang', 'jaring', 'lot', 'indihome', 'mohon', 'baik', 'kualitas', '']</t>
  </si>
  <si>
    <t>['login', 'kode', 'verifikasi', 'kirim', 'pegawai', 'niat', 'jual', 'kasihan', 'telkom', 'coba', 'tawar', 'tawar', 'myindi', 'beda', 'tawar', 'telepon', 'tawar', 'add', 'paket', 'nomor', 'simpati', 'dll']</t>
  </si>
  <si>
    <t>['teknisi', 'kali', 'emang', 'males', 'benerin', 'mending', 'dateng', 'dateng', 'ngasih', 'solusi', 'nyambung', 'permasalahanya', 'tingkat', 'layan', '']</t>
  </si>
  <si>
    <t>['aplikasi', 'lengkap', 'faedah', 'lihat', 'tagih', 'pakai']</t>
  </si>
  <si>
    <t>['busuk', 'jaring', 'saran', 'indihome', 'stres', 'jaring', 'ampas', 'whatsapp', 'delay', 'terosss']</t>
  </si>
  <si>
    <t>['untung', 'but', '']</t>
  </si>
  <si>
    <t>['rincian', 'tagih']</t>
  </si>
  <si>
    <t>['ngini', 'pack', 'jaring', 'sungguh', 'membangongkan', '']</t>
  </si>
  <si>
    <t>['indihome', 'internet', 'lag', '']</t>
  </si>
  <si>
    <t>['bentar', 'jual', 'asinge', '']</t>
  </si>
  <si>
    <t>['lag', 'pdhl', 'bayar', 'layan', 'muas', 'kualitas', 'wifi', 'jelek', 'lag', 'tolong', 'kualitas', 'wifi', 'jaga', 'rugi', 'bayar', 'kualitas', 'muas', '']</t>
  </si>
  <si>
    <t>['kendala', 'pasang', 'minggu', 'pasang', 'teknisi', 'ramah', 'banget', 'gaada', 'obat', 'ramah', 'kasih', 'jelas', 'sabar', 'mantep', 'lahh']</t>
  </si>
  <si>
    <t>['ngegame', 'lag', 'banget', 'padal', 'normal']</t>
  </si>
  <si>
    <t>['ganggu', 'internet', 'nggak', 'hidup', 'nggak', 'dibetulin', 'indihome', 'bayar', 'layan', 'kayak', '']</t>
  </si>
  <si>
    <t>['pasang', 'indihome', 'susah', 'ampun', 'odp', 'slalu', 'penuh', 'odp', 'teknisi', 'kantor', 'layan', 'buruk', 'daerah', 'sukabumi', 'jampang', 'kulon']</t>
  </si>
  <si>
    <t>['indihome', 'mbps', 'harga', 'harga', 'skrng', '']</t>
  </si>
  <si>
    <t>['indihome', 'jaring', 'wifi', 'lemah', 'eror', 'jaring', 'bagus', 'wifi', 'wifinya', 'mantap']</t>
  </si>
  <si>
    <t>['terimakasih', 'aplikasi', 'moga', 'performa']</t>
  </si>
  <si>
    <t>['niat', 'layan']</t>
  </si>
  <si>
    <t>['menu', 'under', 'construction']</t>
  </si>
  <si>
    <t>['update', 'masuk', '']</t>
  </si>
  <si>
    <t>['knp', 'jaring', 'indihome', 'skrg', 'jelek', 'nyesel', 'kmrn', 'masang', 'indihome', 'mending', 'pindah', 'republik', '']</t>
  </si>
  <si>
    <t>['', 'jaring', 'ngelos', 'mulu', 'minggu', 'kali', 'kali', 'internet', 'ilang', 'ilangan', 'bayar', 'mahal', 'bayar', 'tanggal', 'ganggu', 'mulu', 'mah', 'kasih', 'ringan', 'gpp', 'deh', 'ganggu', 'mah', 'bayar', 'full', 'engga', 'potong', 'layan', 'engga', 'muas', 'kecewa', 'tlpon', 'cewek', 'jutek', 'ampun', '']</t>
  </si>
  <si>
    <t>['bingung', 'naik', 'tagih']</t>
  </si>
  <si>
    <t>['mantabs']</t>
  </si>
  <si>
    <t>['udah', 'pasang', 'tagih', 'ngelunjak', 'sebel', 'dehh', 'dipake', 'gb']</t>
  </si>
  <si>
    <t>['hapus', 'aplikasi', 'playstore', 'guna', '']</t>
  </si>
  <si>
    <t>['sekar', 'sinyal', 'buruk']</t>
  </si>
  <si>
    <t>['aplikasi', 'menu', 'henti', 'langgan']</t>
  </si>
  <si>
    <t>['keluh', 'spt', 'oktobet', 'suruh', 'tunggu', 'kali', 'lapor', 'telpon', 'indihome', 'fungsi', '']</t>
  </si>
  <si>
    <t>['sambut', 'ramah', 'baik', 'tolong', 'langsung', 'atas', 'hubung', 'bilang', 'mohon', 'sabar', 'progres', 'proses', 'daftar', 'hubung', 'ngak', 'kelas', 'lapor', 'keluh', 'rusa', 'wifi', 'langsung', 'atas', 'proses', 'progres', 'ngak', 'bagus', 'jaring', 'mohon', 'baik', 'bagus']</t>
  </si>
  <si>
    <t>['woi', 'nge', 'lag', 'mulu', 'gimana', 'anjg', 'woi', 'root', 'router']</t>
  </si>
  <si>
    <t>['aplikasi', 'upgrade', 'speed', 'upgrade', 'udh', 'tlp', 'tagih', 'sesuai', 'paket', 'dualplay', 'telp', 'tpi', 'harga', 'triple', 'pay', 'bilang', 'kena', 'ppn', 'tpi', 'dri', 'harga', 'dasar', 'beda', 'banding', 'teman', 'triple', 'pay', 'murah', 'gajelas']</t>
  </si>
  <si>
    <t>['nambahin', 'kuota', 'kek', 'kota', 'pasang', 'full', 'trs']</t>
  </si>
  <si>
    <t>['provider', 'cacat', 'ganggu', 'bayar', 'gapernah', 'telat', 'kualitas', 'bohongin', 'customer']</t>
  </si>
  <si>
    <t>['jumplah', 'tagih', 'nambah', '']</t>
  </si>
  <si>
    <t>['apk', 'tolol', 'verifikasi', 'eror']</t>
  </si>
  <si>
    <t>['gmn', 'indihome', 'daftar', 'login', 'aneh', 'kecewa', 'udh', 'daftar', 'daftar', 'masuk']</t>
  </si>
  <si>
    <t>['udh', 'registrasi', 'ngx', 'login', 'situ', 'sehat', 'nilai', 'mes']</t>
  </si>
  <si>
    <t>['knpaa', 'udaa', 'daftar', 'regiater', 'bisaa', 'masuk', 'apk', 'bener', 'bner', 'kacau']</t>
  </si>
  <si>
    <t>['masuk', 'lag', 'sih', 'data', 'masuk', 'nomer', 'kedetek', 'daftar', 'daftar', 'masuk', 'layan', 'gue', 'ribu', 'mbps', 'mbps', 'maksud']</t>
  </si>
  <si>
    <t>['update', 'teknisi', 'pasang', 'biaya', 'tambah', 'juta', 'hebat', 'layan', 'indihome', '']</t>
  </si>
  <si>
    <t>['login', 'yaa', 'udah', 'install', 'ulang', 'tetep', 'login']</t>
  </si>
  <si>
    <t>['aplikasi', 'login', 'aplikasi', 'masuk', 'untk', 'liat', 'tagih', 'undefined', 'karepmu', 'opo', 'iki', 'bayar', 'tagih', 'ojok', 'naek', 'trus', 'janji', 'flat', 'iso', 'naek', 'sak', 'kaya', '']</t>
  </si>
  <si>
    <t>['gagal', 'login', '']</t>
  </si>
  <si>
    <t>['masuk', 'gagal', 'dasar', 'susah', 'kali', 'apk', 'mohon', 'setel', 'ulang']</t>
  </si>
  <si>
    <t>['layar', 'tampil', 'myindihome', 'klik', 'apa', 'scroll', 'knp', '']</t>
  </si>
  <si>
    <t>['udh', 'gnti', 'paket', 'bayar', 'murah', 'mahal', 'segitu', 'aneh']</t>
  </si>
  <si>
    <t>['akun', 'indihome', 'pas', 'log', 'komplain', 'jaring', 'ganggu', 'indihome']</t>
  </si>
  <si>
    <t>['login', 'akun', 'registrasi', 'kali', 'tetep', 'parah']</t>
  </si>
  <si>
    <t>['tagih']</t>
  </si>
  <si>
    <t>['indihome', 'main', 'game', 'moba', 'ping', 'turun', 'sampe', 'merah', 'lag', 'parah', 'cepat', 'mb', 'gadget', 'rugi', 'bayar', 'mahal', 'tolong', 'baik', 'langgan', 'alih', 'vendor', 'sorry', 'bintang', 'underrated']</t>
  </si>
  <si>
    <t>['indihome', 'beres', 'login', 'kali', 'kali', 'tetep', 'gagal']</t>
  </si>
  <si>
    <t>['apk', 'indihome', 'masuk', 'alamat', 'email', 'tetep', 'gagal', 'masuk', '']</t>
  </si>
  <si>
    <t>['aplikasi']</t>
  </si>
  <si>
    <t>['info', 'tlp', 'menit', 'menit', 'free', 'info', 'liat', '']</t>
  </si>
  <si>
    <t>['', 'login', 'gagal', 'aplikasi', 'jaring', 'buriq']</t>
  </si>
  <si>
    <t>['malem', 'ganggu', 'minggu', 'ganggu', 'atas', 'ganggu', 'parah', 'parah', 'parah', 'tolong', 'teknisi', 'bener', 'rugi', 'konsumen']</t>
  </si>
  <si>
    <t>['nggak', 'login']</t>
  </si>
  <si>
    <t>['buruk', 'login']</t>
  </si>
  <si>
    <t>['wooiii', 'indihome', 'sinyal', 'browsing', 'streaming', 'medsos', 'dll', 'lancar', 'main', 'game', 'nge', 'lag', 'ping', 'kuning', 'tolong', 'baik', 'kecewa', 'langgan', '']</t>
  </si>
  <si>
    <t>['ganti', 'device', 'buka', 'aplikasi', 'ulang', 'kali', 'coba', 'pakai', 'email', 'nomor', 'gagal', 'login', 'device', 'log', 'out', 'payah']</t>
  </si>
  <si>
    <t>['gabisa', 'login', 'aplikasi', 'indihome', 'baca', 'gagal']</t>
  </si>
  <si>
    <t>['mobile', 'legends', 'bolak', 'kek', 'gitu', 'wkwkw', 'parah', 'siii']</t>
  </si>
  <si>
    <t>['min', 'tolong', 'baik', 'perfoma', 'aplikasi', 'log', 'masuk', 'menu', 'alih', 'menu', 'menu', 'suka', 'lag', 'mohon', 'pantau', 'terimakasih']</t>
  </si>
  <si>
    <t>['knpa', 'sya', 'bsa', 'log', 'sya', 'cba', 'input', 'register', 'dtolak', 'krna', 'tedftr', 'sya', 'coba', 'log', 'dtolak', 'krna', 'undefined', 'mohon', 'bantu', '']</t>
  </si>
  <si>
    <t>['bagus', 'jaring', 'game', 'susah', 'ampun', 'macet', 'rua', 'jaring']</t>
  </si>
  <si>
    <t>['aplikasi', 'login', 'parah', '']</t>
  </si>
  <si>
    <t>['parah', 'login', 'padah']</t>
  </si>
  <si>
    <t>['jaring', 'indihome', 'kayak', 'kartu', 'abal', '']</t>
  </si>
  <si>
    <t>['provider', 'sampah']</t>
  </si>
  <si>
    <t>['undefined', 'gagal', 'bro', 'usaha', 'negara', 'dapat', 'miliar', 'dollar', 'sampah']</t>
  </si>
  <si>
    <t>['', 'login', 'log', 'out', 'gagal', 'undefined', 'baca', 'layan', 'buruk', 'aplikasi', 'bintang', 'minus', 'pencet', '']</t>
  </si>
  <si>
    <t>['tolong', 'perhati', 'karayawan', 'mitra', 'nak', 'langsung', 'pecat', '']</t>
  </si>
  <si>
    <t>['kali', 'teknisi', 'baik', 'kabel', 'putus', 'respon', 'teknisi', 'telpon', 'jam', 'kerja', 'bangun', 'apa', 'tagih', 'layan', 'buruk', '']</t>
  </si>
  <si>
    <t>['aplikasi', 'apain', 'pindah', 'beranda', 'tambah', 'jaring', 'jelek', 'layan', '']</t>
  </si>
  <si>
    <t>['', 'buruk', 'internet', 'lot', 'jaring', 'putus', 'desember', 'sampe', 'cape', 'telpon', 'call', 'center', 'pusat', 'cuma', 'tugas', 'dateng', '']</t>
  </si>
  <si>
    <t>['jaring', 'internet', 'kota', 'ambon', 'masalah', 'nyaman', 'susah', 'hubung', 'tugas', 'indihome', 'area', 'ambon', '']</t>
  </si>
  <si>
    <t>['kecewa', 'indihome', 'masang', 'slot', 'penuh', 'nunggu', 'cabut', 'tempat', 'rumah', 'warga', 'rumah', 'slot', 'odp', 'sedia', 'slot', 'yaelah', 'kasi', 'anak', 'anak', 'suruh', 'daring', 'pjj', 'bayar', 'pakai', 'provider', 'indihome', 'rekomendasi', 'provider', 'info']</t>
  </si>
  <si>
    <t>['knp', 'yaa', 'you', 'tube', 'lancar', 'knp', 'mobile', 'lagends', 'lot', 'banget', 'tolong', 'nyaman', '']</t>
  </si>
  <si>
    <t>['inetnya', 'lot', 'suka', 'putus', 'mbps', 'pakai', 'android', 'sebentar', 'sebentar', 'lot', 'sbntar', 'jaring', 'putus', 'udah', 'bnyak', 'adu', 'lot', 'posting', 'tanggal', 'jam', 'internet', 'fungsi', 'jam', 'siang', 'lapor', 'sampe', 'detik', 'blm', '']</t>
  </si>
  <si>
    <t>['layan', 'indihome', 'buruk', 'lambat', 'tangan', 'csnya', 'adu', 'selasa', 'pagi', 'indihome', 'janji', 'minggu', 'tim', 'teknisi', 'customer', 'kecewa']</t>
  </si>
  <si>
    <t>['sungguh', 'kecewa', 'langgan', 'pindah', 'alamat', 'confirm', 'solusi', 'bantu', 'apa', 'ambil', 'telkom', 'pusat', 'uang', 'deposit', 'pakai', 'indihome', 'alamat', 'kirim', 'email', 'login', 'register', 'apps', 'indihome', 'tolong', 'donk', 'jelas', 'relevan', 'terima', 'kasih']</t>
  </si>
  <si>
    <t>['jaring', 'tolong', 'woi', 'jiancok', 'mending', 'cabut', 'ngeselin', 'bab', '']</t>
  </si>
  <si>
    <t>['aplikasi', 'bugs', 'klik', '']</t>
  </si>
  <si>
    <t>['depan', 'fitur', 'hilang']</t>
  </si>
  <si>
    <t>['rusa', 'central', 'kabel', 'optik', 'unit', '']</t>
  </si>
  <si>
    <t>['aplikasi', 'indihome', 'tampil', 'rincian', 'tagih', 'spt', 'ppn', 'biaya', 'telpon', 'dll', 'aplikasi', 'indihome', 'versi', 'kualitas', 'upgrade', 'turun']</t>
  </si>
  <si>
    <t>['sinyal', 'error', 'adu', 'via', 'aplikasi', 'error', 'payah', 'bayar', 'mah', 'rutin']</t>
  </si>
  <si>
    <t>['lot', 'aaplikasi', 'buka', 'kedap', 'kedip', 'doang', 'payah', '']</t>
  </si>
  <si>
    <t>['internet', 'telp', 'error', 'adu', 'pilih', 'adu', 'layan', 'diilangin', '']</t>
  </si>
  <si>
    <t>['quick', 'respon', 'chat', 'lapor', 'internet', 'ganggu', 'respon', 'online', '']</t>
  </si>
  <si>
    <t>['aplikasi', 'log', 'kode', 'otp', 'kode', 'otp', 'masuk']</t>
  </si>
  <si>
    <t>['sambung', 'internet', 'baik', 'indihome', 'padahl', 'lapor', 'balas', 'tetep', 'baik', '']</t>
  </si>
  <si>
    <t>['dear', 'indihome', 'maka', 'internetnya', 'buka', 'youtube', 'lancar', 'buka', 'google', 'main', 'game', 'dll', 'internetnya', 'lot', 'maka']</t>
  </si>
  <si>
    <t>['sinyal', 'lot', 'lelet', 'koneksi', 'jelek', 'banget', '']</t>
  </si>
  <si>
    <t>['benerin', 'eror', 'mulu', 'apk', 'gabisa', 'liat', 'fup']</t>
  </si>
  <si>
    <t>['ngaco', 'sinyal', 'hilang', 'tolong', 'baik', '']</t>
  </si>
  <si>
    <t>['lelet', 'banget', '']</t>
  </si>
  <si>
    <t>['sos', 'trus', 'dekoder', 'baca', 'bgus']</t>
  </si>
  <si>
    <t>['buka', 'sosmed', 'mah', 'lancar', 'knpa', 'main', 'game', 'mobile', 'legands', 'sinyal', 'patah', 'patah', 'aneh', 'kali', 'indihome', 'hadeh', 'kocak']</t>
  </si>
  <si>
    <t>['bayar', 'special', 'inditod', 'kntl', 'ping', 'jumping', 'upload', 'lot', 'provider', 'pasang', 'inditod']</t>
  </si>
  <si>
    <t>['aplikasi', 'buka', 'negri', 'liat', 'bayar', '']</t>
  </si>
  <si>
    <t>['jaring', 'depan', 'buriq', 'bumn', '']</t>
  </si>
  <si>
    <t>['serba', 'mudah', '']</t>
  </si>
  <si>
    <t>['maka', 'wifi', 'tagih', 'sam', 'padahl', 'ngisi', 'saldo', '']</t>
  </si>
  <si>
    <t>['sinyal', 'ampas', 'jelek', 'mulu', 'sinyal', 'nyesel', 'bayar', 'indihome']</t>
  </si>
  <si>
    <t>['kak', 'nomor', 'bayar', 'indihome', 'satu', 'rusak', 'nggak', 'dipakek', 'bayar', 'nomor', 'nggak', 'gimana', 'kak', '']</t>
  </si>
  <si>
    <t>['gimana']</t>
  </si>
  <si>
    <t>['login', 'emain', 'semenjak', 'update']</t>
  </si>
  <si>
    <t>['konek', 'lapor', 'ganggu', 'susah']</t>
  </si>
  <si>
    <t>['wifi', 'indihome', 'rumah', 'jelek', 'cepat', 'buka', 'bufering', 'banget', 'bulan', 'duit', 'ribu', 'kayak', 'gin', 'pening', 'buka', 'upgrade', 'sabar', 'plus', 'banting', 'sangking', 'kesel', 'lelet', 'sumpah', 'indihome', 'kayak', 'gin', 'kecewa', 'banget', 'januari', 'jaring', 'lelet', 'kirain', 'februari', 'normal', 'kayak', 'males', 'bayar', 'ken', 'henti', 'langgan', 'gin']</t>
  </si>
  <si>
    <t>['indihome', 'babik', 'ngapa', 'ngapain', 'sinyal', 'bagus', 'lomba', 'online', 'sinyal', 'jelek', 'gabisa', 'akses', 'pokok', 'burik', 'bet', 'burik', 'burik', 'burik', 'burikkkkkkkkkkkk', 'anjingggggg', 'panggil', 'agus', 'suruh', 'benerin', 'gblkkkkkkk']</t>
  </si>
  <si>
    <t>['pandemi', 'covid', 'telkom', 'kontrobusi', 'masyarakat', 'tarif', 'bpk', 'internet', 'tambah', 'hasil', 'warung', 'pandemi', 'warung', 'sepi', 'internet', 'segitu', 'toleransi', 'bintang']</t>
  </si>
  <si>
    <t>['aplikasi', 'slow', 'respon', 'moga', 'layan', 'mohon', 'maaf', 'review', 'aplikasi', 'responsif', 'ngecek', 'tagih', 'cepat', 'pakai', 'aplikasi', 'marketplace']</t>
  </si>
  <si>
    <t>['detail', 'rincian', 'tagih', 'hilangin', 'gajelas', 'indihome', 'kayak', 'gin', 'tagih', 'kayak', 'tagih', 'rincial', 'tagih', 'hilangin', 'balikin', 'fitur', 'rincian', 'tagih', '']</t>
  </si>
  <si>
    <t>['tambah', 'mbps', 'mbps', 'lot']</t>
  </si>
  <si>
    <t>['moga', 'lag', 'kerja', 'indihome', 'mati', 'rodok', 'babi', 'kubur', 'terima', 'bumi']</t>
  </si>
  <si>
    <t>['tolong', 'cantum', 'nomor', 'hubung', 'kerusaka', 'susa']</t>
  </si>
  <si>
    <t>['hahaha', 'kasi', 'deh', 'kasih', 'bintang', 'doang', 'gitu', 'ngaca', 'knp', 'langgan', 'ksh', 'review', 'jelek', 'bagus', 'rusak', 'jaring', 'nonton', 'youtube', 'muter', 'mulu', 'maen', 'game', 'online', 'gilir', 'bayar', 'wajib', 'lambat', 'dikit', 'denda', 'hancur', 'hancur', 'hancur', '']</t>
  </si>
  <si>
    <t>['servicenya', 'bagus', 'slese', 'lapor', 'langaung', 'baik', 'trmksh']</t>
  </si>
  <si>
    <t>['udah', 'internet', 'mati', 'lapor', 'pakai', 'aplikasi', 'guna', 'ganggu', 'masal', 'tetangga', 'belah', 'rumah', 'pakai', 'indihome', 'ganggu', 'normal', 'tau', 'ganggu', 'masal', 'wilayah', 'rata', 'engga', 'langgan', 'kecewa', '']</t>
  </si>
  <si>
    <t>['sinyal', 'main', 'sosmed', 'lancar', 'pas', 'main', 'game', 'online', 'pubg', 'astaga', 'nge', 'lag', 'banget', 'ping', 'merah', 'kuning', 'aduhhhhhhhhhhhhh', 'nyesel', 'masangnya', '']</t>
  </si>
  <si>
    <t>['tawar', 'paket', 'smooa', 'sesuai', 'janji', 'coba', 'bln', 'lnjt', 'nonaktif', 'udh', 'nonaktif', 'tagih', 'msh', 'muncul', 'pki', 'bln', 'bln', 'byr', 'mudah', 'bln', 'byr', 'stlh', 'urus', 'indihome', 'nambah', 'kerja', 'anti', 'tawar', 'indihome']</t>
  </si>
  <si>
    <t>['rugi', 'bayar', 'mahal', 'mahal', 'kualitas', 'payah', 'mbps', 'sinyal', 'mbps', 'masuk', 'akal', 'maka', 'doang', 'rumah', 'sinyal', 'lot', 'buka', 'youtube', 'ngelag', 'buka', 'google', 'ngelag', 'baca', 'status', 'ngelag', 'gimana', 'emosi']</t>
  </si>
  <si>
    <t>['mohon', 'maaf', 'bintang', 'registrasi', 'survey', 'registrasi', 'sales', 'install', 'kecewa', 'layan', 'indihome', 'kec', 'teluk', 'batang', 'kab', 'kayong', 'utara', 'kalbar', '']</t>
  </si>
  <si>
    <t>['', 'niat', 'benerin', 'ganggu', 'udah', 'lapor', 'minggu', 'respon', 'sekaliiii', 'rugi', 'bayar', 'internetan', '']</t>
  </si>
  <si>
    <t>['akun', 'indihome', 'uda', 'daftar', 'ribetnya', 'main', 'loadingnya', 'super', 'mpe', 'timeout', 'kecewa', 'masuk', 'login', 'indihome', 'lelet', 'kecewa', 'verifikasi', 'super', 'ribet']</t>
  </si>
  <si>
    <t>['layan', 'buruk', '']</t>
  </si>
  <si>
    <t>['case', 'selesai', 'admin', 'indihome', 'sinyal', 'game', 'login', 'aplikasi', 'lihat', 'kapasitas', 'kuota', 'pakai', 'instan', 'overall', 'good', 'moga', 'depan', 'sinyal', 'normal', 'ubah', 'opini', 'pakai', 'jasa', 'indihome', 'ubah', 'positif']</t>
  </si>
  <si>
    <t>['aduhh', 'payah', 'lahhh', 'punye', 'apk', 'malas', 'dahhh', 'lahh', 'balekk', 'kampungjee', 'malaisya']</t>
  </si>
  <si>
    <t>['bayar', 'bengkak', 'sesuai', 'tawar', 'aplikasi', 'grade', 'mbps', 'nambah', 'bln', 'booooohooong', 'jebak', 'nyesel', 'operator', 'puasa', 'ngadunya', 'mana', '']</t>
  </si>
  <si>
    <t>['jaring', 'internet', 'baik', 'aplikasi', 'indihomenya', 'butuh', 'baik', 'bug', 'pegawai', 'indihome', 'tolong', 'tingkat', 'layan', '']</t>
  </si>
  <si>
    <t>['buka', 'aplikas', 'slalu', 'macet', '']</t>
  </si>
  <si>
    <t>['bagus', 'aplikasi', 'bagus', 'tampil', 'kerja', 'bener', 'amps', 'lelet', 'verifikasi', 'sulit', 'eror', 'tuju', 'milik', 'menu', 'lihat', 'rincian', 'biaya', 'isi', 'total', 'biaya', 'biaya', 'bulan', 'paket', 'mbps', 'bulan', 'ngurus', 'kakak', 'ngerti', 'susah', 'mantau']</t>
  </si>
  <si>
    <t>['aplikasi', 'broken', 'login', '']</t>
  </si>
  <si>
    <t>['adu', 'susah', 'aplikasi', 'ganggu', 'ujung', 'muncul', 'adu', 'tagih', '']</t>
  </si>
  <si>
    <t>['layan', 'aplikasi', 'cepat']</t>
  </si>
  <si>
    <t>['guna', 'game', 'aga', 'lancar']</t>
  </si>
  <si>
    <t>['laggg', 'benerrrrrrrrr']</t>
  </si>
  <si>
    <t>['konrol', 'hujan', 'lag', 'udah', 'mood', 'org', 'ancur', 'trima', 'kasih']</t>
  </si>
  <si>
    <t>['aplikasi', 'layan', 'bantu', 'internet', 'lot', '']</t>
  </si>
  <si>
    <t>['lapor', 'lambat']</t>
  </si>
  <si>
    <t>['wifi', 'bau', 'jaring', 'lot', 'nonton', 'film', 'buffer', 'bau', 'bngt', 'mending', 'biznet', 'teman', 'teman', 'ayo', 'biznet', 'jaring', 'cepat', 'stabil', 'andal', 'alih', 'biznet', 'ayo', 'buru', 'hidup', 'indah', 'internet', 'lancar']</t>
  </si>
  <si>
    <t>['bagus', 'trims']</t>
  </si>
  <si>
    <t>['jaring', 'wajar', 'nonton', 'youtube', 'ngelag', 'ngelag', 'nge', 'game', 'tetep', 'ngelag']</t>
  </si>
  <si>
    <t>['', 'bener', 'indi', 'home']</t>
  </si>
  <si>
    <t>['fast', 'respon']</t>
  </si>
  <si>
    <t>['parah', 'aplikasi', 'stuck', 'macet', 'beranda', 'aplikasi']</t>
  </si>
  <si>
    <t>['indihome', 'plaza', 'lapor', 'lampu', 'pon', 'merah', 'kaga', 'tangap']</t>
  </si>
  <si>
    <t>['terima', 'kasih', 'lapor', 'adu', 'laku', 'hasil', 'ubah', 'lot', 'lag', 'sekian', 'terima', 'kasih', '']</t>
  </si>
  <si>
    <t>['pas', 'pasang', 'layan', 'cek', 'lokasi', 'error', 'kalimantan', 'udah', 'indihome']</t>
  </si>
  <si>
    <t>['kesini', 'lot', 'udah', 'gitu', 'tekhnisi', 'slow', 'respon', '']</t>
  </si>
  <si>
    <t>['sinyal', 'stabil', 'main', 'game', 'ping', 'ms', 'guna', 'rumah', 'sinyal', 'lot', 'restart', 'modem', 'lot', 'pakai', 'mbps', 'lot', 'kantor', 'indohome', 'pusat', 'lapor', 'ubah']</t>
  </si>
  <si>
    <t>['login', 'login', 'mohon', 'tunggu', 'tunggu', 'pindah', 'provider', 'respon', 'aplikasi', 'install', 'smartphone', 'android', 'redmi', 'note', 'aplikasi', 'bad', '']</t>
  </si>
  <si>
    <t>['tuju', 'apk', 'mudah', 'langgan', 'apk', 'fungsi', 'vertifikasi', 'akun', 'respon', 'upgrade', 'speed', 'respon', '']</t>
  </si>
  <si>
    <t>['lambat', 'layan', 'harap', 'layan', 'baik', '']</t>
  </si>
  <si>
    <t>['kon', 'lemod']</t>
  </si>
  <si>
    <t>['raja', 'ngelag', 'gausah', 'usaha']</t>
  </si>
  <si>
    <t>['miris', 'usaha', 'telkom', 'ngga', 'kembali', 'refound', 'pelanganya', 'henti', 'langanan', 'sayang', 'layan', 'indihome', 'aju', 'januari', 'direfound', '']</t>
  </si>
  <si>
    <t>['ganggu']</t>
  </si>
  <si>
    <t>['pasang', 'jam', 'langsung', 'ganggu', 'internet', 'akses', '']</t>
  </si>
  <si>
    <t>['internet', 'ganggu', 'mulu', 'wifi', 'nggak', 'udah', 'minggu', 'ganggu', 'terussss', 'males', 'ntar', 'dikit', 'lgi', 'dikit', 'wifi', 'koh', 'slalu', 'ganggu', 'kadang', 'lampu', 'warna', 'merah', 'nggak', 'woiii']</t>
  </si>
  <si>
    <t>['aduhh', 'jaring', 'boss', 'baik', 'wifi', 'yng', 'dipake', 'org', 'kek', 'gin', 'lambat', 'lag', 'download', 'banget', 'baik', 'woiu']</t>
  </si>
  <si>
    <t>['tolong', 'developer', 'baik', 'fitur', 'kendala', 'contoh', 'fitur', 'add', 'speed', 'demand', 'fitur', 'selalh', 'alami', 'error', 'akses', 'halaman']</t>
  </si>
  <si>
    <t>['bayar', 'cuman', 'sakit', 'hati', 'gara', 'gara', 'provider']</t>
  </si>
  <si>
    <t>['indihome', 'lelet', 'tagih', 'mahal', 'ganggu', 'trosss']</t>
  </si>
  <si>
    <t>['ehhhh', 'niat', 'ngasih', 'sinyal', 'nge', 'game', 'putus', 'enak', 'kerja', 'online', 'hubung', 'internet', 'biznet', 'daerah', 'sepi', 'indihome', 'orang', 'keluh', 'sinyal', 'jelek', 'you', 'tuber', 'sampe', 'bocil', 'main', 'rasa', 'buruk', 'sinyal', 'indihome']</t>
  </si>
  <si>
    <t>['tahap', 'verifikasi', 'selesai', 'akun', 'myindihome', 'nunggu', 'proses', 'pasang', 'kuota', 'langgan', 'tempat', 'tinggal', 'tolak', 'survei', 'data', 'pribadi', 'php', 'butuh', 'data', 'pribadi', 'penting', '']</t>
  </si>
  <si>
    <t>['sinyal', 'jelek', 'mahal', 'nambah', 'mbps', 'cuman', 'mbps', 'uploadnya', 'cuman', 'wifi']</t>
  </si>
  <si>
    <t>['', 'bintang', 'langgan', 'wifi', 'masuk', '']</t>
  </si>
  <si>
    <t>['blum', 'pasti', 'slot', 'odp', 'penuh', 'aplikasi', 'udah', 'masuk', 'tahap', 'pasang', 'status', 'hilang']</t>
  </si>
  <si>
    <t>['kadang', 'suka', 'ngeleg', 'respon', '']</t>
  </si>
  <si>
    <t>['telpon', 'mohon', 'bantu']</t>
  </si>
  <si>
    <t>['layan', 'buruk', 'pasang', 'ribetnya', 'ngaudzubillah', 'layan', 'ngk', 'ngk', 'langsung', 'tolak', 'awal', 'lempar', 'sales', 'spv', 'sales', 'kantor', 'verfikasi', 'chat', 'verfikasi', 'telfon', 'bikin', 'praktis', 'tolong', 'indihome', 'mumpung', 'panjang', 'baik', 'layan', '']</t>
  </si>
  <si>
    <t>['konyol', 'bug']</t>
  </si>
  <si>
    <t>['proses', 'adu', 'cepat', 'tindak', 'lanjut', 'puas', 'layan']</t>
  </si>
  <si>
    <t>['good', 'the', 'best']</t>
  </si>
  <si>
    <t>['instalasi', 'payah', 'kode', 'otp', 'gagal', '']</t>
  </si>
  <si>
    <t>['sinyal', 'stabil', 'apbila', 'trouble', 'cepat', 'baik', 'goodjob', '']</t>
  </si>
  <si>
    <t>['telp', 'customer', 'servicenya', 'cepat', 'tangan', '']</t>
  </si>
  <si>
    <t>['parah', 'minggu', 'aju', 'kerja', 'pasang', 'alas', 'kabel', 'masuk', 'akal', 'usaha', 'kurang', 'kabel', 'bloon', '']</t>
  </si>
  <si>
    <t>['komplen', 'samepe', 'error', 'komplen', 'via', 'aplikasi', 'auto', 'chat', 'sedih', 'depan', 'kesini', 'layan', 'muas', 'maksimal', '']</t>
  </si>
  <si>
    <t>['', 'tiket', 'adu', 'tiket', 'udah', 'rekam', 'history', 'layan', 'adu']</t>
  </si>
  <si>
    <t>['ngelaggggg']</t>
  </si>
  <si>
    <t>['periksa', 'lot', 'aduh', 'dri', 'dlu', 'emang', 'indihome', 'buruk', 'kualitas', 'saran', 'jaring', 'bagus', 'pindah', 'dri', 'indihome']</t>
  </si>
  <si>
    <t>['mantaaaappp', 'lot', '']</t>
  </si>
  <si>
    <t>['mending', 'ganti', 'nama', 'lelethome', '']</t>
  </si>
  <si>
    <t>['gara', 'pandemi', 'udah', 'putus', 'kontrak', 'langgang', 'indihome', 'pasang', 'indihome', 'mending', 'mikir', 'deh', '']</t>
  </si>
  <si>
    <t>['indihome', 'mikir', 'naikin', 'rating', 'indihome', 'baca', 'keluh', 'custumer', 'jaring', 'lot', 'hilang', 'sinyal', 'duit', 'cepet', 'nggak', 'telat', '']</t>
  </si>
  <si>
    <t>['ampuuuuuun', 'umpat', 'umpat', 'habis', 'bulan', 'bayar', 'pakai', 'duit', 'pakai', 'daun', '']</t>
  </si>
  <si>
    <t>['', 'ngerti', 'provider', 'iklan', 'jor', 'kwalitas', 'zero', 'bulan', 'ganggu', 'kali', 'kali', 'mantap', '']</t>
  </si>
  <si>
    <t>['makan', 'hati', 'silah', 'deh', 'langgang', 'indihome', '']</t>
  </si>
  <si>
    <t>['aduh', 'sumpah', 'parah', 'jaring', 'banding', 'harga', '']</t>
  </si>
  <si>
    <t>['ganggu', 'indihome', 'nama', 'wkwkkwkw', '']</t>
  </si>
  <si>
    <t>['cemen', 'ganggu', 'mending', 'cari', 'provider', 'deh', 'pasang', 'wifi', '']</t>
  </si>
  <si>
    <t>['indihome', 'gercep', 'lapor', 'pagi', 'tgl', 'feb', 'teknisi', 'tgl', 'feb', 'ganggu', 'bolak', 'bayar', 'mau', 'ontime', 'kecewa', 'bngt', '']</t>
  </si>
  <si>
    <t>['sinyal', 'putus', 'lot', 'pokok', 'nyesal', 'deh', 'langgan', 'indihome', 'nggak', 'sinyal', 'jam', 'jam', 'butuh', 'anak', 'sekolah', 'daring', 'aplikasi', 'ganggu', 'massal', 'telp', 'kendala', 'fisik', 'ganggu', 'teknisi', 'dtg', 'minggu', '']</t>
  </si>
  <si>
    <t>['knpa', 'cek', 'kuota', 'pakai']</t>
  </si>
  <si>
    <t>['aplikasi', 'error', 'mulu']</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</si>
</sst>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1" numFmtId="0" xfId="0" applyAlignment="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8" width="8.71"/>
  </cols>
  <sheetData>
    <row r="1">
      <c r="B1" s="1" t="s">
        <v>0</v>
      </c>
      <c r="C1" s="2" t="s">
        <v>1</v>
      </c>
      <c r="D1" s="1" t="s">
        <v>2</v>
      </c>
      <c r="E1" s="3"/>
    </row>
    <row r="2">
      <c r="A2" s="1">
        <v>0.0</v>
      </c>
      <c r="B2" s="4" t="s">
        <v>3</v>
      </c>
      <c r="C2" s="4" t="str">
        <f>IFERROR(__xludf.DUMMYFUNCTION("GOOGLETRANSLATE(B2,""id"",""en"")"),"['Please', 'UDH', 'Pay', 'Indihomen', 'Lost', 'Net', 'Haduh', 'Hentu', 'Down', 'Deh', 'Subscribe', 'Indihome']")</f>
        <v>['Please', 'UDH', 'Pay', 'Indihomen', 'Lost', 'Net', 'Haduh', 'Hentu', 'Down', 'Deh', 'Subscribe', 'Indihome']</v>
      </c>
      <c r="D2" s="4">
        <v>1.0</v>
      </c>
    </row>
    <row r="3">
      <c r="A3" s="1">
        <v>1.0</v>
      </c>
      <c r="B3" s="4" t="s">
        <v>4</v>
      </c>
      <c r="C3" s="4" t="str">
        <f>IFERROR(__xludf.DUMMYFUNCTION("GOOGLETRANSLATE(B3,""id"",""en"")"),"['Renew', 'Fuf', 'Clear', 'Chahe', ""]")</f>
        <v>['Renew', 'Fuf', 'Clear', 'Chahe', "]</v>
      </c>
      <c r="D3" s="4">
        <v>1.0</v>
      </c>
    </row>
    <row r="4">
      <c r="A4" s="1">
        <v>2.0</v>
      </c>
      <c r="B4" s="4" t="s">
        <v>5</v>
      </c>
      <c r="C4" s="4" t="str">
        <f>IFERROR(__xludf.DUMMYFUNCTION("GOOGLETRANSLATE(B4,""id"",""en"")"),"['nets',' lot ',' number ',' world ',' Mbps', 'lie', 'reach', 'limit', 'lag', 'severe', 'game', 'YouTube', ' lag ',' fed up ']")</f>
        <v>['nets',' lot ',' number ',' world ',' Mbps', 'lie', 'reach', 'limit', 'lag', 'severe', 'game', 'YouTube', ' lag ',' fed up ']</v>
      </c>
      <c r="D4" s="4">
        <v>1.0</v>
      </c>
    </row>
    <row r="5">
      <c r="A5" s="1">
        <v>3.0</v>
      </c>
      <c r="B5" s="4" t="s">
        <v>6</v>
      </c>
      <c r="C5" s="4" t="str">
        <f>IFERROR(__xludf.DUMMYFUNCTION("GOOGLETRANSLATE(B5,""id"",""en"")"),"['Lenot', 'Boss', 'YouTube', 'Resolution', '']")</f>
        <v>['Lenot', 'Boss', 'YouTube', 'Resolution', '']</v>
      </c>
      <c r="D5" s="4">
        <v>1.0</v>
      </c>
    </row>
    <row r="6">
      <c r="A6" s="1">
        <v>4.0</v>
      </c>
      <c r="B6" s="4" t="s">
        <v>7</v>
      </c>
      <c r="C6" s="4" t="str">
        <f>IFERROR(__xludf.DUMMYFUNCTION("GOOGLETRANSLATE(B6,""id"",""en"")"),"['crazy', 'slow', 'really', 'wifinya', 'Mbps',' feels', 'kb', 'wifi', 'good', 'luck', 'moved', 'biznet', ' Kapok ',' gapake ',' morning ',' indihome ']")</f>
        <v>['crazy', 'slow', 'really', 'wifinya', 'Mbps',' feels', 'kb', 'wifi', 'good', 'luck', 'moved', 'biznet', ' Kapok ',' gapake ',' morning ',' indihome ']</v>
      </c>
      <c r="D6" s="4">
        <v>1.0</v>
      </c>
    </row>
    <row r="7">
      <c r="A7" s="1">
        <v>5.0</v>
      </c>
      <c r="B7" s="4" t="s">
        <v>8</v>
      </c>
      <c r="C7" s="4" t="str">
        <f>IFERROR(__xludf.DUMMYFUNCTION("GOOGLETRANSLATE(B7,""id"",""en"")"),"['reasonable']")</f>
        <v>['reasonable']</v>
      </c>
      <c r="D7" s="4">
        <v>4.0</v>
      </c>
    </row>
    <row r="8">
      <c r="A8" s="1">
        <v>6.0</v>
      </c>
      <c r="B8" s="4" t="s">
        <v>9</v>
      </c>
      <c r="C8" s="4" t="str">
        <f>IFERROR(__xludf.DUMMYFUNCTION("GOOGLETRANSLATE(B8,""id"",""en"")"),"['Tagih', 'fast', 'know']")</f>
        <v>['Tagih', 'fast', 'know']</v>
      </c>
      <c r="D8" s="4">
        <v>5.0</v>
      </c>
    </row>
    <row r="9">
      <c r="A9" s="1">
        <v>7.0</v>
      </c>
      <c r="B9" s="4" t="s">
        <v>10</v>
      </c>
      <c r="C9" s="4" t="str">
        <f>IFERROR(__xludf.DUMMYFUNCTION("GOOGLETRANSLATE(B9,""id"",""en"")"),"['likes', 'background', 'change', 'replace', 'according to', 'Keinganan', '']")</f>
        <v>['likes', 'background', 'change', 'replace', 'according to', 'Keinganan', '']</v>
      </c>
      <c r="D9" s="4">
        <v>5.0</v>
      </c>
    </row>
    <row r="10">
      <c r="A10" s="1">
        <v>8.0</v>
      </c>
      <c r="B10" s="4" t="s">
        <v>11</v>
      </c>
      <c r="C10" s="4" t="str">
        <f>IFERROR(__xludf.DUMMYFUNCTION("GOOGLETRANSLATE(B10,""id"",""en"")"),"['Benefits', 'really', 'report', 'Disturbs']")</f>
        <v>['Benefits', 'really', 'report', 'Disturbs']</v>
      </c>
      <c r="D10" s="4">
        <v>5.0</v>
      </c>
    </row>
    <row r="11">
      <c r="A11" s="1">
        <v>9.0</v>
      </c>
      <c r="B11" s="4" t="s">
        <v>12</v>
      </c>
      <c r="C11" s="4" t="str">
        <f>IFERROR(__xludf.DUMMYFUNCTION("GOOGLETRANSLATE(B11,""id"",""en"")"),"['Disturbs', 'silent', 'detection', 'Wait', 'Adu', 'late', 'pay', 'geger', 'block', ""]")</f>
        <v>['Disturbs', 'silent', 'detection', 'Wait', 'Adu', 'late', 'pay', 'geger', 'block', "]</v>
      </c>
      <c r="D11" s="4">
        <v>1.0</v>
      </c>
    </row>
    <row r="12">
      <c r="A12" s="1">
        <v>10.0</v>
      </c>
      <c r="B12" s="4" t="s">
        <v>13</v>
      </c>
      <c r="C12" s="4" t="str">
        <f>IFERROR(__xludf.DUMMYFUNCTION("GOOGLETRANSLATE(B12,""id"",""en"")"),"['easy', 'topup', 'wallet', 'myindihome']")</f>
        <v>['easy', 'topup', 'wallet', 'myindihome']</v>
      </c>
      <c r="D12" s="4">
        <v>5.0</v>
      </c>
    </row>
    <row r="13">
      <c r="A13" s="1">
        <v>11.0</v>
      </c>
      <c r="B13" s="4" t="s">
        <v>14</v>
      </c>
      <c r="C13" s="4" t="str">
        <f>IFERROR(__xludf.DUMMYFUNCTION("GOOGLETRANSLATE(B13,""id"",""en"")"),"['', 'easy']")</f>
        <v>['', 'easy']</v>
      </c>
      <c r="D13" s="4">
        <v>5.0</v>
      </c>
    </row>
    <row r="14">
      <c r="A14" s="1">
        <v>12.0</v>
      </c>
      <c r="B14" s="4" t="s">
        <v>15</v>
      </c>
      <c r="C14" s="4" t="str">
        <f>IFERROR(__xludf.DUMMYFUNCTION("GOOGLETRANSLATE(B14,""id"",""en"")"),"['Mantappp']")</f>
        <v>['Mantappp']</v>
      </c>
      <c r="D14" s="4">
        <v>5.0</v>
      </c>
    </row>
    <row r="15">
      <c r="A15" s="1">
        <v>13.0</v>
      </c>
      <c r="B15" s="4" t="s">
        <v>16</v>
      </c>
      <c r="C15" s="4" t="str">
        <f>IFERROR(__xludf.DUMMYFUNCTION("GOOGLETRANSLATE(B15,""id"",""en"")"),"['Indihome', 'Tyempat', 'Lot', 'Sinnyal', 'Main', 'Mobile', 'Lagend', 'Lot', 'Severe']")</f>
        <v>['Indihome', 'Tyempat', 'Lot', 'Sinnyal', 'Main', 'Mobile', 'Lagend', 'Lot', 'Severe']</v>
      </c>
      <c r="D15" s="4">
        <v>1.0</v>
      </c>
    </row>
    <row r="16">
      <c r="A16" s="1">
        <v>14.0</v>
      </c>
      <c r="B16" s="4" t="s">
        <v>17</v>
      </c>
      <c r="C16" s="4" t="str">
        <f>IFERROR(__xludf.DUMMYFUNCTION("GOOGLETRANSLATE(B16,""id"",""en"")"),"['SOD', 'Gaada', 'Likes', 'Add', 'Speed']")</f>
        <v>['SOD', 'Gaada', 'Likes', 'Add', 'Speed']</v>
      </c>
      <c r="D16" s="4">
        <v>5.0</v>
      </c>
    </row>
    <row r="17">
      <c r="A17" s="1">
        <v>17.0</v>
      </c>
      <c r="B17" s="4" t="s">
        <v>18</v>
      </c>
      <c r="C17" s="4" t="str">
        <f>IFERROR(__xludf.DUMMYFUNCTION("GOOGLETRANSLATE(B17,""id"",""en"")"),"['steady']")</f>
        <v>['steady']</v>
      </c>
      <c r="D17" s="4">
        <v>4.0</v>
      </c>
    </row>
    <row r="18">
      <c r="A18" s="1">
        <v>18.0</v>
      </c>
      <c r="B18" s="4" t="s">
        <v>19</v>
      </c>
      <c r="C18" s="4" t="str">
        <f>IFERROR(__xludf.DUMMYFUNCTION("GOOGLETRANSLATE(B18,""id"",""en"")"),"['RTO', 'slow', 'response', 'pay', 'late', 'turn', 'day', 'late', 'money', 'salary', 'blm', 'udh', ' Terror ',' telephone ',' isolir ',' ']")</f>
        <v>['RTO', 'slow', 'response', 'pay', 'late', 'turn', 'day', 'late', 'money', 'salary', 'blm', 'udh', ' Terror ',' telephone ',' isolir ',' ']</v>
      </c>
      <c r="D18" s="4">
        <v>1.0</v>
      </c>
    </row>
    <row r="19">
      <c r="A19" s="1">
        <v>20.0</v>
      </c>
      <c r="B19" s="4" t="s">
        <v>20</v>
      </c>
      <c r="C19" s="4" t="str">
        <f>IFERROR(__xludf.DUMMYFUNCTION("GOOGLETRANSLATE(B19,""id"",""en"")"),"['update', 'log', 'out', 'dead', 'please', 'love', 'option', 'otp', 'scorched']")</f>
        <v>['update', 'log', 'out', 'dead', 'please', 'love', 'option', 'otp', 'scorched']</v>
      </c>
      <c r="D19" s="4">
        <v>1.0</v>
      </c>
    </row>
    <row r="20">
      <c r="A20" s="1">
        <v>24.0</v>
      </c>
      <c r="B20" s="4" t="s">
        <v>21</v>
      </c>
      <c r="C20" s="4" t="str">
        <f>IFERROR(__xludf.DUMMYFUNCTION("GOOGLETRANSLATE(B20,""id"",""en"")"),"['Layan', 'Simple']")</f>
        <v>['Layan', 'Simple']</v>
      </c>
      <c r="D20" s="4">
        <v>5.0</v>
      </c>
    </row>
    <row r="21" ht="15.75" customHeight="1">
      <c r="A21" s="1">
        <v>25.0</v>
      </c>
      <c r="B21" s="4" t="s">
        <v>22</v>
      </c>
      <c r="C21" s="4" t="str">
        <f>IFERROR(__xludf.DUMMYFUNCTION("GOOGLETRANSLATE(B21,""id"",""en"")"),"['Thanks', 'Indihome']")</f>
        <v>['Thanks', 'Indihome']</v>
      </c>
      <c r="D21" s="4">
        <v>5.0</v>
      </c>
    </row>
    <row r="22" ht="15.75" customHeight="1">
      <c r="A22" s="1">
        <v>26.0</v>
      </c>
      <c r="B22" s="4" t="s">
        <v>23</v>
      </c>
      <c r="C22" s="4" t="str">
        <f>IFERROR(__xludf.DUMMYFUNCTION("GOOGLETRANSLATE(B22,""id"",""en"")"),"['Not bad', 'help', 'application']")</f>
        <v>['Not bad', 'help', 'application']</v>
      </c>
      <c r="D22" s="4">
        <v>5.0</v>
      </c>
    </row>
    <row r="23" ht="15.75" customHeight="1">
      <c r="A23" s="1">
        <v>27.0</v>
      </c>
      <c r="B23" s="4" t="s">
        <v>24</v>
      </c>
      <c r="C23" s="4" t="str">
        <f>IFERROR(__xludf.DUMMYFUNCTION("GOOGLETRANSLATE(B23,""id"",""en"")"),"['Level', 'Quality', 'Indihome', 'Quality', 'Money', 'Nomade', 'Quality', 'Ugly', 'Love', 'Money', 'Hadeh']")</f>
        <v>['Level', 'Quality', 'Indihome', 'Quality', 'Money', 'Nomade', 'Quality', 'Ugly', 'Love', 'Money', 'Hadeh']</v>
      </c>
      <c r="D23" s="4">
        <v>1.0</v>
      </c>
    </row>
    <row r="24" ht="15.75" customHeight="1">
      <c r="A24" s="1">
        <v>28.0</v>
      </c>
      <c r="B24" s="4" t="s">
        <v>25</v>
      </c>
      <c r="C24" s="4" t="str">
        <f>IFERROR(__xludf.DUMMYFUNCTION("GOOGLETRANSLATE(B24,""id"",""en"")"),"['Response', 'Adu', 'Fast', 'Finish', 'TKSH', 'INDIHOME']")</f>
        <v>['Response', 'Adu', 'Fast', 'Finish', 'TKSH', 'INDIHOME']</v>
      </c>
      <c r="D24" s="4">
        <v>5.0</v>
      </c>
    </row>
    <row r="25" ht="15.75" customHeight="1">
      <c r="A25" s="1">
        <v>29.0</v>
      </c>
      <c r="B25" s="4" t="s">
        <v>26</v>
      </c>
      <c r="C25" s="4" t="str">
        <f>IFERROR(__xludf.DUMMYFUNCTION("GOOGLETRANSLATE(B25,""id"",""en"")"),"['Application', 'Easy', 'Subscribe', 'Indihome', 'Thanks', 'Easy', 'Report', 'Disturbs']")</f>
        <v>['Application', 'Easy', 'Subscribe', 'Indihome', 'Thanks', 'Easy', 'Report', 'Disturbs']</v>
      </c>
      <c r="D25" s="4">
        <v>5.0</v>
      </c>
    </row>
    <row r="26" ht="15.75" customHeight="1">
      <c r="A26" s="1">
        <v>30.0</v>
      </c>
      <c r="B26" s="4" t="s">
        <v>27</v>
      </c>
      <c r="C26" s="4" t="str">
        <f>IFERROR(__xludf.DUMMYFUNCTION("GOOGLETRANSLATE(B26,""id"",""en"")"),"['Good', 'application']")</f>
        <v>['Good', 'application']</v>
      </c>
      <c r="D26" s="4">
        <v>5.0</v>
      </c>
    </row>
    <row r="27" ht="15.75" customHeight="1">
      <c r="A27" s="1">
        <v>31.0</v>
      </c>
      <c r="B27" s="4" t="s">
        <v>28</v>
      </c>
      <c r="C27" s="4" t="str">
        <f>IFERROR(__xludf.DUMMYFUNCTION("GOOGLETRANSLATE(B27,""id"",""en"")"),"['Easy', 'Report', 'Disturbs']")</f>
        <v>['Easy', 'Report', 'Disturbs']</v>
      </c>
      <c r="D27" s="4">
        <v>5.0</v>
      </c>
    </row>
    <row r="28" ht="15.75" customHeight="1">
      <c r="A28" s="1">
        <v>32.0</v>
      </c>
      <c r="B28" s="4" t="s">
        <v>29</v>
      </c>
      <c r="C28" s="4" t="str">
        <f>IFERROR(__xludf.DUMMYFUNCTION("GOOGLETRANSLATE(B28,""id"",""en"")"),"['mapping', '']")</f>
        <v>['mapping', '']</v>
      </c>
      <c r="D28" s="4">
        <v>5.0</v>
      </c>
    </row>
    <row r="29" ht="15.75" customHeight="1">
      <c r="A29" s="1">
        <v>33.0</v>
      </c>
      <c r="B29" s="4" t="s">
        <v>30</v>
      </c>
      <c r="C29" s="4" t="str">
        <f>IFERROR(__xludf.DUMMYFUNCTION("GOOGLETRANSLATE(B29,""id"",""en"")"),"['Success', 'Bosque', 'Level', '']")</f>
        <v>['Success', 'Bosque', 'Level', '']</v>
      </c>
      <c r="D29" s="4">
        <v>5.0</v>
      </c>
    </row>
    <row r="30" ht="15.75" customHeight="1">
      <c r="A30" s="1">
        <v>34.0</v>
      </c>
      <c r="B30" s="4" t="s">
        <v>31</v>
      </c>
      <c r="C30" s="4" t="str">
        <f>IFERROR(__xludf.DUMMYFUNCTION("GOOGLETRANSLATE(B30,""id"",""en"")"),"['Santaps', 'Kaliii']")</f>
        <v>['Santaps', 'Kaliii']</v>
      </c>
      <c r="D30" s="4">
        <v>5.0</v>
      </c>
    </row>
    <row r="31" ht="15.75" customHeight="1">
      <c r="A31" s="1">
        <v>35.0</v>
      </c>
      <c r="B31" s="4" t="s">
        <v>32</v>
      </c>
      <c r="C31" s="4" t="str">
        <f>IFERROR(__xludf.DUMMYFUNCTION("GOOGLETRANSLATE(B31,""id"",""en"")"),"['oath', 'ngelag', 'gajelas', 'expensive', 'yes', 'eh']")</f>
        <v>['oath', 'ngelag', 'gajelas', 'expensive', 'yes', 'eh']</v>
      </c>
      <c r="D31" s="4">
        <v>1.0</v>
      </c>
    </row>
    <row r="32" ht="15.75" customHeight="1">
      <c r="A32" s="1">
        <v>36.0</v>
      </c>
      <c r="B32" s="4" t="s">
        <v>33</v>
      </c>
      <c r="C32" s="4" t="str">
        <f>IFERROR(__xludf.DUMMYFUNCTION("GOOGLETRANSLATE(B32,""id"",""en"")"),"['already', 'Mbps',' Tetep ',' ugly ',' signal ',' maki ',' laptop ',' download ',' forgiveness', 'suggestion', 'subscribe', 'KuliaD', ' Inet ',' ugly ',' please ',' good ',' area ',' padalarang ',' bandung ',' west ',' java ',' west ']")</f>
        <v>['already', 'Mbps',' Tetep ',' ugly ',' signal ',' maki ',' laptop ',' download ',' forgiveness', 'suggestion', 'subscribe', 'KuliaD', ' Inet ',' ugly ',' please ',' good ',' area ',' padalarang ',' bandung ',' west ',' java ',' west ']</v>
      </c>
      <c r="D32" s="4">
        <v>1.0</v>
      </c>
    </row>
    <row r="33" ht="15.75" customHeight="1">
      <c r="A33" s="1">
        <v>37.0</v>
      </c>
      <c r="B33" s="4" t="s">
        <v>34</v>
      </c>
      <c r="C33" s="4" t="str">
        <f>IFERROR(__xludf.DUMMYFUNCTION("GOOGLETRANSLATE(B33,""id"",""en"")"),"['nets', 'nets', 'lot', 'pay', 'late', 'mending', 'move', 'provider', 'bye']")</f>
        <v>['nets', 'nets', 'lot', 'pay', 'late', 'mending', 'move', 'provider', 'bye']</v>
      </c>
      <c r="D33" s="4">
        <v>1.0</v>
      </c>
    </row>
    <row r="34" ht="15.75" customHeight="1">
      <c r="A34" s="1">
        <v>38.0</v>
      </c>
      <c r="B34" s="4" t="s">
        <v>35</v>
      </c>
      <c r="C34" s="4" t="str">
        <f>IFERROR(__xludf.DUMMYFUNCTION("GOOGLETRANSLATE(B34,""id"",""en"")"),"['Pairs', 'easy', 'application', 'Indihome', 'response', 'fast']")</f>
        <v>['Pairs', 'easy', 'application', 'Indihome', 'response', 'fast']</v>
      </c>
      <c r="D34" s="4">
        <v>5.0</v>
      </c>
    </row>
    <row r="35" ht="15.75" customHeight="1">
      <c r="A35" s="1">
        <v>39.0</v>
      </c>
      <c r="B35" s="4" t="s">
        <v>36</v>
      </c>
      <c r="C35" s="4" t="str">
        <f>IFERROR(__xludf.DUMMYFUNCTION("GOOGLETRANSLATE(B35,""id"",""en"")"),"['Steady', 'application', 'check', 'tags']")</f>
        <v>['Steady', 'application', 'check', 'tags']</v>
      </c>
      <c r="D35" s="4">
        <v>5.0</v>
      </c>
    </row>
    <row r="36" ht="15.75" customHeight="1">
      <c r="A36" s="1">
        <v>40.0</v>
      </c>
      <c r="B36" s="4" t="s">
        <v>37</v>
      </c>
      <c r="C36" s="4" t="str">
        <f>IFERROR(__xludf.DUMMYFUNCTION("GOOGLETRANSLATE(B36,""id"",""en"")"),"['promo', 'steady', 'good', 'job', 'telkom', '']")</f>
        <v>['promo', 'steady', 'good', 'job', 'telkom', '']</v>
      </c>
      <c r="D36" s="4">
        <v>5.0</v>
      </c>
    </row>
    <row r="37" ht="15.75" customHeight="1">
      <c r="A37" s="1">
        <v>41.0</v>
      </c>
      <c r="B37" s="4" t="s">
        <v>38</v>
      </c>
      <c r="C37" s="4" t="str">
        <f>IFERROR(__xludf.DUMMYFUNCTION("GOOGLETRANSLATE(B37,""id"",""en"")"),"['Indihome', 'bankrupt', 'service', 'numb', 'Indihome', 'worth', 'Try', 'Install', 'Indihome', 'Karna', 'Forced', ""]")</f>
        <v>['Indihome', 'bankrupt', 'service', 'numb', 'Indihome', 'worth', 'Try', 'Install', 'Indihome', 'Karna', 'Forced', "]</v>
      </c>
      <c r="D37" s="4">
        <v>1.0</v>
      </c>
    </row>
    <row r="38" ht="15.75" customHeight="1">
      <c r="A38" s="1">
        <v>42.0</v>
      </c>
      <c r="B38" s="4" t="s">
        <v>39</v>
      </c>
      <c r="C38" s="4" t="str">
        <f>IFERROR(__xludf.DUMMYFUNCTION("GOOGLETRANSLATE(B38,""id"",""en"")"),"['easy', 'good']")</f>
        <v>['easy', 'good']</v>
      </c>
      <c r="D38" s="4">
        <v>5.0</v>
      </c>
    </row>
    <row r="39" ht="15.75" customHeight="1">
      <c r="A39" s="1">
        <v>45.0</v>
      </c>
      <c r="B39" s="4" t="s">
        <v>40</v>
      </c>
      <c r="C39" s="4" t="str">
        <f>IFERROR(__xludf.DUMMYFUNCTION("GOOGLETRANSLATE(B39,""id"",""en"")"),"['Disappointed', 'Indihome', 'Tide', 'Day', 'Tomorrow', 'Router', 'ZTE', 'Error', 'Lights',' Power ',' Dead ',' Los', ' Dead ',' Lights', 'Life', 'Internet', 'Subscribe', 'Naturally', 'Installation', 'Nets',' Live ',' Live ',' Isut ',' Money ',' Deposit '"&amp;" , 'fast', 'notification', 'service', 'poor', 'TLP', 'told', 'Wait', 'technician', 'subscribe', 'gileeeeee', 'Benerrrrr', ""]")</f>
        <v>['Disappointed', 'Indihome', 'Tide', 'Day', 'Tomorrow', 'Router', 'ZTE', 'Error', 'Lights',' Power ',' Dead ',' Los', ' Dead ',' Lights', 'Life', 'Internet', 'Subscribe', 'Naturally', 'Installation', 'Nets',' Live ',' Live ',' Isut ',' Money ',' Deposit ' , 'fast', 'notification', 'service', 'poor', 'TLP', 'told', 'Wait', 'technician', 'subscribe', 'gileeeeee', 'Benerrrrr', "]</v>
      </c>
      <c r="D39" s="4">
        <v>1.0</v>
      </c>
    </row>
    <row r="40" ht="15.75" customHeight="1">
      <c r="A40" s="1">
        <v>46.0</v>
      </c>
      <c r="B40" s="4" t="s">
        <v>41</v>
      </c>
      <c r="C40" s="4" t="str">
        <f>IFERROR(__xludf.DUMMYFUNCTION("GOOGLETRANSLATE(B40,""id"",""en"")"),"['Sorry', 'net', 'pull out', 'Karana', 'Powered', 'Since', 'Install', 'Dipake']")</f>
        <v>['Sorry', 'net', 'pull out', 'Karana', 'Powered', 'Since', 'Install', 'Dipake']</v>
      </c>
      <c r="D40" s="4">
        <v>1.0</v>
      </c>
    </row>
    <row r="41" ht="15.75" customHeight="1">
      <c r="A41" s="1">
        <v>47.0</v>
      </c>
      <c r="B41" s="4" t="s">
        <v>42</v>
      </c>
      <c r="C41" s="4" t="str">
        <f>IFERROR(__xludf.DUMMYFUNCTION("GOOGLETRANSLATE(B41,""id"",""en"")"),"['Upgrade', 'Mbps', 'Open', 'fast', 'Leet']")</f>
        <v>['Upgrade', 'Mbps', 'Open', 'fast', 'Leet']</v>
      </c>
      <c r="D41" s="4">
        <v>1.0</v>
      </c>
    </row>
    <row r="42" ht="15.75" customHeight="1">
      <c r="A42" s="1">
        <v>49.0</v>
      </c>
      <c r="B42" s="4" t="s">
        <v>43</v>
      </c>
      <c r="C42" s="4" t="str">
        <f>IFERROR(__xludf.DUMMYFUNCTION("GOOGLETRANSLATE(B42,""id"",""en"")"),"['Mantab']")</f>
        <v>['Mantab']</v>
      </c>
      <c r="D42" s="4">
        <v>5.0</v>
      </c>
    </row>
    <row r="43" ht="15.75" customHeight="1">
      <c r="A43" s="1">
        <v>50.0</v>
      </c>
      <c r="B43" s="4" t="s">
        <v>44</v>
      </c>
      <c r="C43" s="4" t="str">
        <f>IFERROR(__xludf.DUMMYFUNCTION("GOOGLETRANSLATE(B43,""id"",""en"")"),"['', 'slow', 'skrng', 'info', 'use', 'info', 'limit', 'limit', 'use', 'missing', 'limit', 'version', 'designing ',' limit ',' blm ',' ']")</f>
        <v>['', 'slow', 'skrng', 'info', 'use', 'info', 'limit', 'limit', 'use', 'missing', 'limit', 'version', 'designing ',' limit ',' blm ',' ']</v>
      </c>
      <c r="D43" s="4">
        <v>3.0</v>
      </c>
    </row>
    <row r="44" ht="15.75" customHeight="1">
      <c r="A44" s="1">
        <v>51.0</v>
      </c>
      <c r="B44" s="4" t="s">
        <v>45</v>
      </c>
      <c r="C44" s="4" t="str">
        <f>IFERROR(__xludf.DUMMYFUNCTION("GOOGLETRANSLATE(B44,""id"",""en"")"),"['ping', 'down', 'stable', 'due to', 'play', 'geme', 'ping', 'ugly', 'pay', 'tags', ""]")</f>
        <v>['ping', 'down', 'stable', 'due to', 'play', 'geme', 'ping', 'ugly', 'pay', 'tags', "]</v>
      </c>
      <c r="D44" s="4">
        <v>3.0</v>
      </c>
    </row>
    <row r="45" ht="15.75" customHeight="1">
      <c r="A45" s="1">
        <v>52.0</v>
      </c>
      <c r="B45" s="4" t="s">
        <v>46</v>
      </c>
      <c r="C45" s="4" t="str">
        <f>IFERROR(__xludf.DUMMYFUNCTION("GOOGLETRANSLATE(B45,""id"",""en"")"),"['Road', 'smooth', 'response', 'good', 'hyphen', 'kembang', '']")</f>
        <v>['Road', 'smooth', 'response', 'good', 'hyphen', 'kembang', '']</v>
      </c>
      <c r="D45" s="4">
        <v>5.0</v>
      </c>
    </row>
    <row r="46" ht="15.75" customHeight="1">
      <c r="A46" s="1">
        <v>53.0</v>
      </c>
      <c r="B46" s="4" t="s">
        <v>47</v>
      </c>
      <c r="C46" s="4" t="str">
        <f>IFERROR(__xludf.DUMMYFUNCTION("GOOGLETRANSLATE(B46,""id"",""en"")"),"['eat', 'heart', 'subscribe', 'indihome', 'pay', 'expensive', 'net', 'lot', 'pass',' different ',' use ',' data ',' Normal ',' stable ',' ']")</f>
        <v>['eat', 'heart', 'subscribe', 'indihome', 'pay', 'expensive', 'net', 'lot', 'pass',' different ',' use ',' data ',' Normal ',' stable ',' ']</v>
      </c>
      <c r="D46" s="4">
        <v>1.0</v>
      </c>
    </row>
    <row r="47" ht="15.75" customHeight="1">
      <c r="A47" s="1">
        <v>54.0</v>
      </c>
      <c r="B47" s="4" t="s">
        <v>48</v>
      </c>
      <c r="C47" s="4" t="str">
        <f>IFERROR(__xludf.DUMMYFUNCTION("GOOGLETRANSLATE(B47,""id"",""en"")"),"['net', 'defective', '']")</f>
        <v>['net', 'defective', '']</v>
      </c>
      <c r="D47" s="4">
        <v>1.0</v>
      </c>
    </row>
    <row r="48" ht="15.75" customHeight="1">
      <c r="A48" s="1">
        <v>55.0</v>
      </c>
      <c r="B48" s="4" t="s">
        <v>49</v>
      </c>
      <c r="C48" s="4" t="str">
        <f>IFERROR(__xludf.DUMMYFUNCTION("GOOGLETRANSLATE(B48,""id"",""en"")"),"['Good', 'seeeeekaaaaaaiiiiiiiiiiiiii']")</f>
        <v>['Good', 'seeeeekaaaaaaiiiiiiiiiiiiii']</v>
      </c>
      <c r="D48" s="4">
        <v>5.0</v>
      </c>
    </row>
    <row r="49" ht="15.75" customHeight="1">
      <c r="A49" s="1">
        <v>56.0</v>
      </c>
      <c r="B49" s="4" t="s">
        <v>50</v>
      </c>
      <c r="C49" s="4" t="str">
        <f>IFERROR(__xludf.DUMMYFUNCTION("GOOGLETRANSLATE(B49,""id"",""en"")"),"['telemarketing', 'smart', 'ngibul', 'telephone', 'fox', 'data', 'visits',' bro ',' can ',' promo ',' plnggan ',' seemless', ' CMA ',' Nmbah ',' RB ',' Active ',' Trchir ',' DTLP ',' Survey ',' DKSI ',' Credit ',' RB ',' Enter ',' plsa ',' sell ' , 'Nipu'"&amp;", 'guise', 'BUMN', '']")</f>
        <v>['telemarketing', 'smart', 'ngibul', 'telephone', 'fox', 'data', 'visits',' bro ',' can ',' promo ',' plnggan ',' seemless', ' CMA ',' Nmbah ',' RB ',' Active ',' Trchir ',' DTLP ',' Survey ',' DKSI ',' Credit ',' RB ',' Enter ',' plsa ',' sell ' , 'Nipu', 'guise', 'BUMN', '']</v>
      </c>
      <c r="D49" s="4">
        <v>1.0</v>
      </c>
    </row>
    <row r="50" ht="15.75" customHeight="1">
      <c r="A50" s="1">
        <v>57.0</v>
      </c>
      <c r="B50" s="4" t="s">
        <v>51</v>
      </c>
      <c r="C50" s="4" t="str">
        <f>IFERROR(__xludf.DUMMYFUNCTION("GOOGLETRANSLATE(B50,""id"",""en"")"),"['Speed', 'The', 'Mand', 'Sedia', '']")</f>
        <v>['Speed', 'The', 'Mand', 'Sedia', '']</v>
      </c>
      <c r="D50" s="4">
        <v>4.0</v>
      </c>
    </row>
    <row r="51" ht="15.75" customHeight="1">
      <c r="A51" s="1">
        <v>58.0</v>
      </c>
      <c r="B51" s="4" t="s">
        <v>52</v>
      </c>
      <c r="C51" s="4" t="str">
        <f>IFERROR(__xludf.DUMMYFUNCTION("GOOGLETRANSLATE(B51,""id"",""en"")"),"['Current', 'Jaya']")</f>
        <v>['Current', 'Jaya']</v>
      </c>
      <c r="D51" s="4">
        <v>5.0</v>
      </c>
    </row>
    <row r="52" ht="15.75" customHeight="1">
      <c r="A52" s="1">
        <v>59.0</v>
      </c>
      <c r="B52" s="4" t="s">
        <v>53</v>
      </c>
      <c r="C52" s="4" t="str">
        <f>IFERROR(__xludf.DUMMYFUNCTION("GOOGLETRANSLATE(B52,""id"",""en"")"),"['Histori', 'Pay', 'Top', 'Quota', 'Limit', 'Quota', 'Change', 'Top', 'Lot', 'Out', 'Quota', 'Heague', ' ']")</f>
        <v>['Histori', 'Pay', 'Top', 'Quota', 'Limit', 'Quota', 'Change', 'Top', 'Lot', 'Out', 'Quota', 'Heague', ' ']</v>
      </c>
      <c r="D52" s="4">
        <v>1.0</v>
      </c>
    </row>
    <row r="53" ht="15.75" customHeight="1">
      <c r="A53" s="1">
        <v>60.0</v>
      </c>
      <c r="B53" s="4" t="s">
        <v>54</v>
      </c>
      <c r="C53" s="4" t="str">
        <f>IFERROR(__xludf.DUMMYFUNCTION("GOOGLETRANSLATE(B53,""id"",""en"")"),"['KOQ', 'Points', 'Indihome', 'Lost']")</f>
        <v>['KOQ', 'Points', 'Indihome', 'Lost']</v>
      </c>
      <c r="D53" s="4">
        <v>5.0</v>
      </c>
    </row>
    <row r="54" ht="15.75" customHeight="1">
      <c r="A54" s="1">
        <v>61.0</v>
      </c>
      <c r="B54" s="4" t="s">
        <v>55</v>
      </c>
      <c r="C54" s="4" t="str">
        <f>IFERROR(__xludf.DUMMYFUNCTION("GOOGLETRANSLATE(B54,""id"",""en"")"),"['Net', 'slow']")</f>
        <v>['Net', 'slow']</v>
      </c>
      <c r="D54" s="4">
        <v>1.0</v>
      </c>
    </row>
    <row r="55" ht="15.75" customHeight="1">
      <c r="A55" s="1">
        <v>62.0</v>
      </c>
      <c r="B55" s="4" t="s">
        <v>56</v>
      </c>
      <c r="C55" s="4" t="str">
        <f>IFERROR(__xludf.DUMMYFUNCTION("GOOGLETRANSLATE(B55,""id"",""en"")"),"['good']")</f>
        <v>['good']</v>
      </c>
      <c r="D55" s="4">
        <v>5.0</v>
      </c>
    </row>
    <row r="56" ht="15.75" customHeight="1">
      <c r="A56" s="1">
        <v>65.0</v>
      </c>
      <c r="B56" s="4" t="s">
        <v>57</v>
      </c>
      <c r="C56" s="4" t="str">
        <f>IFERROR(__xludf.DUMMYFUNCTION("GOOGLETRANSLATE(B56,""id"",""en"")"),"['response', 'service']")</f>
        <v>['response', 'service']</v>
      </c>
      <c r="D56" s="4">
        <v>4.0</v>
      </c>
    </row>
    <row r="57" ht="15.75" customHeight="1">
      <c r="A57" s="1">
        <v>66.0</v>
      </c>
      <c r="B57" s="4" t="s">
        <v>58</v>
      </c>
      <c r="C57" s="4" t="str">
        <f>IFERROR(__xludf.DUMMYFUNCTION("GOOGLETRANSLATE(B57,""id"",""en"")"),"['help']")</f>
        <v>['help']</v>
      </c>
      <c r="D57" s="4">
        <v>5.0</v>
      </c>
    </row>
    <row r="58" ht="15.75" customHeight="1">
      <c r="A58" s="1">
        <v>67.0</v>
      </c>
      <c r="B58" s="4" t="s">
        <v>59</v>
      </c>
      <c r="C58" s="4" t="str">
        <f>IFERROR(__xludf.DUMMYFUNCTION("GOOGLETRANSLATE(B58,""id"",""en"")"),"['Love', 'Star']")</f>
        <v>['Love', 'Star']</v>
      </c>
      <c r="D58" s="4">
        <v>5.0</v>
      </c>
    </row>
    <row r="59" ht="15.75" customHeight="1">
      <c r="A59" s="1">
        <v>68.0</v>
      </c>
      <c r="B59" s="4" t="s">
        <v>60</v>
      </c>
      <c r="C59" s="4" t="str">
        <f>IFERROR(__xludf.DUMMYFUNCTION("GOOGLETRANSLATE(B59,""id"",""en"")"),"['please', 'good', 'service', 'app', 'error', 'open', 'app', 'muter', 'muter', 'kersips', ""]")</f>
        <v>['please', 'good', 'service', 'app', 'error', 'open', 'app', 'muter', 'muter', 'kersips', "]</v>
      </c>
      <c r="D59" s="4">
        <v>2.0</v>
      </c>
    </row>
    <row r="60" ht="15.75" customHeight="1">
      <c r="A60" s="1">
        <v>69.0</v>
      </c>
      <c r="B60" s="4" t="s">
        <v>61</v>
      </c>
      <c r="C60" s="4" t="str">
        <f>IFERROR(__xludf.DUMMYFUNCTION("GOOGLETRANSLATE(B60,""id"",""en"")"),"['Indihome', 'Ngelag', 'really', 'Please', 'Open', 'YouTube', 'Etc.', 'Current', 'Golir', 'Open', 'Game', 'Ngelag', ' very', '']")</f>
        <v>['Indihome', 'Ngelag', 'really', 'Please', 'Open', 'YouTube', 'Etc.', 'Current', 'Golir', 'Open', 'Game', 'Ngelag', ' very', '']</v>
      </c>
      <c r="D60" s="4">
        <v>1.0</v>
      </c>
    </row>
    <row r="61" ht="15.75" customHeight="1">
      <c r="A61" s="1">
        <v>70.0</v>
      </c>
      <c r="B61" s="4" t="s">
        <v>62</v>
      </c>
      <c r="C61" s="4" t="str">
        <f>IFERROR(__xludf.DUMMYFUNCTION("GOOGLETRANSLATE(B61,""id"",""en"")"),"['already', 'upgred', 'Mbps', 'quality', 'signal', 'ugly', 'please', 'good', 'subscribe', 'disappointed']")</f>
        <v>['already', 'upgred', 'Mbps', 'quality', 'signal', 'ugly', 'please', 'good', 'subscribe', 'disappointed']</v>
      </c>
      <c r="D61" s="4">
        <v>1.0</v>
      </c>
    </row>
    <row r="62" ht="15.75" customHeight="1">
      <c r="A62" s="1">
        <v>71.0</v>
      </c>
      <c r="B62" s="4" t="s">
        <v>63</v>
      </c>
      <c r="C62" s="4" t="str">
        <f>IFERROR(__xludf.DUMMYFUNCTION("GOOGLETRANSLATE(B62,""id"",""en"")"),"['Quality', 'trashhhh']")</f>
        <v>['Quality', 'trashhhh']</v>
      </c>
      <c r="D62" s="4">
        <v>1.0</v>
      </c>
    </row>
    <row r="63" ht="15.75" customHeight="1">
      <c r="A63" s="1">
        <v>72.0</v>
      </c>
      <c r="B63" s="4" t="s">
        <v>64</v>
      </c>
      <c r="C63" s="4" t="str">
        <f>IFERROR(__xludf.DUMMYFUNCTION("GOOGLETRANSLATE(B63,""id"",""en"")"),"['', 'replace', 'Biznet', 'Indihome', 'Sampaj', 'Ngelag', 'Mbps',' Pay ',' expensive ',' Ngelag ',' Mending ',' Biznet ',' Mbps ',' Biznet ',' Mbps', 'passing', 'Indhome', 'Mbps',' Mbps']")</f>
        <v>['', 'replace', 'Biznet', 'Indihome', 'Sampaj', 'Ngelag', 'Mbps',' Pay ',' expensive ',' Ngelag ',' Mending ',' Biznet ',' Mbps ',' Biznet ',' Mbps', 'passing', 'Indhome', 'Mbps',' Mbps']</v>
      </c>
      <c r="D63" s="4">
        <v>1.0</v>
      </c>
    </row>
    <row r="64" ht="15.75" customHeight="1">
      <c r="A64" s="1">
        <v>73.0</v>
      </c>
      <c r="B64" s="4" t="s">
        <v>65</v>
      </c>
      <c r="C64" s="4" t="str">
        <f>IFERROR(__xludf.DUMMYFUNCTION("GOOGLETRANSLATE(B64,""id"",""en"")"),"['Star', 'deh', 'use']")</f>
        <v>['Star', 'deh', 'use']</v>
      </c>
      <c r="D64" s="4">
        <v>4.0</v>
      </c>
    </row>
    <row r="65" ht="15.75" customHeight="1">
      <c r="A65" s="1">
        <v>74.0</v>
      </c>
      <c r="B65" s="4" t="s">
        <v>66</v>
      </c>
      <c r="C65" s="4" t="str">
        <f>IFERROR(__xludf.DUMMYFUNCTION("GOOGLETRANSLATE(B65,""id"",""en"")"),"['Hiliiih', 'disturbing', 'Mulu', 'internet', 'stable', 'hub', 'difficult', 'right', 'rich', 'hub', 'artist', 'good', ' ']")</f>
        <v>['Hiliiih', 'disturbing', 'Mulu', 'internet', 'stable', 'hub', 'difficult', 'right', 'rich', 'hub', 'artist', 'good', ' ']</v>
      </c>
      <c r="D65" s="4">
        <v>1.0</v>
      </c>
    </row>
    <row r="66" ht="15.75" customHeight="1">
      <c r="A66" s="1">
        <v>75.0</v>
      </c>
      <c r="B66" s="4" t="s">
        <v>67</v>
      </c>
      <c r="C66" s="4" t="str">
        <f>IFERROR(__xludf.DUMMYFUNCTION("GOOGLETRANSLATE(B66,""id"",""en"")"),"['game', 'smooth', 'pairs',' wifi ',' ken ',' smooth ',' gin ',' pdhal ',' connects', 'play', 'game', 'severe', ' ']")</f>
        <v>['game', 'smooth', 'pairs',' wifi ',' ken ',' smooth ',' gin ',' pdhal ',' connects', 'play', 'game', 'severe', ' ']</v>
      </c>
      <c r="D66" s="4">
        <v>3.0</v>
      </c>
    </row>
    <row r="67" ht="15.75" customHeight="1">
      <c r="A67" s="1">
        <v>76.0</v>
      </c>
      <c r="B67" s="4" t="s">
        <v>68</v>
      </c>
      <c r="C67" s="4" t="str">
        <f>IFERROR(__xludf.DUMMYFUNCTION("GOOGLETRANSLATE(B67,""id"",""en"")"),"['podol']")</f>
        <v>['podol']</v>
      </c>
      <c r="D67" s="4">
        <v>1.0</v>
      </c>
    </row>
    <row r="68" ht="15.75" customHeight="1">
      <c r="A68" s="1">
        <v>77.0</v>
      </c>
      <c r="B68" s="4" t="s">
        <v>69</v>
      </c>
      <c r="C68" s="4" t="str">
        <f>IFERROR(__xludf.DUMMYFUNCTION("GOOGLETRANSLATE(B68,""id"",""en"")"),"['', 'Indihome']")</f>
        <v>['', 'Indihome']</v>
      </c>
      <c r="D68" s="4">
        <v>5.0</v>
      </c>
    </row>
    <row r="69" ht="15.75" customHeight="1">
      <c r="A69" s="1">
        <v>78.0</v>
      </c>
      <c r="B69" s="4" t="s">
        <v>70</v>
      </c>
      <c r="C69" s="4" t="str">
        <f>IFERROR(__xludf.DUMMYFUNCTION("GOOGLETRANSLATE(B69,""id"",""en"")"),"['steady', 'TPI', 'date', 'lot']")</f>
        <v>['steady', 'TPI', 'date', 'lot']</v>
      </c>
      <c r="D69" s="4">
        <v>5.0</v>
      </c>
    </row>
    <row r="70" ht="15.75" customHeight="1">
      <c r="A70" s="1">
        <v>79.0</v>
      </c>
      <c r="B70" s="4" t="s">
        <v>71</v>
      </c>
      <c r="C70" s="4" t="str">
        <f>IFERROR(__xludf.DUMMYFUNCTION("GOOGLETRANSLATE(B70,""id"",""en"")"),"['Internet', 'Lot']")</f>
        <v>['Internet', 'Lot']</v>
      </c>
      <c r="D70" s="4">
        <v>2.0</v>
      </c>
    </row>
    <row r="71" ht="15.75" customHeight="1">
      <c r="A71" s="1">
        <v>80.0</v>
      </c>
      <c r="B71" s="4" t="s">
        <v>72</v>
      </c>
      <c r="C71" s="4" t="str">
        <f>IFERROR(__xludf.DUMMYFUNCTION("GOOGLETRANSLATE(B71,""id"",""en"")"),"['Good', 'fast', 'Response', 'execution', 'Wait', '']")</f>
        <v>['Good', 'fast', 'Response', 'execution', 'Wait', '']</v>
      </c>
      <c r="D71" s="4">
        <v>5.0</v>
      </c>
    </row>
    <row r="72" ht="15.75" customHeight="1">
      <c r="A72" s="1">
        <v>81.0</v>
      </c>
      <c r="B72" s="4" t="s">
        <v>73</v>
      </c>
      <c r="C72" s="4" t="str">
        <f>IFERROR(__xludf.DUMMYFUNCTION("GOOGLETRANSLATE(B72,""id"",""en"")"),"['Severe', 'Ticket', 'Report', 'Application', 'Follow', 'Report', 'Connection', 'Disconnect', 'Clock', 'Clock', 'noon', 'Info', ' Tickets', 'Report', 'good', 'finished', 'work', 'technicians',' appeared ',' connections', 'broke', 'clock', 'phone', 'blm', "&amp;"'work' , 'Ticket', 'schedule', 'technician', 'home', 'Mending', 'Delete', 'Deh', 'Report', 'Adu', 'Application', 'Follow', ""]")</f>
        <v>['Severe', 'Ticket', 'Report', 'Application', 'Follow', 'Report', 'Connection', 'Disconnect', 'Clock', 'Clock', 'noon', 'Info', ' Tickets', 'Report', 'good', 'finished', 'work', 'technicians',' appeared ',' connections', 'broke', 'clock', 'phone', 'blm', 'work' , 'Ticket', 'schedule', 'technician', 'home', 'Mending', 'Delete', 'Deh', 'Report', 'Adu', 'Application', 'Follow', "]</v>
      </c>
      <c r="D72" s="4">
        <v>1.0</v>
      </c>
    </row>
    <row r="73" ht="15.75" customHeight="1">
      <c r="A73" s="1">
        <v>82.0</v>
      </c>
      <c r="B73" s="4" t="s">
        <v>74</v>
      </c>
      <c r="C73" s="4" t="str">
        <f>IFERROR(__xludf.DUMMYFUNCTION("GOOGLETRANSLATE(B73,""id"",""en"")"),"['Please', 'wise']")</f>
        <v>['Please', 'wise']</v>
      </c>
      <c r="D73" s="4">
        <v>5.0</v>
      </c>
    </row>
    <row r="74" ht="15.75" customHeight="1">
      <c r="A74" s="1">
        <v>83.0</v>
      </c>
      <c r="B74" s="4" t="s">
        <v>75</v>
      </c>
      <c r="C74" s="4" t="str">
        <f>IFERROR(__xludf.DUMMYFUNCTION("GOOGLETRANSLATE(B74,""id"",""en"")"),"['Disconnect', 'break up']")</f>
        <v>['Disconnect', 'break up']</v>
      </c>
      <c r="D74" s="4">
        <v>1.0</v>
      </c>
    </row>
    <row r="75" ht="15.75" customHeight="1">
      <c r="A75" s="1">
        <v>84.0</v>
      </c>
      <c r="B75" s="4" t="s">
        <v>76</v>
      </c>
      <c r="C75" s="4" t="str">
        <f>IFERROR(__xludf.DUMMYFUNCTION("GOOGLETRANSLATE(B75,""id"",""en"")"),"['Siipp']")</f>
        <v>['Siipp']</v>
      </c>
      <c r="D75" s="4">
        <v>5.0</v>
      </c>
    </row>
    <row r="76" ht="15.75" customHeight="1">
      <c r="A76" s="1">
        <v>85.0</v>
      </c>
      <c r="B76" s="4" t="s">
        <v>77</v>
      </c>
      <c r="C76" s="4" t="str">
        <f>IFERROR(__xludf.DUMMYFUNCTION("GOOGLETRANSLATE(B76,""id"",""en"")"),"['Help', 'Kece', 'quota', 'FUP', 'just', 'menu', 'renew', 'speed', 'FUP', 'past', 'pay', 'Via', ' Link ',' fast ',' got ',' FUP ',' GMN ',' TELKOM ',' Pay ',' service ',' Gal ',' according to ',' Delete ',' menu ',' renew ' , 'Speed', 'thank', 'love']")</f>
        <v>['Help', 'Kece', 'quota', 'FUP', 'just', 'menu', 'renew', 'speed', 'FUP', 'past', 'pay', 'Via', ' Link ',' fast ',' got ',' FUP ',' GMN ',' TELKOM ',' Pay ',' service ',' Gal ',' according to ',' Delete ',' menu ',' renew ' , 'Speed', 'thank', 'love']</v>
      </c>
      <c r="D76" s="4">
        <v>3.0</v>
      </c>
    </row>
    <row r="77" ht="15.75" customHeight="1">
      <c r="A77" s="1">
        <v>86.0</v>
      </c>
      <c r="B77" s="4" t="s">
        <v>78</v>
      </c>
      <c r="C77" s="4" t="str">
        <f>IFERROR(__xludf.DUMMYFUNCTION("GOOGLETRANSLATE(B77,""id"",""en"")"),"['Net', 'gaje']")</f>
        <v>['Net', 'gaje']</v>
      </c>
      <c r="D77" s="4">
        <v>1.0</v>
      </c>
    </row>
    <row r="78" ht="15.75" customHeight="1">
      <c r="A78" s="1">
        <v>87.0</v>
      </c>
      <c r="B78" s="4" t="s">
        <v>79</v>
      </c>
      <c r="C78" s="4" t="str">
        <f>IFERROR(__xludf.DUMMYFUNCTION("GOOGLETRANSLATE(B78,""id"",""en"")"),"['Subscribe', 'KLU', 'Closed', 'Indihome', 'Have', 'Pay', 'BLN', 'Capital', 'Yesterday', 'BLN', 'Capital', 'Internet', ' use', '']")</f>
        <v>['Subscribe', 'KLU', 'Closed', 'Indihome', 'Have', 'Pay', 'BLN', 'Capital', 'Yesterday', 'BLN', 'Capital', 'Internet', ' use', '']</v>
      </c>
      <c r="D78" s="4">
        <v>1.0</v>
      </c>
    </row>
    <row r="79" ht="15.75" customHeight="1">
      <c r="A79" s="1">
        <v>88.0</v>
      </c>
      <c r="B79" s="4" t="s">
        <v>80</v>
      </c>
      <c r="C79" s="4" t="str">
        <f>IFERROR(__xludf.DUMMYFUNCTION("GOOGLETRANSLATE(B79,""id"",""en"")"),"['WiFi', 'Lemoottt', 'Ngeyoutube', 'Game', 'CODM', 'uploud', 'Defensive', 'Video', 'Good', 'Good', ""]")</f>
        <v>['WiFi', 'Lemoottt', 'Ngeyoutube', 'Game', 'CODM', 'uploud', 'Defensive', 'Video', 'Good', 'Good', "]</v>
      </c>
      <c r="D79" s="4">
        <v>1.0</v>
      </c>
    </row>
    <row r="80" ht="15.75" customHeight="1">
      <c r="A80" s="1">
        <v>89.0</v>
      </c>
      <c r="B80" s="4" t="s">
        <v>81</v>
      </c>
      <c r="C80" s="4" t="str">
        <f>IFERROR(__xludf.DUMMYFUNCTION("GOOGLETRANSLATE(B80,""id"",""en"")"),"['Puanas',' service ',' Indihome ',' Subscribe ',' Jambi ',' TMPT ',' Live ',' Like ',' Lot ',' Conect ',' Internet ',' Road ',' Alias', 'Dead', 'Pay', 'Times',' Report ',' Sampe ',' Technician ',' Promise ',' TLFN ',' Pellayananan ',' MUAS ',' Profession"&amp;"al ',' Make ' , 'solution', 'trhadap', 'subscribe', 'boss', 'indihome', '']")</f>
        <v>['Puanas',' service ',' Indihome ',' Subscribe ',' Jambi ',' TMPT ',' Live ',' Like ',' Lot ',' Conect ',' Internet ',' Road ',' Alias', 'Dead', 'Pay', 'Times',' Report ',' Sampe ',' Technician ',' Promise ',' TLFN ',' Pellayananan ',' MUAS ',' Professional ',' Make ' , 'solution', 'trhadap', 'subscribe', 'boss', 'indihome', '']</v>
      </c>
      <c r="D80" s="4">
        <v>1.0</v>
      </c>
    </row>
    <row r="81" ht="15.75" customHeight="1">
      <c r="A81" s="1">
        <v>90.0</v>
      </c>
      <c r="B81" s="4" t="s">
        <v>82</v>
      </c>
      <c r="C81" s="4" t="str">
        <f>IFERROR(__xludf.DUMMYFUNCTION("GOOGLETRANSLATE(B81,""id"",""en"")"),"['already', 'Lalod', 'take', 'Mbps',' make ',' org ',' house ',' org ',' open ',' video ',' bufering ',' smooth ',' Data ',' ']")</f>
        <v>['already', 'Lalod', 'take', 'Mbps',' make ',' org ',' house ',' org ',' open ',' video ',' bufering ',' smooth ',' Data ',' ']</v>
      </c>
      <c r="D81" s="4">
        <v>2.0</v>
      </c>
    </row>
    <row r="82" ht="15.75" customHeight="1">
      <c r="A82" s="1">
        <v>91.0</v>
      </c>
      <c r="B82" s="4" t="s">
        <v>83</v>
      </c>
      <c r="C82" s="4" t="str">
        <f>IFERROR(__xludf.DUMMYFUNCTION("GOOGLETRANSLATE(B82,""id"",""en"")"),"['Operation', 'Yesterday', 'Technician', 'Dateng', 'Check', 'Tense', 'Internet', 'Speed', 'Down', 'And', 'Disconnect', 'Streaming', ' Lot ',' Dead ',' ']")</f>
        <v>['Operation', 'Yesterday', 'Technician', 'Dateng', 'Check', 'Tense', 'Internet', 'Speed', 'Down', 'And', 'Disconnect', 'Streaming', ' Lot ',' Dead ',' ']</v>
      </c>
      <c r="D82" s="4">
        <v>1.0</v>
      </c>
    </row>
    <row r="83" ht="15.75" customHeight="1">
      <c r="A83" s="1">
        <v>92.0</v>
      </c>
      <c r="B83" s="4" t="s">
        <v>84</v>
      </c>
      <c r="C83" s="4" t="str">
        <f>IFERROR(__xludf.DUMMYFUNCTION("GOOGLETRANSLATE(B83,""id"",""en"")"),"['Connect', 'Internet']")</f>
        <v>['Connect', 'Internet']</v>
      </c>
      <c r="D83" s="4">
        <v>1.0</v>
      </c>
    </row>
    <row r="84" ht="15.75" customHeight="1">
      <c r="A84" s="1">
        <v>93.0</v>
      </c>
      <c r="B84" s="4" t="s">
        <v>85</v>
      </c>
      <c r="C84" s="4" t="str">
        <f>IFERROR(__xludf.DUMMYFUNCTION("GOOGLETRANSLATE(B84,""id"",""en"")"),"['service', 'bad', 'tags', 'Defutable', 'Disturbs', 'Application', 'Adu', 'Via', 'Application', 'Response']")</f>
        <v>['service', 'bad', 'tags', 'Defutable', 'Disturbs', 'Application', 'Adu', 'Via', 'Application', 'Response']</v>
      </c>
      <c r="D84" s="4">
        <v>1.0</v>
      </c>
    </row>
    <row r="85" ht="15.75" customHeight="1">
      <c r="A85" s="1">
        <v>94.0</v>
      </c>
      <c r="B85" s="4" t="s">
        <v>86</v>
      </c>
      <c r="C85" s="4" t="str">
        <f>IFERROR(__xludf.DUMMYFUNCTION("GOOGLETRANSLATE(B85,""id"",""en"")"),"['Bener', 'poor', 'serve', 'status',' isolir ',' pay ',' already ',' complaint ',' answer ',' AJU ',' already ',' bln ',' Progress', 'Golir', 'late', 'Pay', 'Direct', 'get', 'fine']")</f>
        <v>['Bener', 'poor', 'serve', 'status',' isolir ',' pay ',' already ',' complaint ',' answer ',' AJU ',' already ',' bln ',' Progress', 'Golir', 'late', 'Pay', 'Direct', 'get', 'fine']</v>
      </c>
      <c r="D85" s="4">
        <v>1.0</v>
      </c>
    </row>
    <row r="86" ht="15.75" customHeight="1">
      <c r="A86" s="1">
        <v>95.0</v>
      </c>
      <c r="B86" s="4" t="s">
        <v>87</v>
      </c>
      <c r="C86" s="4" t="str">
        <f>IFERROR(__xludf.DUMMYFUNCTION("GOOGLETRANSLATE(B86,""id"",""en"")"),"['Bad', 'Report', 'Indihome', 'response', 'Call', 'Minutes', 'Listen', 'Machine', 'answer', 'music', 'Professional']")</f>
        <v>['Bad', 'Report', 'Indihome', 'response', 'Call', 'Minutes', 'Listen', 'Machine', 'answer', 'music', 'Professional']</v>
      </c>
      <c r="D86" s="4">
        <v>1.0</v>
      </c>
    </row>
    <row r="87" ht="15.75" customHeight="1">
      <c r="A87" s="1">
        <v>96.0</v>
      </c>
      <c r="B87" s="4" t="s">
        <v>88</v>
      </c>
      <c r="C87" s="4" t="str">
        <f>IFERROR(__xludf.DUMMYFUNCTION("GOOGLETRANSLATE(B87,""id"",""en"")"),"['hope', 'net', 'fast', 'fast', 'hand']")</f>
        <v>['hope', 'net', 'fast', 'fast', 'hand']</v>
      </c>
      <c r="D87" s="4">
        <v>5.0</v>
      </c>
    </row>
    <row r="88" ht="15.75" customHeight="1">
      <c r="A88" s="1">
        <v>97.0</v>
      </c>
      <c r="B88" s="4" t="s">
        <v>89</v>
      </c>
      <c r="C88" s="4" t="str">
        <f>IFERROR(__xludf.DUMMYFUNCTION("GOOGLETRANSLATE(B88,""id"",""en"")"),"['Indihome', 'No', 'Golir', 'Pay', 'Remember', 'Mbps',' Lot ',' Kyk ',' Cave ',' Pay ',' No ',' late ',' run out ',' pay ',' lot ',' net ',' you ',' pakek ']")</f>
        <v>['Indihome', 'No', 'Golir', 'Pay', 'Remember', 'Mbps',' Lot ',' Kyk ',' Cave ',' Pay ',' No ',' late ',' run out ',' pay ',' lot ',' net ',' you ',' pakek ']</v>
      </c>
      <c r="D88" s="4">
        <v>1.0</v>
      </c>
    </row>
    <row r="89" ht="15.75" customHeight="1">
      <c r="A89" s="1">
        <v>98.0</v>
      </c>
      <c r="B89" s="4" t="s">
        <v>90</v>
      </c>
      <c r="C89" s="4" t="str">
        <f>IFERROR(__xludf.DUMMYFUNCTION("GOOGLETRANSLATE(B89,""id"",""en"")"),"['Subscribe', 'Mbps', 'Check', 'SMPD', 'Mbps', ""]")</f>
        <v>['Subscribe', 'Mbps', 'Check', 'SMPD', 'Mbps', "]</v>
      </c>
      <c r="D89" s="4">
        <v>1.0</v>
      </c>
    </row>
    <row r="90" ht="15.75" customHeight="1">
      <c r="A90" s="1">
        <v>99.0</v>
      </c>
      <c r="B90" s="4" t="s">
        <v>91</v>
      </c>
      <c r="C90" s="4" t="str">
        <f>IFERROR(__xludf.DUMMYFUNCTION("GOOGLETRANSLATE(B90,""id"",""en"")"),"['Verification', 'FAIL']")</f>
        <v>['Verification', 'FAIL']</v>
      </c>
      <c r="D90" s="4">
        <v>2.0</v>
      </c>
    </row>
    <row r="91" ht="15.75" customHeight="1">
      <c r="A91" s="1">
        <v>100.0</v>
      </c>
      <c r="B91" s="4" t="s">
        <v>92</v>
      </c>
      <c r="C91" s="4" t="str">
        <f>IFERROR(__xludf.DUMMYFUNCTION("GOOGLETRANSLATE(B91,""id"",""en"")"),"['Download', 'details', 'tags']")</f>
        <v>['Download', 'details', 'tags']</v>
      </c>
      <c r="D91" s="4">
        <v>1.0</v>
      </c>
    </row>
    <row r="92" ht="15.75" customHeight="1">
      <c r="A92" s="1">
        <v>101.0</v>
      </c>
      <c r="B92" s="4" t="s">
        <v>93</v>
      </c>
      <c r="C92" s="4" t="str">
        <f>IFERROR(__xludf.DUMMYFUNCTION("GOOGLETRANSLATE(B92,""id"",""en"")"),"['Quality', 'bad', 'please', 'good', 'signal', 'missing', 'slow', 'really', 'fast', 'SPT', 'moved', 'provider', ' ']")</f>
        <v>['Quality', 'bad', 'please', 'good', 'signal', 'missing', 'slow', 'really', 'fast', 'SPT', 'moved', 'provider', ' ']</v>
      </c>
      <c r="D92" s="4">
        <v>1.0</v>
      </c>
    </row>
    <row r="93" ht="15.75" customHeight="1">
      <c r="A93" s="1">
        <v>102.0</v>
      </c>
      <c r="B93" s="4" t="s">
        <v>94</v>
      </c>
      <c r="C93" s="4" t="str">
        <f>IFERROR(__xludf.DUMMYFUNCTION("GOOGLETRANSLATE(B93,""id"",""en"")"),"['Alhadulillah', 'bgs', 'pis']")</f>
        <v>['Alhadulillah', 'bgs', 'pis']</v>
      </c>
      <c r="D93" s="4">
        <v>5.0</v>
      </c>
    </row>
    <row r="94" ht="15.75" customHeight="1">
      <c r="A94" s="1">
        <v>103.0</v>
      </c>
      <c r="B94" s="4" t="s">
        <v>95</v>
      </c>
      <c r="C94" s="4" t="str">
        <f>IFERROR(__xludf.DUMMYFUNCTION("GOOGLETRANSLATE(B94,""id"",""en"")"),"['Quality', 'Internet', 'Stable', 'Please', 'Level', 'Quality', 'Layan']")</f>
        <v>['Quality', 'Internet', 'Stable', 'Please', 'Level', 'Quality', 'Layan']</v>
      </c>
      <c r="D94" s="4">
        <v>3.0</v>
      </c>
    </row>
    <row r="95" ht="15.75" customHeight="1">
      <c r="A95" s="1">
        <v>104.0</v>
      </c>
      <c r="B95" s="4" t="s">
        <v>96</v>
      </c>
      <c r="C95" s="4" t="str">
        <f>IFERROR(__xludf.DUMMYFUNCTION("GOOGLETRANSLATE(B95,""id"",""en"")"),"['wifi', 'cacaaaaaaaaaaaaad', '']")</f>
        <v>['wifi', 'cacaaaaaaaaaaaaad', '']</v>
      </c>
      <c r="D95" s="4">
        <v>1.0</v>
      </c>
    </row>
    <row r="96" ht="15.75" customHeight="1">
      <c r="A96" s="1">
        <v>105.0</v>
      </c>
      <c r="B96" s="4" t="s">
        <v>97</v>
      </c>
      <c r="C96" s="4" t="str">
        <f>IFERROR(__xludf.DUMMYFUNCTION("GOOGLETRANSLATE(B96,""id"",""en"")"),"['Season', 'really', 'indigo', 'plis',' severe ',' good ',' plis', 'see', 'consumer', 'star', 'think', 'think', ' Front ',' broken ',' Citra ',' Indihome ',' Pay ',' No ',' Dar ', ""]")</f>
        <v>['Season', 'really', 'indigo', 'plis',' severe ',' good ',' plis', 'see', 'consumer', 'star', 'think', 'think', ' Front ',' broken ',' Citra ',' Indihome ',' Pay ',' No ',' Dar ', "]</v>
      </c>
      <c r="D96" s="4">
        <v>1.0</v>
      </c>
    </row>
    <row r="97" ht="15.75" customHeight="1">
      <c r="A97" s="1">
        <v>106.0</v>
      </c>
      <c r="B97" s="4" t="s">
        <v>98</v>
      </c>
      <c r="C97" s="4" t="str">
        <f>IFERROR(__xludf.DUMMYFUNCTION("GOOGLETRANSLATE(B97,""id"",""en"")"),"['Indihome', 'FUP', 'expensive', 'price', 'stable']")</f>
        <v>['Indihome', 'FUP', 'expensive', 'price', 'stable']</v>
      </c>
      <c r="D97" s="4">
        <v>1.0</v>
      </c>
    </row>
    <row r="98" ht="15.75" customHeight="1">
      <c r="A98" s="1">
        <v>107.0</v>
      </c>
      <c r="B98" s="4" t="s">
        <v>99</v>
      </c>
      <c r="C98" s="4" t="str">
        <f>IFERROR(__xludf.DUMMYFUNCTION("GOOGLETRANSLATE(B98,""id"",""en"")"),"['', 'renew']")</f>
        <v>['', 'renew']</v>
      </c>
      <c r="D98" s="4">
        <v>1.0</v>
      </c>
    </row>
    <row r="99" ht="15.75" customHeight="1">
      <c r="A99" s="1">
        <v>108.0</v>
      </c>
      <c r="B99" s="4" t="s">
        <v>100</v>
      </c>
      <c r="C99" s="4" t="str">
        <f>IFERROR(__xludf.DUMMYFUNCTION("GOOGLETRANSLATE(B99,""id"",""en"")"),"['love', 'star', 'already', 'renew', 'speed']")</f>
        <v>['love', 'star', 'already', 'renew', 'speed']</v>
      </c>
      <c r="D99" s="4">
        <v>1.0</v>
      </c>
    </row>
    <row r="100" ht="15.75" customHeight="1">
      <c r="A100" s="1">
        <v>109.0</v>
      </c>
      <c r="B100" s="4" t="s">
        <v>101</v>
      </c>
      <c r="C100" s="4" t="str">
        <f>IFERROR(__xludf.DUMMYFUNCTION("GOOGLETRANSLATE(B100,""id"",""en"")"),"['standard']")</f>
        <v>['standard']</v>
      </c>
      <c r="D100" s="4">
        <v>3.0</v>
      </c>
    </row>
    <row r="101" ht="15.75" customHeight="1">
      <c r="A101" s="1">
        <v>110.0</v>
      </c>
      <c r="B101" s="4" t="s">
        <v>102</v>
      </c>
      <c r="C101" s="4" t="str">
        <f>IFERROR(__xludf.DUMMYFUNCTION("GOOGLETRANSLATE(B101,""id"",""en"")"),"['Information', 'easy', 'complete', '']")</f>
        <v>['Information', 'easy', 'complete', '']</v>
      </c>
      <c r="D101" s="4">
        <v>5.0</v>
      </c>
    </row>
    <row r="102" ht="15.75" customHeight="1">
      <c r="A102" s="1">
        <v>111.0</v>
      </c>
      <c r="B102" s="4" t="s">
        <v>103</v>
      </c>
      <c r="C102" s="4" t="str">
        <f>IFERROR(__xludf.DUMMYFUNCTION("GOOGLETRANSLATE(B102,""id"",""en"")"),"['application', 'myindihome', 'easy', 'subscribe', 'service', 'subscribe', 'fast', 'responsive', 'service', 'thank', 'love', 'myindihome']")</f>
        <v>['application', 'myindihome', 'easy', 'subscribe', 'service', 'subscribe', 'fast', 'responsive', 'service', 'thank', 'love', 'myindihome']</v>
      </c>
      <c r="D102" s="4">
        <v>5.0</v>
      </c>
    </row>
    <row r="103" ht="15.75" customHeight="1">
      <c r="A103" s="1">
        <v>112.0</v>
      </c>
      <c r="B103" s="4" t="s">
        <v>104</v>
      </c>
      <c r="C103" s="4" t="str">
        <f>IFERROR(__xludf.DUMMYFUNCTION("GOOGLETRANSLATE(B103,""id"",""en"")"),"['Application', 'all-round', 'benefits',' really ',' simple ',' add ',' fast ',' complement ',' add ',' add ',' byk ',' bet ',' Guna ',' really ',' thanks', 'dev', 'udu', 'app', '']")</f>
        <v>['Application', 'all-round', 'benefits',' really ',' simple ',' add ',' fast ',' complement ',' add ',' add ',' byk ',' bet ',' Guna ',' really ',' thanks', 'dev', 'udu', 'app', '']</v>
      </c>
      <c r="D103" s="4">
        <v>5.0</v>
      </c>
    </row>
    <row r="104" ht="15.75" customHeight="1">
      <c r="A104" s="1">
        <v>114.0</v>
      </c>
      <c r="B104" s="4" t="s">
        <v>105</v>
      </c>
      <c r="C104" s="4" t="str">
        <f>IFERROR(__xludf.DUMMYFUNCTION("GOOGLETRANSLATE(B104,""id"",""en"")"),"['Afternoon', 'Sis',' Yesterday ',' Tasks', 'Indihome', 'Check', 'Home', 'Minutes',' Use ',' Clock ',' Clock ',' Please ',' Good ',' Thanks']")</f>
        <v>['Afternoon', 'Sis',' Yesterday ',' Tasks', 'Indihome', 'Check', 'Home', 'Minutes',' Use ',' Clock ',' Clock ',' Please ',' Good ',' Thanks']</v>
      </c>
      <c r="D104" s="4">
        <v>1.0</v>
      </c>
    </row>
    <row r="105" ht="15.75" customHeight="1">
      <c r="A105" s="1">
        <v>115.0</v>
      </c>
      <c r="B105" s="4" t="s">
        <v>106</v>
      </c>
      <c r="C105" s="4" t="str">
        <f>IFERROR(__xludf.DUMMYFUNCTION("GOOGLETRANSLATE(B105,""id"",""en"")"),"['Lot', 'Ngilake']")</f>
        <v>['Lot', 'Ngilake']</v>
      </c>
      <c r="D105" s="4">
        <v>1.0</v>
      </c>
    </row>
    <row r="106" ht="15.75" customHeight="1">
      <c r="A106" s="1">
        <v>116.0</v>
      </c>
      <c r="B106" s="4" t="s">
        <v>107</v>
      </c>
      <c r="C106" s="4" t="str">
        <f>IFERROR(__xludf.DUMMYFUNCTION("GOOGLETRANSLATE(B106,""id"",""en"")"),"['Please', 'May', 'Indihom', 'Please', 'Udh', 'Bener', 'Benerin', 'people', 'know', 'people', 'Kaga', 'Terms',' Carrying out ',' path ',' getting ',' connection ',' Severe ',' Benerin ',' Pliss', 'Jabut', 'Line', 'People', 'Kasi', 'Kasi', 'belongs' , 'cav"&amp;"e', 'Benerin', 'alternating', 'dlu', 'ngacabut', 'path', 'person', 'kaga', 'rich']")</f>
        <v>['Please', 'May', 'Indihom', 'Please', 'Udh', 'Bener', 'Benerin', 'people', 'know', 'people', 'Kaga', 'Terms',' Carrying out ',' path ',' getting ',' connection ',' Severe ',' Benerin ',' Pliss', 'Jabut', 'Line', 'People', 'Kasi', 'Kasi', 'belongs' , 'cave', 'Benerin', 'alternating', 'dlu', 'ngacabut', 'path', 'person', 'kaga', 'rich']</v>
      </c>
      <c r="D106" s="4">
        <v>2.0</v>
      </c>
    </row>
    <row r="107" ht="15.75" customHeight="1">
      <c r="A107" s="1">
        <v>118.0</v>
      </c>
      <c r="B107" s="4" t="s">
        <v>108</v>
      </c>
      <c r="C107" s="4" t="str">
        <f>IFERROR(__xludf.DUMMYFUNCTION("GOOGLETRANSLATE(B107,""id"",""en"")"),"['', '']")</f>
        <v>['', '']</v>
      </c>
      <c r="D107" s="4">
        <v>1.0</v>
      </c>
    </row>
    <row r="108" ht="15.75" customHeight="1">
      <c r="A108" s="1">
        <v>119.0</v>
      </c>
      <c r="B108" s="4" t="s">
        <v>109</v>
      </c>
      <c r="C108" s="4" t="str">
        <f>IFERROR(__xludf.DUMMYFUNCTION("GOOGLETRANSLATE(B108,""id"",""en"")"),"['Hadeh', 'competitiveness', 'quality', 'good']")</f>
        <v>['Hadeh', 'competitiveness', 'quality', 'good']</v>
      </c>
      <c r="D108" s="4">
        <v>1.0</v>
      </c>
    </row>
    <row r="109" ht="15.75" customHeight="1">
      <c r="A109" s="1">
        <v>121.0</v>
      </c>
      <c r="B109" s="4" t="s">
        <v>110</v>
      </c>
      <c r="C109" s="4" t="str">
        <f>IFERROR(__xludf.DUMMYFUNCTION("GOOGLETRANSLATE(B109,""id"",""en"")"),"['Bad', 'service']")</f>
        <v>['Bad', 'service']</v>
      </c>
      <c r="D109" s="4">
        <v>1.0</v>
      </c>
    </row>
    <row r="110" ht="15.75" customHeight="1">
      <c r="A110" s="1">
        <v>122.0</v>
      </c>
      <c r="B110" s="4" t="s">
        <v>111</v>
      </c>
      <c r="C110" s="4" t="str">
        <f>IFERROR(__xludf.DUMMYFUNCTION("GOOGLETRANSLATE(B110,""id"",""en"")"),"['service', 'bad', 'tags',' late ',' hit ',' fine ',' internet ',' active ',' pay ',' STB ',' email ',' times', ' Hour ',' good ',' ']")</f>
        <v>['service', 'bad', 'tags',' late ',' hit ',' fine ',' internet ',' active ',' pay ',' STB ',' email ',' times', ' Hour ',' good ',' ']</v>
      </c>
      <c r="D110" s="4">
        <v>1.0</v>
      </c>
    </row>
    <row r="111" ht="15.75" customHeight="1">
      <c r="A111" s="1">
        <v>124.0</v>
      </c>
      <c r="B111" s="4" t="s">
        <v>112</v>
      </c>
      <c r="C111" s="4" t="str">
        <f>IFERROR(__xludf.DUMMYFUNCTION("GOOGLETRANSLATE(B111,""id"",""en"")"),"['service', 'fast']")</f>
        <v>['service', 'fast']</v>
      </c>
      <c r="D111" s="4">
        <v>5.0</v>
      </c>
    </row>
    <row r="112" ht="15.75" customHeight="1">
      <c r="A112" s="1">
        <v>125.0</v>
      </c>
      <c r="B112" s="4" t="s">
        <v>113</v>
      </c>
      <c r="C112" s="4" t="str">
        <f>IFERROR(__xludf.DUMMYFUNCTION("GOOGLETRANSLATE(B112,""id"",""en"")"),"['star', 'wifi', 'disturbing', 'sister', 'school', 'online', 'severe', 'sklian', 'difficult', 'people', 'pay', 'finish', ' constraints', 'slow', 'skrg', 'blm', 'rich', 'pay', 'koq', 'disturbing', 'severe', '']")</f>
        <v>['star', 'wifi', 'disturbing', 'sister', 'school', 'online', 'severe', 'sklian', 'difficult', 'people', 'pay', 'finish', ' constraints', 'slow', 'skrg', 'blm', 'rich', 'pay', 'koq', 'disturbing', 'severe', '']</v>
      </c>
      <c r="D112" s="4">
        <v>1.0</v>
      </c>
    </row>
    <row r="113" ht="15.75" customHeight="1">
      <c r="A113" s="1">
        <v>126.0</v>
      </c>
      <c r="B113" s="4" t="s">
        <v>114</v>
      </c>
      <c r="C113" s="4" t="str">
        <f>IFERROR(__xludf.DUMMYFUNCTION("GOOGLETRANSLATE(B113,""id"",""en"")"),"['', 'BECUS', 'WIFI']")</f>
        <v>['', 'BECUS', 'WIFI']</v>
      </c>
      <c r="D113" s="4">
        <v>1.0</v>
      </c>
    </row>
    <row r="114" ht="15.75" customHeight="1">
      <c r="A114" s="1">
        <v>127.0</v>
      </c>
      <c r="B114" s="4" t="s">
        <v>115</v>
      </c>
      <c r="C114" s="4" t="str">
        <f>IFERROR(__xludf.DUMMYFUNCTION("GOOGLETRANSLATE(B114,""id"",""en"")"),"['wifi', 'mbps', 'mas', 'lut']")</f>
        <v>['wifi', 'mbps', 'mas', 'lut']</v>
      </c>
      <c r="D114" s="4">
        <v>5.0</v>
      </c>
    </row>
    <row r="115" ht="15.75" customHeight="1">
      <c r="A115" s="1">
        <v>128.0</v>
      </c>
      <c r="B115" s="4" t="s">
        <v>116</v>
      </c>
      <c r="C115" s="4" t="str">
        <f>IFERROR(__xludf.DUMMYFUNCTION("GOOGLETRANSLATE(B115,""id"",""en"")"),"['Yok', 'Over', 'Biznet']")</f>
        <v>['Yok', 'Over', 'Biznet']</v>
      </c>
      <c r="D115" s="4">
        <v>1.0</v>
      </c>
    </row>
    <row r="116" ht="15.75" customHeight="1">
      <c r="A116" s="1">
        <v>129.0</v>
      </c>
      <c r="B116" s="4" t="s">
        <v>117</v>
      </c>
      <c r="C116" s="4" t="str">
        <f>IFERROR(__xludf.DUMMYFUNCTION("GOOGLETRANSLATE(B116,""id"",""en"")"),"['Install', 'Indihomen', 'Ribet', 'Until', 'Sunday', 'process', 'pairs', 'visits', 'process', 'resposive', 'disinformation', ""]")</f>
        <v>['Install', 'Indihomen', 'Ribet', 'Until', 'Sunday', 'process', 'pairs', 'visits', 'process', 'resposive', 'disinformation', "]</v>
      </c>
      <c r="D116" s="4">
        <v>1.0</v>
      </c>
    </row>
    <row r="117" ht="15.75" customHeight="1">
      <c r="A117" s="1">
        <v>130.0</v>
      </c>
      <c r="B117" s="4" t="s">
        <v>118</v>
      </c>
      <c r="C117" s="4" t="str">
        <f>IFERROR(__xludf.DUMMYFUNCTION("GOOGLETRANSLATE(B117,""id"",""en"")"),"['Koq', 'entetnya', 'broke', 'continued', 'slow', 'attack', 'epidemic', 'Corona', ""]")</f>
        <v>['Koq', 'entetnya', 'broke', 'continued', 'slow', 'attack', 'epidemic', 'Corona', "]</v>
      </c>
      <c r="D117" s="4">
        <v>1.0</v>
      </c>
    </row>
    <row r="118" ht="15.75" customHeight="1">
      <c r="A118" s="1">
        <v>131.0</v>
      </c>
      <c r="B118" s="4" t="s">
        <v>119</v>
      </c>
      <c r="C118" s="4" t="str">
        <f>IFERROR(__xludf.DUMMYFUNCTION("GOOGLETRANSLATE(B118,""id"",""en"")"),"['Golir', 'tags',' late ',' day ',' ajj ',' directly ',' called ',' rich ',' nagih ',' serve ',' net ',' bapuk ',' Watch ',' NgClose ',' Demand ',' Pekah ',' ']")</f>
        <v>['Golir', 'tags',' late ',' day ',' ajj ',' directly ',' called ',' rich ',' nagih ',' serve ',' net ',' bapuk ',' Watch ',' NgClose ',' Demand ',' Pekah ',' ']</v>
      </c>
      <c r="D118" s="4">
        <v>1.0</v>
      </c>
    </row>
    <row r="119" ht="15.75" customHeight="1">
      <c r="A119" s="1">
        <v>132.0</v>
      </c>
      <c r="B119" s="4" t="s">
        <v>120</v>
      </c>
      <c r="C119" s="4" t="str">
        <f>IFERROR(__xludf.DUMMYFUNCTION("GOOGLETRANSLATE(B119,""id"",""en"")"),"['Verification', 'identity', 'reset', 'times', 'open', 'detail', 'tap', 'slalu', 'verification', 'identity', 'apikasi', 'help']")</f>
        <v>['Verification', 'identity', 'reset', 'times', 'open', 'detail', 'tap', 'slalu', 'verification', 'identity', 'apikasi', 'help']</v>
      </c>
      <c r="D119" s="4">
        <v>1.0</v>
      </c>
    </row>
    <row r="120" ht="15.75" customHeight="1">
      <c r="A120" s="1">
        <v>133.0</v>
      </c>
      <c r="B120" s="4" t="s">
        <v>121</v>
      </c>
      <c r="C120" s="4" t="str">
        <f>IFERROR(__xludf.DUMMYFUNCTION("GOOGLETRANSLATE(B120,""id"",""en"")"),"['siip']")</f>
        <v>['siip']</v>
      </c>
      <c r="D120" s="4">
        <v>5.0</v>
      </c>
    </row>
    <row r="121" ht="15.75" customHeight="1">
      <c r="A121" s="1">
        <v>134.0</v>
      </c>
      <c r="B121" s="4" t="s">
        <v>122</v>
      </c>
      <c r="C121" s="4" t="str">
        <f>IFERROR(__xludf.DUMMYFUNCTION("GOOGLETRANSLATE(B121,""id"",""en"")"),"['Rewel', 'Make', 'Indihome', 'tags',' BUALALAN ',' KOMPEN ',' TLP ',' Gada ',' complement ',' application ',' smaa ',' complement ',' Office ',' Gunsar ',' told ',' City ',' UDH ',' City ',' told ',' Priok ',' Disappointed ',' Disappointed ',' Disappoint"&amp;"ed ',' Damn ',' really ' , 'Open', 'easy', 'difficult', 'already', 'rich', 'representative', 'people']")</f>
        <v>['Rewel', 'Make', 'Indihome', 'tags',' BUALALAN ',' KOMPEN ',' TLP ',' Gada ',' complement ',' application ',' smaa ',' complement ',' Office ',' Gunsar ',' told ',' City ',' UDH ',' City ',' told ',' Priok ',' Disappointed ',' Disappointed ',' Disappointed ',' Damn ',' really ' , 'Open', 'easy', 'difficult', 'already', 'rich', 'representative', 'people']</v>
      </c>
      <c r="D121" s="4">
        <v>1.0</v>
      </c>
    </row>
    <row r="122" ht="15.75" customHeight="1">
      <c r="A122" s="1">
        <v>135.0</v>
      </c>
      <c r="B122" s="4" t="s">
        <v>123</v>
      </c>
      <c r="C122" s="4" t="str">
        <f>IFERROR(__xludf.DUMMYFUNCTION("GOOGLETRANSLATE(B122,""id"",""en"")"),"['Delete', 'SOD', 'Renew', 'FUP', 'Indications', 'Sell', 'Banwith', 'Indihome']")</f>
        <v>['Delete', 'SOD', 'Renew', 'FUP', 'Indications', 'Sell', 'Banwith', 'Indihome']</v>
      </c>
      <c r="D122" s="4">
        <v>3.0</v>
      </c>
    </row>
    <row r="123" ht="15.75" customHeight="1">
      <c r="A123" s="1">
        <v>136.0</v>
      </c>
      <c r="B123" s="4" t="s">
        <v>124</v>
      </c>
      <c r="C123" s="4" t="str">
        <f>IFERROR(__xludf.DUMMYFUNCTION("GOOGLETRANSLATE(B123,""id"",""en"")"),"['Ping', 'Good', 'Play', 'Game', 'Lola', 'Gapernah', 'Rich', 'Gin', 'Please', 'Seriously', 'Response', 'complained', ' Kisah ',' Subscribe ',' Yaaa ',' user ',' device ']")</f>
        <v>['Ping', 'Good', 'Play', 'Game', 'Lola', 'Gapernah', 'Rich', 'Gin', 'Please', 'Seriously', 'Response', 'complained', ' Kisah ',' Subscribe ',' Yaaa ',' user ',' device ']</v>
      </c>
      <c r="D123" s="4">
        <v>2.0</v>
      </c>
    </row>
    <row r="124" ht="15.75" customHeight="1">
      <c r="A124" s="1">
        <v>137.0</v>
      </c>
      <c r="B124" s="4" t="s">
        <v>125</v>
      </c>
      <c r="C124" s="4" t="str">
        <f>IFERROR(__xludf.DUMMYFUNCTION("GOOGLETRANSLATE(B124,""id"",""en"")"),"['internet', 'dead', 'good', 'bulk', 'until', 'tanoa', 'notification', 'lebuh', 'bother', 'ngandalin', 'wifi', 'divided', ' The acceleration ',' stable ',' sometimes', 'Connect', 'Sometimes',' Loss', ""]")</f>
        <v>['internet', 'dead', 'good', 'bulk', 'until', 'tanoa', 'notification', 'lebuh', 'bother', 'ngandalin', 'wifi', 'divided', ' The acceleration ',' stable ',' sometimes', 'Connect', 'Sometimes',' Loss', "]</v>
      </c>
      <c r="D124" s="4">
        <v>2.0</v>
      </c>
    </row>
    <row r="125" ht="15.75" customHeight="1">
      <c r="A125" s="1">
        <v>138.0</v>
      </c>
      <c r="B125" s="4" t="s">
        <v>126</v>
      </c>
      <c r="C125" s="4" t="str">
        <f>IFERROR(__xludf.DUMMYFUNCTION("GOOGLETRANSLATE(B125,""id"",""en"")"),"['woii', 'repay', 'net', 'asw', 'ngelag', 'already', 'pay']")</f>
        <v>['woii', 'repay', 'net', 'asw', 'ngelag', 'already', 'pay']</v>
      </c>
      <c r="D125" s="4">
        <v>1.0</v>
      </c>
    </row>
    <row r="126" ht="15.75" customHeight="1">
      <c r="A126" s="1">
        <v>139.0</v>
      </c>
      <c r="B126" s="4" t="s">
        <v>127</v>
      </c>
      <c r="C126" s="4" t="str">
        <f>IFERROR(__xludf.DUMMYFUNCTION("GOOGLETRANSLATE(B126,""id"",""en"")"),"['Bintang', 'Mending', 'I', 'KSH', 'Rating', 'Times',' Mngkn ',' Udh ',' I ',' Indihome ',' Bener ',' Ksini ',' Threat ',' Price ',' Naek ',' Quality ',' Bad ',' Make ',' Ribet ',' PokoBya ',' Directen ',' Indihome ',' I ',' MSH ',' INDIHOME ' , 'Karna', "&amp;"'Biznet', 'etc.', 'BLM', 'MSK', 'KSINI', 'Core', 'I', 'Recommendation', 'Provider']")</f>
        <v>['Bintang', 'Mending', 'I', 'KSH', 'Rating', 'Times',' Mngkn ',' Udh ',' I ',' Indihome ',' Bener ',' Ksini ',' Threat ',' Price ',' Naek ',' Quality ',' Bad ',' Make ',' Ribet ',' PokoBya ',' Directen ',' Indihome ',' I ',' MSH ',' INDIHOME ' , 'Karna', 'Biznet', 'etc.', 'BLM', 'MSK', 'KSINI', 'Core', 'I', 'Recommendation', 'Provider']</v>
      </c>
      <c r="D126" s="4">
        <v>1.0</v>
      </c>
    </row>
    <row r="127" ht="15.75" customHeight="1">
      <c r="A127" s="1">
        <v>140.0</v>
      </c>
      <c r="B127" s="4" t="s">
        <v>128</v>
      </c>
      <c r="C127" s="4" t="str">
        <f>IFERROR(__xludf.DUMMYFUNCTION("GOOGLETRANSLATE(B127,""id"",""en"")"),"['service', 'good', 'internet', 'fast', 'satisfied', 'thankful', 'indihome', 'hopefully', 'subscribe']")</f>
        <v>['service', 'good', 'internet', 'fast', 'satisfied', 'thankful', 'indihome', 'hopefully', 'subscribe']</v>
      </c>
      <c r="D127" s="4">
        <v>5.0</v>
      </c>
    </row>
    <row r="128" ht="15.75" customHeight="1">
      <c r="A128" s="1">
        <v>141.0</v>
      </c>
      <c r="B128" s="4" t="s">
        <v>129</v>
      </c>
      <c r="C128" s="4" t="str">
        <f>IFERROR(__xludf.DUMMYFUNCTION("GOOGLETRANSLATE(B128,""id"",""en"")"),"['serve', 'disturbing', 'Indihome', 'ugly', 'really', 'report', 'clock', 'normal']")</f>
        <v>['serve', 'disturbing', 'Indihome', 'ugly', 'really', 'report', 'clock', 'normal']</v>
      </c>
      <c r="D128" s="4">
        <v>1.0</v>
      </c>
    </row>
    <row r="129" ht="15.75" customHeight="1">
      <c r="A129" s="1">
        <v>142.0</v>
      </c>
      <c r="B129" s="4" t="s">
        <v>130</v>
      </c>
      <c r="C129" s="4" t="str">
        <f>IFERROR(__xludf.DUMMYFUNCTION("GOOGLETRANSLATE(B129,""id"",""en"")"),"Of course")</f>
        <v>Of course</v>
      </c>
      <c r="D129" s="4">
        <v>5.0</v>
      </c>
    </row>
    <row r="130" ht="15.75" customHeight="1">
      <c r="A130" s="1">
        <v>145.0</v>
      </c>
      <c r="B130" s="4" t="s">
        <v>131</v>
      </c>
      <c r="C130" s="4" t="str">
        <f>IFERROR(__xludf.DUMMYFUNCTION("GOOGLETRANSLATE(B130,""id"",""en"")"),"['Original', 'Severe', 'Week', 'Internet', 'Dead', ""]")</f>
        <v>['Original', 'Severe', 'Week', 'Internet', 'Dead', "]</v>
      </c>
      <c r="D130" s="4">
        <v>1.0</v>
      </c>
    </row>
    <row r="131" ht="15.75" customHeight="1">
      <c r="A131" s="1">
        <v>146.0</v>
      </c>
      <c r="B131" s="4" t="s">
        <v>132</v>
      </c>
      <c r="C131" s="4" t="str">
        <f>IFERROR(__xludf.DUMMYFUNCTION("GOOGLETRANSLATE(B131,""id"",""en"")"),"['month', 'January', 'AJU', 'Pairs',' user ',' skrang ',' progress', 'telkom', 'indihome', 'stay', 'meter', 'box', ' Fiber ',' Cable ',' User ',' Must ',' How ',' Region ',' Village ',' Limbung ',' County ',' Kubu ',' Raya ', ""]")</f>
        <v>['month', 'January', 'AJU', 'Pairs',' user ',' skrang ',' progress', 'telkom', 'indihome', 'stay', 'meter', 'box', ' Fiber ',' Cable ',' User ',' Must ',' How ',' Region ',' Village ',' Limbung ',' County ',' Kubu ',' Raya ', "]</v>
      </c>
      <c r="D131" s="4">
        <v>1.0</v>
      </c>
    </row>
    <row r="132" ht="15.75" customHeight="1">
      <c r="A132" s="1">
        <v>147.0</v>
      </c>
      <c r="B132" s="4" t="s">
        <v>133</v>
      </c>
      <c r="C132" s="4" t="str">
        <f>IFERROR(__xludf.DUMMYFUNCTION("GOOGLETRANSLATE(B132,""id"",""en"")"),"['Net', 'Indihome', 'Rain', 'Severe', 'really']")</f>
        <v>['Net', 'Indihome', 'Rain', 'Severe', 'really']</v>
      </c>
      <c r="D132" s="4">
        <v>3.0</v>
      </c>
    </row>
    <row r="133" ht="15.75" customHeight="1">
      <c r="A133" s="1">
        <v>148.0</v>
      </c>
      <c r="B133" s="4" t="s">
        <v>134</v>
      </c>
      <c r="C133" s="4" t="str">
        <f>IFERROR(__xludf.DUMMYFUNCTION("GOOGLETRANSLATE(B133,""id"",""en"")"),"['net', 'ilang', 'malem']")</f>
        <v>['net', 'ilang', 'malem']</v>
      </c>
      <c r="D133" s="4">
        <v>1.0</v>
      </c>
    </row>
    <row r="134" ht="15.75" customHeight="1">
      <c r="A134" s="1">
        <v>149.0</v>
      </c>
      <c r="B134" s="4" t="s">
        <v>135</v>
      </c>
      <c r="C134" s="4" t="str">
        <f>IFERROR(__xludf.DUMMYFUNCTION("GOOGLETRANSLATE(B134,""id"",""en"")"),"['use', 'Indihome', 'unlimited', 'limit', 'fup', 'week', 'lot']")</f>
        <v>['use', 'Indihome', 'unlimited', 'limit', 'fup', 'week', 'lot']</v>
      </c>
      <c r="D134" s="4">
        <v>1.0</v>
      </c>
    </row>
    <row r="135" ht="15.75" customHeight="1">
      <c r="A135" s="1">
        <v>150.0</v>
      </c>
      <c r="B135" s="4" t="s">
        <v>136</v>
      </c>
      <c r="C135" s="4" t="str">
        <f>IFERROR(__xludf.DUMMYFUNCTION("GOOGLETRANSLATE(B135,""id"",""en"")"),"['Please', 'sorry', 'heavy', 'heart', 'love', 'star', 'because' internet ',' lemooooot ',' really ',' idah ',' upgrade ',' Mbps', 'already', 'report', 'Tetep', 'internet', 'Lot', 'Gin', 'Pay', 'No', 'Cut', 'Nih', 'Seriously', 'ask' , '']")</f>
        <v>['Please', 'sorry', 'heavy', 'heart', 'love', 'star', 'because' internet ',' lemooooot ',' really ',' idah ',' upgrade ',' Mbps', 'already', 'report', 'Tetep', 'internet', 'Lot', 'Gin', 'Pay', 'No', 'Cut', 'Nih', 'Seriously', 'ask' , '']</v>
      </c>
      <c r="D135" s="4">
        <v>1.0</v>
      </c>
    </row>
    <row r="136" ht="15.75" customHeight="1">
      <c r="A136" s="1">
        <v>152.0</v>
      </c>
      <c r="B136" s="4" t="s">
        <v>137</v>
      </c>
      <c r="C136" s="4" t="str">
        <f>IFERROR(__xludf.DUMMYFUNCTION("GOOGLETRANSLATE(B136,""id"",""en"")"),"['', 'ngeleg', 'disturbing', 'Alesan', 'gamas', 'quality', 'okay', 'down', '']")</f>
        <v>['', 'ngeleg', 'disturbing', 'Alesan', 'gamas', 'quality', 'okay', 'down', '']</v>
      </c>
      <c r="D136" s="4">
        <v>1.0</v>
      </c>
    </row>
    <row r="137" ht="15.75" customHeight="1">
      <c r="A137" s="1">
        <v>154.0</v>
      </c>
      <c r="B137" s="4" t="s">
        <v>138</v>
      </c>
      <c r="C137" s="4" t="str">
        <f>IFERROR(__xludf.DUMMYFUNCTION("GOOGLETRANSLATE(B137,""id"",""en"")"),"['Application', 'difficult', 'really', 'Sue', 'Sue']")</f>
        <v>['Application', 'difficult', 'really', 'Sue', 'Sue']</v>
      </c>
      <c r="D137" s="4">
        <v>1.0</v>
      </c>
    </row>
    <row r="138" ht="15.75" customHeight="1">
      <c r="A138" s="1">
        <v>155.0</v>
      </c>
      <c r="B138" s="4" t="s">
        <v>139</v>
      </c>
      <c r="C138" s="4" t="str">
        <f>IFERROR(__xludf.DUMMYFUNCTION("GOOGLETRANSLATE(B138,""id"",""en"")"),"['check', 'use', 'internet', 'yak', 'how', 'application', 'web', 'please', 'tholeak', '']")</f>
        <v>['check', 'use', 'internet', 'yak', 'how', 'application', 'web', 'please', 'tholeak', '']</v>
      </c>
      <c r="D138" s="4">
        <v>1.0</v>
      </c>
    </row>
    <row r="139" ht="15.75" customHeight="1">
      <c r="A139" s="1">
        <v>157.0</v>
      </c>
      <c r="B139" s="4" t="s">
        <v>140</v>
      </c>
      <c r="C139" s="4" t="str">
        <f>IFERROR(__xludf.DUMMYFUNCTION("GOOGLETRANSLATE(B139,""id"",""en"")"),"['Response', 'MSLH', 'Complain', ""]")</f>
        <v>['Response', 'MSLH', 'Complain', "]</v>
      </c>
      <c r="D139" s="4">
        <v>2.0</v>
      </c>
    </row>
    <row r="140" ht="15.75" customHeight="1">
      <c r="A140" s="1">
        <v>158.0</v>
      </c>
      <c r="B140" s="4" t="s">
        <v>141</v>
      </c>
      <c r="C140" s="4" t="str">
        <f>IFERROR(__xludf.DUMMYFUNCTION("GOOGLETRANSLATE(B140,""id"",""en"")"),"['Application', 'practical', 'checked', 'use', 'internet', 'tags', 'month', 'direct', 'application']")</f>
        <v>['Application', 'practical', 'checked', 'use', 'internet', 'tags', 'month', 'direct', 'application']</v>
      </c>
      <c r="D140" s="4">
        <v>5.0</v>
      </c>
    </row>
    <row r="141" ht="15.75" customHeight="1">
      <c r="A141" s="1">
        <v>159.0</v>
      </c>
      <c r="B141" s="4" t="s">
        <v>142</v>
      </c>
      <c r="C141" s="4" t="str">
        <f>IFERROR(__xludf.DUMMYFUNCTION("GOOGLETRANSLATE(B141,""id"",""en"")"),"['Direct', 'Subscribe', 'Indihome', 'Direct', 'Application', 'Practical', 'Fast', 'Process']")</f>
        <v>['Direct', 'Subscribe', 'Indihome', 'Direct', 'Application', 'Practical', 'Fast', 'Process']</v>
      </c>
      <c r="D141" s="4">
        <v>5.0</v>
      </c>
    </row>
    <row r="142" ht="15.75" customHeight="1">
      <c r="A142" s="1">
        <v>160.0</v>
      </c>
      <c r="B142" s="4" t="s">
        <v>143</v>
      </c>
      <c r="C142" s="4" t="str">
        <f>IFERROR(__xludf.DUMMYFUNCTION("GOOGLETRANSLATE(B142,""id"",""en"")"),"['Application', 'version', 'new', 'informative', 'promo', 'many', 'yaa']")</f>
        <v>['Application', 'version', 'new', 'informative', 'promo', 'many', 'yaa']</v>
      </c>
      <c r="D142" s="4">
        <v>5.0</v>
      </c>
    </row>
    <row r="143" ht="15.75" customHeight="1">
      <c r="A143" s="1">
        <v>161.0</v>
      </c>
      <c r="B143" s="4" t="s">
        <v>144</v>
      </c>
      <c r="C143" s="4" t="str">
        <f>IFERROR(__xludf.DUMMYFUNCTION("GOOGLETRANSLATE(B143,""id"",""en"")"),"['Please', 'level', 'quality', 'net', 'annoyed', 'net', 'ugly', 'right', 'first', 'safe', 'safe', 'severe', ' Hade ',' ']")</f>
        <v>['Please', 'level', 'quality', 'net', 'annoyed', 'net', 'ugly', 'right', 'first', 'safe', 'safe', 'severe', ' Hade ',' ']</v>
      </c>
      <c r="D143" s="4">
        <v>1.0</v>
      </c>
    </row>
    <row r="144" ht="15.75" customHeight="1">
      <c r="A144" s="1">
        <v>162.0</v>
      </c>
      <c r="B144" s="4" t="s">
        <v>108</v>
      </c>
      <c r="C144" s="4" t="str">
        <f>IFERROR(__xludf.DUMMYFUNCTION("GOOGLETRANSLATE(B144,""id"",""en"")"),"['', '']")</f>
        <v>['', '']</v>
      </c>
      <c r="D144" s="4">
        <v>5.0</v>
      </c>
    </row>
    <row r="145" ht="15.75" customHeight="1">
      <c r="A145" s="1">
        <v>164.0</v>
      </c>
      <c r="B145" s="4" t="s">
        <v>145</v>
      </c>
      <c r="C145" s="4" t="str">
        <f>IFERROR(__xludf.DUMMYFUNCTION("GOOGLETRANSLATE(B145,""id"",""en"")"),"['Speed', 'demand', 'missing', '']")</f>
        <v>['Speed', 'demand', 'missing', '']</v>
      </c>
      <c r="D145" s="4">
        <v>1.0</v>
      </c>
    </row>
    <row r="146" ht="15.75" customHeight="1">
      <c r="A146" s="1">
        <v>165.0</v>
      </c>
      <c r="B146" s="4" t="s">
        <v>146</v>
      </c>
      <c r="C146" s="4" t="str">
        <f>IFERROR(__xludf.DUMMYFUNCTION("GOOGLETRANSLATE(B146,""id"",""en"")"),"['', 'Mbps', 'lot', 'subscribe', 'loyal', 'really', 'indihome']")</f>
        <v>['', 'Mbps', 'lot', 'subscribe', 'loyal', 'really', 'indihome']</v>
      </c>
      <c r="D146" s="4">
        <v>2.0</v>
      </c>
    </row>
    <row r="147" ht="15.75" customHeight="1">
      <c r="A147" s="1">
        <v>166.0</v>
      </c>
      <c r="B147" s="4" t="s">
        <v>147</v>
      </c>
      <c r="C147" s="4" t="str">
        <f>IFERROR(__xludf.DUMMYFUNCTION("GOOGLETRANSLATE(B147,""id"",""en"")"),"['blew', 'help', 'school', 'child', 'msh', 'online', 'sweet', 'home', '']")</f>
        <v>['blew', 'help', 'school', 'child', 'msh', 'online', 'sweet', 'home', '']</v>
      </c>
      <c r="D147" s="4">
        <v>3.0</v>
      </c>
    </row>
    <row r="148" ht="15.75" customHeight="1">
      <c r="A148" s="1">
        <v>167.0</v>
      </c>
      <c r="B148" s="4" t="s">
        <v>148</v>
      </c>
      <c r="C148" s="4" t="str">
        <f>IFERROR(__xludf.DUMMYFUNCTION("GOOGLETRANSLATE(B148,""id"",""en"")"),"['application', 'ugly', 'service', 'indihome', 'ugly', 'hand', 'disturbing', 'slow', 'win', 'cover', 'area', 'try', ' home ',' no ',' use ',' indihome ']")</f>
        <v>['application', 'ugly', 'service', 'indihome', 'ugly', 'hand', 'disturbing', 'slow', 'win', 'cover', 'area', 'try', ' home ',' no ',' use ',' indihome ']</v>
      </c>
      <c r="D148" s="4">
        <v>1.0</v>
      </c>
    </row>
    <row r="149" ht="15.75" customHeight="1">
      <c r="A149" s="1">
        <v>168.0</v>
      </c>
      <c r="B149" s="4" t="s">
        <v>149</v>
      </c>
      <c r="C149" s="4" t="str">
        <f>IFERROR(__xludf.DUMMYFUNCTION("GOOGLETRANSLATE(B149,""id"",""en"")"),"['ksh', 'read', 'admin', 'bargained', 'package', 'promo', 'marketing', 'indihome', 'via', 'phone', 'stlh', 'go', ' Mandapat ',' contract ',' Action ',' WKT ',' Sure ',' One ',' Indihome ',' home ',' Installation ',' device ',' Please ',' LBH ',' Professio"&amp;"nal ' , 'Subscribe', 'Disappointed', 'Please', 'Layan', 'LBH', 'Level', '']")</f>
        <v>['ksh', 'read', 'admin', 'bargained', 'package', 'promo', 'marketing', 'indihome', 'via', 'phone', 'stlh', 'go', ' Mandapat ',' contract ',' Action ',' WKT ',' Sure ',' One ',' Indihome ',' home ',' Installation ',' device ',' Please ',' LBH ',' Professional ' , 'Subscribe', 'Disappointed', 'Please', 'Layan', 'LBH', 'Level', '']</v>
      </c>
      <c r="D149" s="4">
        <v>5.0</v>
      </c>
    </row>
    <row r="150" ht="15.75" customHeight="1">
      <c r="A150" s="1">
        <v>169.0</v>
      </c>
      <c r="B150" s="4" t="s">
        <v>150</v>
      </c>
      <c r="C150" s="4" t="str">
        <f>IFERROR(__xludf.DUMMYFUNCTION("GOOGLETRANSLATE(B150,""id"",""en"")"),"['please', 'no', 'wish', 'no', 'wish', 'people', 'already', 'pole', 'indihome', 'detection', ""]")</f>
        <v>['please', 'no', 'wish', 'no', 'wish', 'people', 'already', 'pole', 'indihome', 'detection', "]</v>
      </c>
      <c r="D150" s="4">
        <v>1.0</v>
      </c>
    </row>
    <row r="151" ht="15.75" customHeight="1">
      <c r="A151" s="1">
        <v>170.0</v>
      </c>
      <c r="B151" s="4" t="s">
        <v>151</v>
      </c>
      <c r="C151" s="4" t="str">
        <f>IFERROR(__xludf.DUMMYFUNCTION("GOOGLETRANSLATE(B151,""id"",""en"")"),"['Steady', 'Adu', 'Direct', 'Follow', ""]")</f>
        <v>['Steady', 'Adu', 'Direct', 'Follow', "]</v>
      </c>
      <c r="D151" s="4">
        <v>5.0</v>
      </c>
    </row>
    <row r="152" ht="15.75" customHeight="1">
      <c r="A152" s="1">
        <v>171.0</v>
      </c>
      <c r="B152" s="4" t="s">
        <v>152</v>
      </c>
      <c r="C152" s="4" t="str">
        <f>IFERROR(__xludf.DUMMYFUNCTION("GOOGLETRANSLATE(B152,""id"",""en"")"),"['Trash']")</f>
        <v>['Trash']</v>
      </c>
      <c r="D152" s="4">
        <v>1.0</v>
      </c>
    </row>
    <row r="153" ht="15.75" customHeight="1">
      <c r="A153" s="1">
        <v>172.0</v>
      </c>
      <c r="B153" s="4" t="s">
        <v>153</v>
      </c>
      <c r="C153" s="4" t="str">
        <f>IFERROR(__xludf.DUMMYFUNCTION("GOOGLETRANSLATE(B153,""id"",""en"")"),"['disappointed', 'subscribe', 'signal', 'Los',' red ',' technician ',' good ',' results', 'nil', 'signal', 'los',' blink ',' Red ',' complained ',' Musti ',' Story ',' ']")</f>
        <v>['disappointed', 'subscribe', 'signal', 'Los',' red ',' technician ',' good ',' results', 'nil', 'signal', 'los',' blink ',' Red ',' complained ',' Musti ',' Story ',' ']</v>
      </c>
      <c r="D153" s="4">
        <v>1.0</v>
      </c>
    </row>
    <row r="154" ht="15.75" customHeight="1">
      <c r="A154" s="1">
        <v>174.0</v>
      </c>
      <c r="B154" s="4" t="s">
        <v>154</v>
      </c>
      <c r="C154" s="4" t="str">
        <f>IFERROR(__xludf.DUMMYFUNCTION("GOOGLETRANSLATE(B154,""id"",""en"")"),"['Star', 'Law', 'Tide', 'TELKOM', 'Tuban', 'Package', 'Darling', 'Region', 'Tuban', 'Java', 'East', 'Package', ' Registration ',' Reject ',' Wait ',' more ',' limit ',' estimation ',' work ']")</f>
        <v>['Star', 'Law', 'Tide', 'TELKOM', 'Tuban', 'Package', 'Darling', 'Region', 'Tuban', 'Java', 'East', 'Package', ' Registration ',' Reject ',' Wait ',' more ',' limit ',' estimation ',' work ']</v>
      </c>
      <c r="D154" s="4">
        <v>1.0</v>
      </c>
    </row>
    <row r="155" ht="15.75" customHeight="1">
      <c r="A155" s="1">
        <v>175.0</v>
      </c>
      <c r="B155" s="4" t="s">
        <v>155</v>
      </c>
      <c r="C155" s="4" t="str">
        <f>IFERROR(__xludf.DUMMYFUNCTION("GOOGLETRANSLATE(B155,""id"",""en"")"),"['complain', 'via', 'application', 'solution', 'internet', 'trouble', 'late', 'pay', 'direct', 'get', 'fine', 'hard', ' ']")</f>
        <v>['complain', 'via', 'application', 'solution', 'internet', 'trouble', 'late', 'pay', 'direct', 'get', 'fine', 'hard', ' ']</v>
      </c>
      <c r="D155" s="4">
        <v>1.0</v>
      </c>
    </row>
    <row r="156" ht="15.75" customHeight="1">
      <c r="A156" s="1">
        <v>176.0</v>
      </c>
      <c r="B156" s="4" t="s">
        <v>156</v>
      </c>
      <c r="C156" s="4" t="str">
        <f>IFERROR(__xludf.DUMMYFUNCTION("GOOGLETRANSLATE(B156,""id"",""en"")"),"['money', 'deposit', 'difficult', 'back', 'process', 'doang', '']")</f>
        <v>['money', 'deposit', 'difficult', 'back', 'process', 'doang', '']</v>
      </c>
      <c r="D156" s="4">
        <v>2.0</v>
      </c>
    </row>
    <row r="157" ht="15.75" customHeight="1">
      <c r="A157" s="1">
        <v>177.0</v>
      </c>
      <c r="B157" s="4" t="s">
        <v>108</v>
      </c>
      <c r="C157" s="4" t="str">
        <f>IFERROR(__xludf.DUMMYFUNCTION("GOOGLETRANSLATE(B157,""id"",""en"")"),"['', '']")</f>
        <v>['', '']</v>
      </c>
      <c r="D157" s="4">
        <v>1.0</v>
      </c>
    </row>
    <row r="158" ht="15.75" customHeight="1">
      <c r="A158" s="1">
        <v>179.0</v>
      </c>
      <c r="B158" s="4" t="s">
        <v>157</v>
      </c>
      <c r="C158" s="4" t="str">
        <f>IFERROR(__xludf.DUMMYFUNCTION("GOOGLETRANSLATE(B158,""id"",""en"")"),"['Loading', 'slow', 'Loading', 'Loading', 'Application', 'Indiehome', 'Sister', 'TelecommunicationIndonesia', 'Review', 'Need', 'Sister', 'TelecomunikasIndonesia', ' thank you']")</f>
        <v>['Loading', 'slow', 'Loading', 'Loading', 'Application', 'Indiehome', 'Sister', 'TelecommunicationIndonesia', 'Review', 'Need', 'Sister', 'TelecomunikasIndonesia', ' thank you']</v>
      </c>
      <c r="D158" s="4">
        <v>1.0</v>
      </c>
    </row>
    <row r="159" ht="15.75" customHeight="1">
      <c r="A159" s="1">
        <v>180.0</v>
      </c>
      <c r="B159" s="4" t="s">
        <v>158</v>
      </c>
      <c r="C159" s="4" t="str">
        <f>IFERROR(__xludf.DUMMYFUNCTION("GOOGLETRANSLATE(B159,""id"",""en"")"),"['Class',' BUMN ',' application ',' abal ',' disappointed ',' heavy ',' login ',' difficult ',' Gara ',' halal ',' silly ',' verification ',' account ',' verification ',' login ',' really ',' mentally ',' corrupt ',' hopefully ',' fast ',' bankrupt ']")</f>
        <v>['Class',' BUMN ',' application ',' abal ',' disappointed ',' heavy ',' login ',' difficult ',' Gara ',' halal ',' silly ',' verification ',' account ',' verification ',' login ',' really ',' mentally ',' corrupt ',' hopefully ',' fast ',' bankrupt ']</v>
      </c>
      <c r="D159" s="4">
        <v>1.0</v>
      </c>
    </row>
    <row r="160" ht="15.75" customHeight="1">
      <c r="A160" s="1">
        <v>183.0</v>
      </c>
      <c r="B160" s="4" t="s">
        <v>159</v>
      </c>
      <c r="C160" s="4" t="str">
        <f>IFERROR(__xludf.DUMMYFUNCTION("GOOGLETRANSLATE(B160,""id"",""en"")"),"['Love', 'Bintang', 'hopefully', 'complaints',' Subscribe ',' Response ',' Indihome ',' Moving ',' Keep ',' Quality ',' Internet ',' Stable ',' Lot ',' enter ',' bossku ',' ']")</f>
        <v>['Love', 'Bintang', 'hopefully', 'complaints',' Subscribe ',' Response ',' Indihome ',' Moving ',' Keep ',' Quality ',' Internet ',' Stable ',' Lot ',' enter ',' bossku ',' ']</v>
      </c>
      <c r="D160" s="4">
        <v>5.0</v>
      </c>
    </row>
    <row r="161" ht="15.75" customHeight="1">
      <c r="A161" s="1">
        <v>184.0</v>
      </c>
      <c r="B161" s="4" t="s">
        <v>160</v>
      </c>
      <c r="C161" s="4" t="str">
        <f>IFERROR(__xludf.DUMMYFUNCTION("GOOGLETRANSLATE(B161,""id"",""en"")"),"['Code', 'Login', 'already', 'Bener', 'Gabisa', 'Mulu', 'Gajelas']")</f>
        <v>['Code', 'Login', 'already', 'Bener', 'Gabisa', 'Mulu', 'Gajelas']</v>
      </c>
      <c r="D161" s="4">
        <v>1.0</v>
      </c>
    </row>
    <row r="162" ht="15.75" customHeight="1">
      <c r="A162" s="1">
        <v>185.0</v>
      </c>
      <c r="B162" s="4" t="s">
        <v>161</v>
      </c>
      <c r="C162" s="4" t="str">
        <f>IFERROR(__xludf.DUMMYFUNCTION("GOOGLETRANSLATE(B162,""id"",""en"")"),"['already', 'AJU', 'Tide', 'technicians',' already ',' pairs', 'then', 'router', 'take', 'net', 'already', 'week', ' Wait ',' Clear ',' Wait ',' Please ',' Please ',' Confirm ',' Kasi ',' Wait ']")</f>
        <v>['already', 'AJU', 'Tide', 'technicians',' already ',' pairs', 'then', 'router', 'take', 'net', 'already', 'week', ' Wait ',' Clear ',' Wait ',' Please ',' Please ',' Confirm ',' Kasi ',' Wait ']</v>
      </c>
      <c r="D162" s="4">
        <v>1.0</v>
      </c>
    </row>
    <row r="163" ht="15.75" customHeight="1">
      <c r="A163" s="1">
        <v>187.0</v>
      </c>
      <c r="B163" s="4" t="s">
        <v>162</v>
      </c>
      <c r="C163" s="4" t="str">
        <f>IFERROR(__xludf.DUMMYFUNCTION("GOOGLETRANSLATE(B163,""id"",""en"")"),"['mntapppp']")</f>
        <v>['mntapppp']</v>
      </c>
      <c r="D163" s="4">
        <v>5.0</v>
      </c>
    </row>
    <row r="164" ht="15.75" customHeight="1">
      <c r="A164" s="1">
        <v>188.0</v>
      </c>
      <c r="B164" s="4" t="s">
        <v>163</v>
      </c>
      <c r="C164" s="4" t="str">
        <f>IFERROR(__xludf.DUMMYFUNCTION("GOOGLETRANSLATE(B164,""id"",""en"")"),"['net', 'internet', 'stable', 'bad', 'maen', 'game', 'ngelek', 'mulu']")</f>
        <v>['net', 'internet', 'stable', 'bad', 'maen', 'game', 'ngelek', 'mulu']</v>
      </c>
      <c r="D164" s="4">
        <v>1.0</v>
      </c>
    </row>
    <row r="165" ht="15.75" customHeight="1">
      <c r="A165" s="1">
        <v>189.0</v>
      </c>
      <c r="B165" s="4" t="s">
        <v>164</v>
      </c>
      <c r="C165" s="4" t="str">
        <f>IFERROR(__xludf.DUMMYFUNCTION("GOOGLETRANSLATE(B165,""id"",""en"")"),"['Login', 'Game', 'Ajg']")</f>
        <v>['Login', 'Game', 'Ajg']</v>
      </c>
      <c r="D165" s="4">
        <v>1.0</v>
      </c>
    </row>
    <row r="166" ht="15.75" customHeight="1">
      <c r="A166" s="1">
        <v>190.0</v>
      </c>
      <c r="B166" s="4" t="s">
        <v>165</v>
      </c>
      <c r="C166" s="4" t="str">
        <f>IFERROR(__xludf.DUMMYFUNCTION("GOOGLETRANSLATE(B166,""id"",""en"")"),"['Indihome', 'severe', 'nets', 'broken', 'damaged', 'pay', 'expensive', 'net', 'according to', 'quality', ""]")</f>
        <v>['Indihome', 'severe', 'nets', 'broken', 'damaged', 'pay', 'expensive', 'net', 'according to', 'quality', "]</v>
      </c>
      <c r="D166" s="4">
        <v>1.0</v>
      </c>
    </row>
    <row r="167" ht="15.75" customHeight="1">
      <c r="A167" s="1">
        <v>191.0</v>
      </c>
      <c r="B167" s="4" t="s">
        <v>166</v>
      </c>
      <c r="C167" s="4" t="str">
        <f>IFERROR(__xludf.DUMMYFUNCTION("GOOGLETRANSLATE(B167,""id"",""en"")"),"['Application', 'version', 'update', 'bgtu', 'conjured', 'update', 'bsa', 'login', 'udh', 'enter', 'NMR', 'email', ' Wait ',' SMS ',' Code ',' Confirm ',' TPI ',' Send ',' code ',' UDH ',' TIME ',' Try ',' BSA ',' Try ',' Tetep ' , 'bsa', 'enter', 'please"&amp;"', 'sen "",' ']")</f>
        <v>['Application', 'version', 'update', 'bgtu', 'conjured', 'update', 'bsa', 'login', 'udh', 'enter', 'NMR', 'email', ' Wait ',' SMS ',' Code ',' Confirm ',' TPI ',' Send ',' code ',' UDH ',' TIME ',' Try ',' BSA ',' Try ',' Tetep ' , 'bsa', 'enter', 'please', 'sen ",' ']</v>
      </c>
      <c r="D167" s="4">
        <v>4.0</v>
      </c>
    </row>
    <row r="168" ht="15.75" customHeight="1">
      <c r="A168" s="1">
        <v>192.0</v>
      </c>
      <c r="B168" s="4" t="s">
        <v>167</v>
      </c>
      <c r="C168" s="4" t="str">
        <f>IFERROR(__xludf.DUMMYFUNCTION("GOOGLETRANSLATE(B168,""id"",""en"")"),"['Preformed', 'gabisa', 'see', 'detail', 'pay', '']")</f>
        <v>['Preformed', 'gabisa', 'see', 'detail', 'pay', '']</v>
      </c>
      <c r="D168" s="4">
        <v>2.0</v>
      </c>
    </row>
    <row r="169" ht="15.75" customHeight="1">
      <c r="A169" s="1">
        <v>193.0</v>
      </c>
      <c r="B169" s="4" t="s">
        <v>168</v>
      </c>
      <c r="C169" s="4" t="str">
        <f>IFERROR(__xludf.DUMMYFUNCTION("GOOGLETRANSLATE(B169,""id"",""en"")"),"['Slow', 'Speed']")</f>
        <v>['Slow', 'Speed']</v>
      </c>
      <c r="D169" s="4">
        <v>2.0</v>
      </c>
    </row>
    <row r="170" ht="15.75" customHeight="1">
      <c r="A170" s="1">
        <v>194.0</v>
      </c>
      <c r="B170" s="4" t="s">
        <v>169</v>
      </c>
      <c r="C170" s="4" t="str">
        <f>IFERROR(__xludf.DUMMYFUNCTION("GOOGLETRANSLATE(B170,""id"",""en"")"),"['Sorry', 'Star', 'Problems', 'Indihome', 'Disconnect', 'I', 'END', '']")</f>
        <v>['Sorry', 'Star', 'Problems', 'Indihome', 'Disconnect', 'I', 'END', '']</v>
      </c>
      <c r="D170" s="4">
        <v>1.0</v>
      </c>
    </row>
    <row r="171" ht="15.75" customHeight="1">
      <c r="A171" s="1">
        <v>195.0</v>
      </c>
      <c r="B171" s="4" t="s">
        <v>170</v>
      </c>
      <c r="C171" s="4" t="str">
        <f>IFERROR(__xludf.DUMMYFUNCTION("GOOGLETRANSLATE(B171,""id"",""en"")"),"['Current', 'Indihome', 'slow', 'stable', 'fast', 'internet', 'ahead', 'night', 'slow', ""]")</f>
        <v>['Current', 'Indihome', 'slow', 'stable', 'fast', 'internet', 'ahead', 'night', 'slow', "]</v>
      </c>
      <c r="D171" s="4">
        <v>1.0</v>
      </c>
    </row>
    <row r="172" ht="15.75" customHeight="1">
      <c r="A172" s="1">
        <v>196.0</v>
      </c>
      <c r="B172" s="4" t="s">
        <v>171</v>
      </c>
      <c r="C172" s="4" t="str">
        <f>IFERROR(__xludf.DUMMYFUNCTION("GOOGLETRANSLATE(B172,""id"",""en"")"),"['package', 'Mbps', 'numb', 'bbrp', 'org', 'it', '']")</f>
        <v>['package', 'Mbps', 'numb', 'bbrp', 'org', 'it', '']</v>
      </c>
      <c r="D172" s="4">
        <v>1.0</v>
      </c>
    </row>
    <row r="173" ht="15.75" customHeight="1">
      <c r="A173" s="1">
        <v>197.0</v>
      </c>
      <c r="B173" s="4" t="s">
        <v>172</v>
      </c>
      <c r="C173" s="4" t="str">
        <f>IFERROR(__xludf.DUMMYFUNCTION("GOOGLETRANSLATE(B173,""id"",""en"")"),"['Even', 'month', 'already', 'got', 'wifi', 'loss', 'net', 'data', 'mending', 'over']")</f>
        <v>['Even', 'month', 'already', 'got', 'wifi', 'loss', 'net', 'data', 'mending', 'over']</v>
      </c>
      <c r="D173" s="4">
        <v>1.0</v>
      </c>
    </row>
    <row r="174" ht="15.75" customHeight="1">
      <c r="A174" s="1">
        <v>198.0</v>
      </c>
      <c r="B174" s="4" t="s">
        <v>173</v>
      </c>
      <c r="C174" s="4" t="str">
        <f>IFERROR(__xludf.DUMMYFUNCTION("GOOGLETRANSLATE(B174,""id"",""en"")"),"['Really good']")</f>
        <v>['Really good']</v>
      </c>
      <c r="D174" s="4">
        <v>5.0</v>
      </c>
    </row>
    <row r="175" ht="15.75" customHeight="1">
      <c r="A175" s="1">
        <v>199.0</v>
      </c>
      <c r="B175" s="4" t="s">
        <v>174</v>
      </c>
      <c r="C175" s="4" t="str">
        <f>IFERROR(__xludf.DUMMYFUNCTION("GOOGLETRANSLATE(B175,""id"",""en"")"),"['FUP', 'Help', 'Society', 'Seeds', 'Eyes', 'You', 'Help']")</f>
        <v>['FUP', 'Help', 'Society', 'Seeds', 'Eyes', 'You', 'Help']</v>
      </c>
      <c r="D175" s="4">
        <v>1.0</v>
      </c>
    </row>
    <row r="176" ht="15.75" customHeight="1">
      <c r="A176" s="1">
        <v>200.0</v>
      </c>
      <c r="B176" s="4" t="s">
        <v>175</v>
      </c>
      <c r="C176" s="4" t="str">
        <f>IFERROR(__xludf.DUMMYFUNCTION("GOOGLETRANSLATE(B176,""id"",""en"")"),"['Application', 'Becus', 'Basic', 'Plate', 'Red', 'Trash', ""]")</f>
        <v>['Application', 'Becus', 'Basic', 'Plate', 'Red', 'Trash', "]</v>
      </c>
      <c r="D176" s="4">
        <v>1.0</v>
      </c>
    </row>
    <row r="177" ht="15.75" customHeight="1">
      <c r="A177" s="1">
        <v>201.0</v>
      </c>
      <c r="B177" s="4" t="s">
        <v>176</v>
      </c>
      <c r="C177" s="4" t="str">
        <f>IFERROR(__xludf.DUMMYFUNCTION("GOOGLETRANSLATE(B177,""id"",""en"")"),"['bad', 'easy', 'difficult', '']")</f>
        <v>['bad', 'easy', 'difficult', '']</v>
      </c>
      <c r="D177" s="4">
        <v>1.0</v>
      </c>
    </row>
    <row r="178" ht="15.75" customHeight="1">
      <c r="A178" s="1">
        <v>202.0</v>
      </c>
      <c r="B178" s="4" t="s">
        <v>177</v>
      </c>
      <c r="C178" s="4" t="str">
        <f>IFERROR(__xludf.DUMMYFUNCTION("GOOGLETRANSLATE(B178,""id"",""en"")"),"['Mantull']")</f>
        <v>['Mantull']</v>
      </c>
      <c r="D178" s="4">
        <v>4.0</v>
      </c>
    </row>
    <row r="179" ht="15.75" customHeight="1">
      <c r="A179" s="1">
        <v>203.0</v>
      </c>
      <c r="B179" s="4" t="s">
        <v>178</v>
      </c>
      <c r="C179" s="4" t="str">
        <f>IFERROR(__xludf.DUMMYFUNCTION("GOOGLETRANSLATE(B179,""id"",""en"")"),"['Sngat', 'Guna']")</f>
        <v>['Sngat', 'Guna']</v>
      </c>
      <c r="D179" s="4">
        <v>5.0</v>
      </c>
    </row>
    <row r="180" ht="15.75" customHeight="1">
      <c r="A180" s="1">
        <v>204.0</v>
      </c>
      <c r="B180" s="4" t="s">
        <v>179</v>
      </c>
      <c r="C180" s="4" t="str">
        <f>IFERROR(__xludf.DUMMYFUNCTION("GOOGLETRANSLATE(B180,""id"",""en"")"),"['regret', 'list', 'indihome', 'list', 'smooth', 'process', 'until', 'verification', 'curly', 'email', 'customer', 'until' his teacher ',' TUWAN ',' Install ',' Install ',' front ',' Tehnition ',' Muter ',' Muter ',' location ',' Alas', 'check', 'net', 'u"&amp;"ntil' , 'Afternoon', 'results',' net ',' full ',' pairs', 'list', 'cancel', 'waste', 'waste', 'managing', 'list', 'Alhamdullillah', ' Cancel ',' see ',' application ',' twigs', 'ngeelus',' subscribe ',' ']")</f>
        <v>['regret', 'list', 'indihome', 'list', 'smooth', 'process', 'until', 'verification', 'curly', 'email', 'customer', 'until' his teacher ',' TUWAN ',' Install ',' Install ',' front ',' Tehnition ',' Muter ',' Muter ',' location ',' Alas', 'check', 'net', 'until' , 'Afternoon', 'results',' net ',' full ',' pairs', 'list', 'cancel', 'waste', 'waste', 'managing', 'list', 'Alhamdullillah', ' Cancel ',' see ',' application ',' twigs', 'ngeelus',' subscribe ',' ']</v>
      </c>
      <c r="D180" s="4">
        <v>1.0</v>
      </c>
    </row>
    <row r="181" ht="15.75" customHeight="1">
      <c r="A181" s="1">
        <v>205.0</v>
      </c>
      <c r="B181" s="4" t="s">
        <v>180</v>
      </c>
      <c r="C181" s="4" t="str">
        <f>IFERROR(__xludf.DUMMYFUNCTION("GOOGLETRANSLATE(B181,""id"",""en"")"),"['', 'connection', 'report', 'good', 'service', 'gausah', 'subscribe', 'kayak', 'gin', ""]")</f>
        <v>['', 'connection', 'report', 'good', 'service', 'gausah', 'subscribe', 'kayak', 'gin', "]</v>
      </c>
      <c r="D181" s="4">
        <v>1.0</v>
      </c>
    </row>
    <row r="182" ht="15.75" customHeight="1">
      <c r="A182" s="1">
        <v>206.0</v>
      </c>
      <c r="B182" s="4" t="s">
        <v>181</v>
      </c>
      <c r="C182" s="4" t="str">
        <f>IFERROR(__xludf.DUMMYFUNCTION("GOOGLETRANSLATE(B182,""id"",""en"")"),"['Net', 'good']")</f>
        <v>['Net', 'good']</v>
      </c>
      <c r="D182" s="4">
        <v>5.0</v>
      </c>
    </row>
    <row r="183" ht="15.75" customHeight="1">
      <c r="A183" s="1">
        <v>207.0</v>
      </c>
      <c r="B183" s="4" t="s">
        <v>182</v>
      </c>
      <c r="C183" s="4" t="str">
        <f>IFERROR(__xludf.DUMMYFUNCTION("GOOGLETRANSLATE(B183,""id"",""en"")"),"['Indihome', 'Many', 'Error', ""]")</f>
        <v>['Indihome', 'Many', 'Error', "]</v>
      </c>
      <c r="D183" s="4">
        <v>2.0</v>
      </c>
    </row>
    <row r="184" ht="15.75" customHeight="1">
      <c r="A184" s="1">
        <v>209.0</v>
      </c>
      <c r="B184" s="4" t="s">
        <v>183</v>
      </c>
      <c r="C184" s="4" t="str">
        <f>IFERROR(__xludf.DUMMYFUNCTION("GOOGLETRANSLATE(B184,""id"",""en"")"),"['BUMN', 'Quality', 'Private']")</f>
        <v>['BUMN', 'Quality', 'Private']</v>
      </c>
      <c r="D184" s="4">
        <v>1.0</v>
      </c>
    </row>
    <row r="185" ht="15.75" customHeight="1">
      <c r="A185" s="1">
        <v>210.0</v>
      </c>
      <c r="B185" s="4" t="s">
        <v>184</v>
      </c>
      <c r="C185" s="4" t="str">
        <f>IFERROR(__xludf.DUMMYFUNCTION("GOOGLETRANSLATE(B185,""id"",""en"")"),"['Indihome', 'Need', 'Money', 'Move', 'Indihome', 'address',' BLM ',' Move ',' Indihome ',' TLPN ',' Call ',' Center ',' Answer ',' sdg ',' process', 'then', 'subscribe', 'mnc', 'vision', 'cpt', 'response', 'fast', 'move', 'address',' need ' , '']")</f>
        <v>['Indihome', 'Need', 'Money', 'Move', 'Indihome', 'address',' BLM ',' Move ',' Indihome ',' TLPN ',' Call ',' Center ',' Answer ',' sdg ',' process', 'then', 'subscribe', 'mnc', 'vision', 'cpt', 'response', 'fast', 'move', 'address',' need ' , '']</v>
      </c>
      <c r="D185" s="4">
        <v>1.0</v>
      </c>
    </row>
    <row r="186" ht="15.75" customHeight="1">
      <c r="A186" s="1">
        <v>211.0</v>
      </c>
      <c r="B186" s="4" t="s">
        <v>185</v>
      </c>
      <c r="C186" s="4" t="str">
        <f>IFERROR(__xludf.DUMMYFUNCTION("GOOGLETRANSLATE(B186,""id"",""en"")"),"['complaints', 'already', 'representatives', 'subscribe', 'ngeluh', 'love', 'star', 'love', 'star', ""]")</f>
        <v>['complaints', 'already', 'representatives', 'subscribe', 'ngeluh', 'love', 'star', 'love', 'star', "]</v>
      </c>
      <c r="D186" s="4">
        <v>4.0</v>
      </c>
    </row>
    <row r="187" ht="15.75" customHeight="1">
      <c r="A187" s="1">
        <v>212.0</v>
      </c>
      <c r="B187" s="4" t="s">
        <v>186</v>
      </c>
      <c r="C187" s="4" t="str">
        <f>IFERROR(__xludf.DUMMYFUNCTION("GOOGLETRANSLATE(B187,""id"",""en"")"),"['awass', 'masang', 'wifi', 'indihome', 'ntrr', 'regret']")</f>
        <v>['awass', 'masang', 'wifi', 'indihome', 'ntrr', 'regret']</v>
      </c>
      <c r="D187" s="4">
        <v>1.0</v>
      </c>
    </row>
    <row r="188" ht="15.75" customHeight="1">
      <c r="A188" s="1">
        <v>213.0</v>
      </c>
      <c r="B188" s="4" t="s">
        <v>187</v>
      </c>
      <c r="C188" s="4" t="str">
        <f>IFERROR(__xludf.DUMMYFUNCTION("GOOGLETRANSLATE(B188,""id"",""en"")"),"['Best', 'Quality']")</f>
        <v>['Best', 'Quality']</v>
      </c>
      <c r="D188" s="4">
        <v>5.0</v>
      </c>
    </row>
    <row r="189" ht="15.75" customHeight="1">
      <c r="A189" s="1">
        <v>214.0</v>
      </c>
      <c r="B189" s="4" t="s">
        <v>188</v>
      </c>
      <c r="C189" s="4" t="str">
        <f>IFERROR(__xludf.DUMMYFUNCTION("GOOGLETRANSLATE(B189,""id"",""en"")"),"['Benerin', 'Please', 'Dead', 'Connect', 'Dead', 'Connect', 'Niiiii', ""]")</f>
        <v>['Benerin', 'Please', 'Dead', 'Connect', 'Dead', 'Connect', 'Niiiii', "]</v>
      </c>
      <c r="D189" s="4">
        <v>2.0</v>
      </c>
    </row>
    <row r="190" ht="15.75" customHeight="1">
      <c r="A190" s="1">
        <v>215.0</v>
      </c>
      <c r="B190" s="4" t="s">
        <v>189</v>
      </c>
      <c r="C190" s="4" t="str">
        <f>IFERROR(__xludf.DUMMYFUNCTION("GOOGLETRANSLATE(B190,""id"",""en"")"),"['Lot', 'Severe', 'Abis', 'Disappointed']")</f>
        <v>['Lot', 'Severe', 'Abis', 'Disappointed']</v>
      </c>
      <c r="D190" s="4">
        <v>1.0</v>
      </c>
    </row>
    <row r="191" ht="15.75" customHeight="1">
      <c r="A191" s="1">
        <v>216.0</v>
      </c>
      <c r="B191" s="4" t="s">
        <v>190</v>
      </c>
      <c r="C191" s="4" t="str">
        <f>IFERROR(__xludf.DUMMYFUNCTION("GOOGLETRANSLATE(B191,""id"",""en"")"),"['Andal', 'Indihome', 'Gie', 'pull', 'Subscribe', 'Kayak', 'Gin', 'Siih', 'Good', 'Old', 'Sick', 'Heart', ' glue ',' Otttt ']")</f>
        <v>['Andal', 'Indihome', 'Gie', 'pull', 'Subscribe', 'Kayak', 'Gin', 'Siih', 'Good', 'Old', 'Sick', 'Heart', ' glue ',' Otttt ']</v>
      </c>
      <c r="D191" s="4">
        <v>1.0</v>
      </c>
    </row>
    <row r="192" ht="15.75" customHeight="1">
      <c r="A192" s="1">
        <v>217.0</v>
      </c>
      <c r="B192" s="4" t="s">
        <v>191</v>
      </c>
      <c r="C192" s="4" t="str">
        <f>IFERROR(__xludf.DUMMYFUNCTION("GOOGLETRANSLATE(B192,""id"",""en"")"),"['original', 'cave', 'pairs', 'wifi', 'wait', 'net', 'empty', 'cave', 'need', 'yrs', 'tomorrow', '']")</f>
        <v>['original', 'cave', 'pairs', 'wifi', 'wait', 'net', 'empty', 'cave', 'need', 'yrs', 'tomorrow', '']</v>
      </c>
      <c r="D192" s="4">
        <v>1.0</v>
      </c>
    </row>
    <row r="193" ht="15.75" customHeight="1">
      <c r="A193" s="1">
        <v>218.0</v>
      </c>
      <c r="B193" s="4" t="s">
        <v>192</v>
      </c>
      <c r="C193" s="4" t="str">
        <f>IFERROR(__xludf.DUMMYFUNCTION("GOOGLETRANSLATE(B193,""id"",""en"")"),"['Basic', 'Indihome', 'trash', 'nets',' lot ',' disturbing ',' join ',' google ',' work ',' garbage ',' net ',' wifi ',' Good ',' Mending ',' Down ',' Pay ',' Expensive ',' Kasi ',' Mbps', 'Doang', 'Buy', 'Package', 'Mbps',' Langgan ',' Subscribe ' , 'rig"&amp;"ht', 'find', 'name', 'number', 'base', 'indihome', 'garbage']")</f>
        <v>['Basic', 'Indihome', 'trash', 'nets',' lot ',' disturbing ',' join ',' google ',' work ',' garbage ',' net ',' wifi ',' Good ',' Mending ',' Down ',' Pay ',' Expensive ',' Kasi ',' Mbps', 'Doang', 'Buy', 'Package', 'Mbps',' Langgan ',' Subscribe ' , 'right', 'find', 'name', 'number', 'base', 'indihome', 'garbage']</v>
      </c>
      <c r="D193" s="4">
        <v>1.0</v>
      </c>
    </row>
    <row r="194" ht="15.75" customHeight="1">
      <c r="A194" s="1">
        <v>219.0</v>
      </c>
      <c r="B194" s="4" t="s">
        <v>193</v>
      </c>
      <c r="C194" s="4" t="str">
        <f>IFERROR(__xludf.DUMMYFUNCTION("GOOGLETRANSLATE(B194,""id"",""en"")"),"['', 'Indihome', 'quality', 'bad', 'base', 'indigo', ""]")</f>
        <v>['', 'Indihome', 'quality', 'bad', 'base', 'indigo', "]</v>
      </c>
      <c r="D194" s="4">
        <v>1.0</v>
      </c>
    </row>
    <row r="195" ht="15.75" customHeight="1">
      <c r="A195" s="1">
        <v>220.0</v>
      </c>
      <c r="B195" s="4" t="s">
        <v>194</v>
      </c>
      <c r="C195" s="4" t="str">
        <f>IFERROR(__xludf.DUMMYFUNCTION("GOOGLETRANSLATE(B195,""id"",""en"")"),"['Indihome', 'Tipu', 'Forced', 'squeezed', 'Mecolored', 'Full', 'wifinya', 'die', 'tap', 'appears',' mlhn ',' name ',' forced ',' squeezed ',' subscribe ',' forced ',' fair ',' masang ',' wifi ',' mah ',' happy ',' ngeluk ',' mending ',' stop ',' subscrib"&amp;"e ' , 'INDIHOME', 'MASANG', 'WIFI', 'Mending', 'Buy', 'Kouta', 'Ribet', 'Thanks', 'Tolkon']")</f>
        <v>['Indihome', 'Tipu', 'Forced', 'squeezed', 'Mecolored', 'Full', 'wifinya', 'die', 'tap', 'appears',' mlhn ',' name ',' forced ',' squeezed ',' subscribe ',' forced ',' fair ',' masang ',' wifi ',' mah ',' happy ',' ngeluk ',' mending ',' stop ',' subscribe ' , 'INDIHOME', 'MASANG', 'WIFI', 'Mending', 'Buy', 'Kouta', 'Ribet', 'Thanks', 'Tolkon']</v>
      </c>
      <c r="D195" s="4">
        <v>1.0</v>
      </c>
    </row>
    <row r="196" ht="15.75" customHeight="1">
      <c r="A196" s="1">
        <v>221.0</v>
      </c>
      <c r="B196" s="4" t="s">
        <v>195</v>
      </c>
      <c r="C196" s="4" t="str">
        <f>IFERROR(__xludf.DUMMYFUNCTION("GOOGLETRANSLATE(B196,""id"",""en"")"),"['Out', 'update', 'enter', 'request', 'OTP', 'reply', 'OTP', 'inputted', 'uda', 'try', 'maximum', 'fail', ' Have ',' Wait ',' Clock ',' ']")</f>
        <v>['Out', 'update', 'enter', 'request', 'OTP', 'reply', 'OTP', 'inputted', 'uda', 'try', 'maximum', 'fail', ' Have ',' Wait ',' Clock ',' ']</v>
      </c>
      <c r="D196" s="4">
        <v>1.0</v>
      </c>
    </row>
    <row r="197" ht="15.75" customHeight="1">
      <c r="A197" s="1">
        <v>222.0</v>
      </c>
      <c r="B197" s="4" t="s">
        <v>196</v>
      </c>
      <c r="C197" s="4" t="str">
        <f>IFERROR(__xludf.DUMMYFUNCTION("GOOGLETRANSLATE(B197,""id"",""en"")"),"['Quality', 'Severe', 'Indihome', 'Original', 'Severe', 'Slow', 'Over', 'Install', ""]")</f>
        <v>['Quality', 'Severe', 'Indihome', 'Original', 'Severe', 'Slow', 'Over', 'Install', "]</v>
      </c>
      <c r="D197" s="4">
        <v>1.0</v>
      </c>
    </row>
    <row r="198" ht="15.75" customHeight="1">
      <c r="A198" s="1">
        <v>223.0</v>
      </c>
      <c r="B198" s="4" t="s">
        <v>197</v>
      </c>
      <c r="C198" s="4" t="str">
        <f>IFERROR(__xludf.DUMMYFUNCTION("GOOGLETRANSLATE(B198,""id"",""en"")"),"['Telephone', 'Disconnect', 'complain', 'Change', '']")</f>
        <v>['Telephone', 'Disconnect', 'complain', 'Change', '']</v>
      </c>
      <c r="D198" s="4">
        <v>1.0</v>
      </c>
    </row>
    <row r="199" ht="15.75" customHeight="1">
      <c r="A199" s="1">
        <v>224.0</v>
      </c>
      <c r="B199" s="4" t="s">
        <v>198</v>
      </c>
      <c r="C199" s="4" t="str">
        <f>IFERROR(__xludf.DUMMYFUNCTION("GOOGLETRANSLATE(B199,""id"",""en"")"),"['Good', 'App']")</f>
        <v>['Good', 'App']</v>
      </c>
      <c r="D199" s="4">
        <v>5.0</v>
      </c>
    </row>
    <row r="200" ht="15.75" customHeight="1">
      <c r="A200" s="1">
        <v>226.0</v>
      </c>
      <c r="B200" s="4" t="s">
        <v>199</v>
      </c>
      <c r="C200" s="4" t="str">
        <f>IFERROR(__xludf.DUMMYFUNCTION("GOOGLETRANSLATE(B200,""id"",""en"")"),"['steady', 'smooth', 'fast', 'connection']")</f>
        <v>['steady', 'smooth', 'fast', 'connection']</v>
      </c>
      <c r="D200" s="4">
        <v>5.0</v>
      </c>
    </row>
    <row r="201" ht="15.75" customHeight="1">
      <c r="A201" s="1">
        <v>227.0</v>
      </c>
      <c r="B201" s="4" t="s">
        <v>200</v>
      </c>
      <c r="C201" s="4" t="str">
        <f>IFERROR(__xludf.DUMMYFUNCTION("GOOGLETRANSLATE(B201,""id"",""en"")"),"['Hay', 'Sis',' UDH ',' Try ',' Times', 'Times',' Register ',' Enter ',' Enter ',' Wait ',' Signal ',' Sis', ' ']")</f>
        <v>['Hay', 'Sis',' UDH ',' Try ',' Times', 'Times',' Register ',' Enter ',' Enter ',' Wait ',' Signal ',' Sis', ' ']</v>
      </c>
      <c r="D201" s="4">
        <v>3.0</v>
      </c>
    </row>
    <row r="202" ht="15.75" customHeight="1">
      <c r="A202" s="1">
        <v>228.0</v>
      </c>
      <c r="B202" s="4" t="s">
        <v>108</v>
      </c>
      <c r="C202" s="4" t="str">
        <f>IFERROR(__xludf.DUMMYFUNCTION("GOOGLETRANSLATE(B202,""id"",""en"")"),"['', '']")</f>
        <v>['', '']</v>
      </c>
      <c r="D202" s="4">
        <v>5.0</v>
      </c>
    </row>
    <row r="203" ht="15.75" customHeight="1">
      <c r="A203" s="1">
        <v>229.0</v>
      </c>
      <c r="B203" s="4" t="s">
        <v>201</v>
      </c>
      <c r="C203" s="4" t="str">
        <f>IFERROR(__xludf.DUMMYFUNCTION("GOOGLETRANSLATE(B203,""id"",""en"")"),"['critical', '']")</f>
        <v>['critical', '']</v>
      </c>
      <c r="D203" s="4">
        <v>1.0</v>
      </c>
    </row>
    <row r="204" ht="15.75" customHeight="1">
      <c r="A204" s="1">
        <v>230.0</v>
      </c>
      <c r="B204" s="4" t="s">
        <v>202</v>
      </c>
      <c r="C204" s="4" t="str">
        <f>IFERROR(__xludf.DUMMYFUNCTION("GOOGLETRANSLATE(B204,""id"",""en"")"),"['Tool', 'pairs', 'pay', 'pay', 'active', 'pay', 'difficult', 'really', 'response', 'Low', ""]")</f>
        <v>['Tool', 'pairs', 'pay', 'pay', 'active', 'pay', 'difficult', 'really', 'response', 'Low', "]</v>
      </c>
      <c r="D204" s="4">
        <v>1.0</v>
      </c>
    </row>
    <row r="205" ht="15.75" customHeight="1">
      <c r="A205" s="1">
        <v>231.0</v>
      </c>
      <c r="B205" s="4" t="s">
        <v>203</v>
      </c>
      <c r="C205" s="4" t="str">
        <f>IFERROR(__xludf.DUMMYFUNCTION("GOOGLETRANSLATE(B205,""id"",""en"")"),"['Please', 'effort', 'Indihome', 'please', 'level', 'quality', 'net', 'disturbing', 'difficult', 'play', 'game', 'online', ' Open ',' application ']")</f>
        <v>['Please', 'effort', 'Indihome', 'please', 'level', 'quality', 'net', 'disturbing', 'difficult', 'play', 'game', 'online', ' Open ',' application ']</v>
      </c>
      <c r="D205" s="4">
        <v>1.0</v>
      </c>
    </row>
    <row r="206" ht="15.75" customHeight="1">
      <c r="A206" s="1">
        <v>232.0</v>
      </c>
      <c r="B206" s="4" t="s">
        <v>204</v>
      </c>
      <c r="C206" s="4" t="str">
        <f>IFERROR(__xludf.DUMMYFUNCTION("GOOGLETRANSLATE(B206,""id"",""en"")"),"['Min', 'menu', 'Speed', 'Demand', ""]")</f>
        <v>['Min', 'menu', 'Speed', 'Demand', "]</v>
      </c>
      <c r="D206" s="4">
        <v>2.0</v>
      </c>
    </row>
    <row r="207" ht="15.75" customHeight="1">
      <c r="A207" s="1">
        <v>233.0</v>
      </c>
      <c r="B207" s="4" t="s">
        <v>205</v>
      </c>
      <c r="C207" s="4" t="str">
        <f>IFERROR(__xludf.DUMMYFUNCTION("GOOGLETRANSLATE(B207,""id"",""en"")"),"['pretty good']")</f>
        <v>['pretty good']</v>
      </c>
      <c r="D207" s="4">
        <v>5.0</v>
      </c>
    </row>
    <row r="208" ht="15.75" customHeight="1">
      <c r="A208" s="1">
        <v>234.0</v>
      </c>
      <c r="B208" s="4" t="s">
        <v>206</v>
      </c>
      <c r="C208" s="4" t="str">
        <f>IFERROR(__xludf.DUMMYFUNCTION("GOOGLETRANSLATE(B208,""id"",""en"")"),"['Indihome', 'Cool', '']")</f>
        <v>['Indihome', 'Cool', '']</v>
      </c>
      <c r="D208" s="4">
        <v>5.0</v>
      </c>
    </row>
    <row r="209" ht="15.75" customHeight="1">
      <c r="A209" s="1">
        <v>235.0</v>
      </c>
      <c r="B209" s="4" t="s">
        <v>207</v>
      </c>
      <c r="C209" s="4" t="str">
        <f>IFERROR(__xludf.DUMMYFUNCTION("GOOGLETRANSLATE(B209,""id"",""en"")"),"['service', 'good']")</f>
        <v>['service', 'good']</v>
      </c>
      <c r="D209" s="4">
        <v>5.0</v>
      </c>
    </row>
    <row r="210" ht="15.75" customHeight="1">
      <c r="A210" s="1">
        <v>236.0</v>
      </c>
      <c r="B210" s="4" t="s">
        <v>208</v>
      </c>
      <c r="C210" s="4" t="str">
        <f>IFERROR(__xludf.DUMMYFUNCTION("GOOGLETRANSLATE(B210,""id"",""en"")"),"['Think', 'Stremer', 'Live', 'get', 'FUP', ""]")</f>
        <v>['Think', 'Stremer', 'Live', 'get', 'FUP', "]</v>
      </c>
      <c r="D210" s="4">
        <v>5.0</v>
      </c>
    </row>
    <row r="211" ht="15.75" customHeight="1">
      <c r="A211" s="1">
        <v>237.0</v>
      </c>
      <c r="B211" s="4" t="s">
        <v>209</v>
      </c>
      <c r="C211" s="4" t="str">
        <f>IFERROR(__xludf.DUMMYFUNCTION("GOOGLETRANSLATE(B211,""id"",""en"")"),"['service', 'technician', 'slow']")</f>
        <v>['service', 'technician', 'slow']</v>
      </c>
      <c r="D211" s="4">
        <v>1.0</v>
      </c>
    </row>
    <row r="212" ht="15.75" customHeight="1">
      <c r="A212" s="1">
        <v>238.0</v>
      </c>
      <c r="B212" s="4" t="s">
        <v>210</v>
      </c>
      <c r="C212" s="4" t="str">
        <f>IFERROR(__xludf.DUMMYFUNCTION("GOOGLETRANSLATE(B212,""id"",""en"")"),"['service', 'Loe', 'bad', 'difficult', 'person', 'pairs', 'indihome']")</f>
        <v>['service', 'Loe', 'bad', 'difficult', 'person', 'pairs', 'indihome']</v>
      </c>
      <c r="D212" s="4">
        <v>1.0</v>
      </c>
    </row>
    <row r="213" ht="15.75" customHeight="1">
      <c r="A213" s="1">
        <v>240.0</v>
      </c>
      <c r="B213" s="4" t="s">
        <v>211</v>
      </c>
      <c r="C213" s="4" t="str">
        <f>IFERROR(__xludf.DUMMYFUNCTION("GOOGLETRANSLATE(B213,""id"",""en"")"),"['Subscribe', 'Mbps', 'Mbps', 'Komplin', 'Good', '']")</f>
        <v>['Subscribe', 'Mbps', 'Mbps', 'Komplin', 'Good', '']</v>
      </c>
      <c r="D213" s="4">
        <v>1.0</v>
      </c>
    </row>
    <row r="214" ht="15.75" customHeight="1">
      <c r="A214" s="1">
        <v>241.0</v>
      </c>
      <c r="B214" s="4" t="s">
        <v>212</v>
      </c>
      <c r="C214" s="4" t="str">
        <f>IFERROR(__xludf.DUMMYFUNCTION("GOOGLETRANSLATE(B214,""id"",""en"")"),"['MUAS']")</f>
        <v>['MUAS']</v>
      </c>
      <c r="D214" s="4">
        <v>5.0</v>
      </c>
    </row>
    <row r="215" ht="15.75" customHeight="1">
      <c r="A215" s="1">
        <v>242.0</v>
      </c>
      <c r="B215" s="4" t="s">
        <v>213</v>
      </c>
      <c r="C215" s="4" t="str">
        <f>IFERROR(__xludf.DUMMYFUNCTION("GOOGLETRANSLATE(B215,""id"",""en"")"),"['Already', 'wifi', 'ugly', 'application', 'ugly']")</f>
        <v>['Already', 'wifi', 'ugly', 'application', 'ugly']</v>
      </c>
      <c r="D215" s="4">
        <v>1.0</v>
      </c>
    </row>
    <row r="216" ht="15.75" customHeight="1">
      <c r="A216" s="1">
        <v>243.0</v>
      </c>
      <c r="B216" s="4" t="s">
        <v>214</v>
      </c>
      <c r="C216" s="4" t="str">
        <f>IFERROR(__xludf.DUMMYFUNCTION("GOOGLETRANSLATE(B216,""id"",""en"")"),"['ugly', 'skali', 'problem', 'internet', 'wifi', 'trhubung', 'internet', 'good', 'tomorrow', 'reset', 'severe']")</f>
        <v>['ugly', 'skali', 'problem', 'internet', 'wifi', 'trhubung', 'internet', 'good', 'tomorrow', 'reset', 'severe']</v>
      </c>
      <c r="D216" s="4">
        <v>1.0</v>
      </c>
    </row>
    <row r="217" ht="15.75" customHeight="1">
      <c r="A217" s="1">
        <v>244.0</v>
      </c>
      <c r="B217" s="4" t="s">
        <v>215</v>
      </c>
      <c r="C217" s="4" t="str">
        <f>IFERROR(__xludf.DUMMYFUNCTION("GOOGLETRANSLATE(B217,""id"",""en"")"),"['Myindihome', 'tags', 'smooa', 'entry', 'pay', 'report', 'Adu', 'responded', 'indihome', 'telkon', 'back', 'money']")</f>
        <v>['Myindihome', 'tags', 'smooa', 'entry', 'pay', 'report', 'Adu', 'responded', 'indihome', 'telkon', 'back', 'money']</v>
      </c>
      <c r="D217" s="4">
        <v>1.0</v>
      </c>
    </row>
    <row r="218" ht="15.75" customHeight="1">
      <c r="A218" s="1">
        <v>245.0</v>
      </c>
      <c r="B218" s="4" t="s">
        <v>216</v>
      </c>
      <c r="C218" s="4" t="str">
        <f>IFERROR(__xludf.DUMMYFUNCTION("GOOGLETRANSLATE(B218,""id"",""en"")"),"['Indihome', 'numb', 'masang', 'times', 'udh', 'lbh', 'clock']")</f>
        <v>['Indihome', 'numb', 'masang', 'times', 'udh', 'lbh', 'clock']</v>
      </c>
      <c r="D218" s="4">
        <v>1.0</v>
      </c>
    </row>
    <row r="219" ht="15.75" customHeight="1">
      <c r="A219" s="1">
        <v>246.0</v>
      </c>
      <c r="B219" s="4" t="s">
        <v>217</v>
      </c>
      <c r="C219" s="4" t="str">
        <f>IFERROR(__xludf.DUMMYFUNCTION("GOOGLETRANSLATE(B219,""id"",""en"")"),"['thank', 'love', 'help', '']")</f>
        <v>['thank', 'love', 'help', '']</v>
      </c>
      <c r="D219" s="4">
        <v>5.0</v>
      </c>
    </row>
    <row r="220" ht="15.75" customHeight="1">
      <c r="A220" s="1">
        <v>247.0</v>
      </c>
      <c r="B220" s="4" t="s">
        <v>218</v>
      </c>
      <c r="C220" s="4" t="str">
        <f>IFERROR(__xludf.DUMMYFUNCTION("GOOGLETRANSLATE(B220,""id"",""en"")"),"['wifi', 'ngellag', 'game', 'difficult', 'really', 'rich', 'gin', 'net']")</f>
        <v>['wifi', 'ngellag', 'game', 'difficult', 'really', 'rich', 'gin', 'net']</v>
      </c>
      <c r="D220" s="4">
        <v>1.0</v>
      </c>
    </row>
    <row r="221" ht="15.75" customHeight="1">
      <c r="A221" s="1">
        <v>248.0</v>
      </c>
      <c r="B221" s="4" t="s">
        <v>219</v>
      </c>
      <c r="C221" s="4" t="str">
        <f>IFERROR(__xludf.DUMMYFUNCTION("GOOGLETRANSLATE(B221,""id"",""en"")"),"['Report', 'Disturbs',' Application ',' Sia ',' Sia ',' Get ',' Ticket ',' Disturbing ',' Doank ',' Layai ',' Good ',' Visit ',' Report ',' offline ',' offline ',' added ',' quality ',' net ',' telkom ',' severe ',' telkom ',' think ',' pay ',' konpensasi"&amp;" ',' subscribe ' , 'inconvenience', '']")</f>
        <v>['Report', 'Disturbs',' Application ',' Sia ',' Sia ',' Get ',' Ticket ',' Disturbing ',' Doank ',' Layai ',' Good ',' Visit ',' Report ',' offline ',' offline ',' added ',' quality ',' net ',' telkom ',' severe ',' telkom ',' think ',' pay ',' konpensasi ',' subscribe ' , 'inconvenience', '']</v>
      </c>
      <c r="D221" s="4">
        <v>1.0</v>
      </c>
    </row>
    <row r="222" ht="15.75" customHeight="1">
      <c r="A222" s="1">
        <v>249.0</v>
      </c>
      <c r="B222" s="4" t="s">
        <v>220</v>
      </c>
      <c r="C222" s="4" t="str">
        <f>IFERROR(__xludf.DUMMYFUNCTION("GOOGLETRANSLATE(B222,""id"",""en"")"),"['Telkom', 'pay', 'internet', 'use', 'pay', 'told', 'donations', 'doang']")</f>
        <v>['Telkom', 'pay', 'internet', 'use', 'pay', 'told', 'donations', 'doang']</v>
      </c>
      <c r="D222" s="4">
        <v>1.0</v>
      </c>
    </row>
    <row r="223" ht="15.75" customHeight="1">
      <c r="A223" s="1">
        <v>250.0</v>
      </c>
      <c r="B223" s="4" t="s">
        <v>221</v>
      </c>
      <c r="C223" s="4" t="str">
        <f>IFERROR(__xludf.DUMMYFUNCTION("GOOGLETRANSLATE(B223,""id"",""en"")"),"['Easy', 'Urus', 'Current', 'Commontion', 'Safe', 'Work', 'Complete', 'sustenance', 'Add', ""]")</f>
        <v>['Easy', 'Urus', 'Current', 'Commontion', 'Safe', 'Work', 'Complete', 'sustenance', 'Add', "]</v>
      </c>
      <c r="D223" s="4">
        <v>5.0</v>
      </c>
    </row>
    <row r="224" ht="15.75" customHeight="1">
      <c r="A224" s="1">
        <v>252.0</v>
      </c>
      <c r="B224" s="4" t="s">
        <v>222</v>
      </c>
      <c r="C224" s="4" t="str">
        <f>IFERROR(__xludf.DUMMYFUNCTION("GOOGLETRANSLATE(B224,""id"",""en"")"),"['Move', 'wifi', 'hadeuh']")</f>
        <v>['Move', 'wifi', 'hadeuh']</v>
      </c>
      <c r="D224" s="4">
        <v>1.0</v>
      </c>
    </row>
    <row r="225" ht="15.75" customHeight="1">
      <c r="A225" s="1">
        <v>253.0</v>
      </c>
      <c r="B225" s="4" t="s">
        <v>223</v>
      </c>
      <c r="C225" s="4" t="str">
        <f>IFERROR(__xludf.DUMMYFUNCTION("GOOGLETRANSLATE(B225,""id"",""en"")"),"['wifi', 'ngelagg', 'really', 'yaa', '']")</f>
        <v>['wifi', 'ngelagg', 'really', 'yaa', '']</v>
      </c>
      <c r="D225" s="4">
        <v>1.0</v>
      </c>
    </row>
    <row r="226" ht="15.75" customHeight="1">
      <c r="A226" s="1">
        <v>254.0</v>
      </c>
      <c r="B226" s="4" t="s">
        <v>224</v>
      </c>
      <c r="C226" s="4" t="str">
        <f>IFERROR(__xludf.DUMMYFUNCTION("GOOGLETRANSLATE(B226,""id"",""en"")"),"['Indihome', 'Lossii', 'oath', ""]")</f>
        <v>['Indihome', 'Lossii', 'oath', "]</v>
      </c>
      <c r="D226" s="4">
        <v>1.0</v>
      </c>
    </row>
    <row r="227" ht="15.75" customHeight="1">
      <c r="A227" s="1">
        <v>255.0</v>
      </c>
      <c r="B227" s="4" t="s">
        <v>225</v>
      </c>
      <c r="C227" s="4" t="str">
        <f>IFERROR(__xludf.DUMMYFUNCTION("GOOGLETRANSLATE(B227,""id"",""en"")"),"['', 'Ush', 'Indihome', 'loss', 'Raying', 'oath']")</f>
        <v>['', 'Ush', 'Indihome', 'loss', 'Raying', 'oath']</v>
      </c>
      <c r="D227" s="4">
        <v>1.0</v>
      </c>
    </row>
    <row r="228" ht="15.75" customHeight="1">
      <c r="A228" s="1">
        <v>256.0</v>
      </c>
      <c r="B228" s="4" t="s">
        <v>226</v>
      </c>
      <c r="C228" s="4" t="str">
        <f>IFERROR(__xludf.DUMMYFUNCTION("GOOGLETRANSLATE(B228,""id"",""en"")"),"['oath', 'indihome', 'error', 'mulu', 'process', 'cut', 'error', 'felt', 'error', 'until', 'week']")</f>
        <v>['oath', 'indihome', 'error', 'mulu', 'process', 'cut', 'error', 'felt', 'error', 'until', 'week']</v>
      </c>
      <c r="D228" s="4">
        <v>1.0</v>
      </c>
    </row>
    <row r="229" ht="15.75" customHeight="1">
      <c r="A229" s="1">
        <v>257.0</v>
      </c>
      <c r="B229" s="4" t="s">
        <v>227</v>
      </c>
      <c r="C229" s="4" t="str">
        <f>IFERROR(__xludf.DUMMYFUNCTION("GOOGLETRANSLATE(B229,""id"",""en"")"),"['hard', 'blgnya', 'max', 'back', 'deposit', 'work', 'uda', 'balikin', 'giiram', 'pay', 'late', 'kenain', ' flower']")</f>
        <v>['hard', 'blgnya', 'max', 'back', 'deposit', 'work', 'uda', 'balikin', 'giiram', 'pay', 'late', 'kenain', ' flower']</v>
      </c>
      <c r="D229" s="4">
        <v>1.0</v>
      </c>
    </row>
    <row r="230" ht="15.75" customHeight="1">
      <c r="A230" s="1">
        <v>259.0</v>
      </c>
      <c r="B230" s="4" t="s">
        <v>228</v>
      </c>
      <c r="C230" s="4" t="str">
        <f>IFERROR(__xludf.DUMMYFUNCTION("GOOGLETRANSLATE(B230,""id"",""en"")"),"['Use', 'WiFi', 'Lot', 'already', 'Pay', 'please', 'Tell', 'because', 'already', 'times', 'pay', ""]")</f>
        <v>['Use', 'WiFi', 'Lot', 'already', 'Pay', 'please', 'Tell', 'because', 'already', 'times', 'pay', "]</v>
      </c>
      <c r="D230" s="4">
        <v>1.0</v>
      </c>
    </row>
    <row r="231" ht="15.75" customHeight="1">
      <c r="A231" s="1">
        <v>261.0</v>
      </c>
      <c r="B231" s="4" t="s">
        <v>229</v>
      </c>
      <c r="C231" s="4" t="str">
        <f>IFERROR(__xludf.DUMMYFUNCTION("GOOGLETRANSLATE(B231,""id"",""en"")"),"['Apps', 'Safe', 'Karna', 'Login', 'Use', 'Pass', 'OTP']")</f>
        <v>['Apps', 'Safe', 'Karna', 'Login', 'Use', 'Pass', 'OTP']</v>
      </c>
      <c r="D231" s="4">
        <v>5.0</v>
      </c>
    </row>
    <row r="232" ht="15.75" customHeight="1">
      <c r="A232" s="1">
        <v>262.0</v>
      </c>
      <c r="B232" s="4" t="s">
        <v>230</v>
      </c>
      <c r="C232" s="4" t="str">
        <f>IFERROR(__xludf.DUMMYFUNCTION("GOOGLETRANSLATE(B232,""id"",""en"")"),"['Appear', 'Good', 'Change', 'WALPAPER']")</f>
        <v>['Appear', 'Good', 'Change', 'WALPAPER']</v>
      </c>
      <c r="D232" s="4">
        <v>5.0</v>
      </c>
    </row>
    <row r="233" ht="15.75" customHeight="1">
      <c r="A233" s="1">
        <v>264.0</v>
      </c>
      <c r="B233" s="4" t="s">
        <v>231</v>
      </c>
      <c r="C233" s="4" t="str">
        <f>IFERROR(__xludf.DUMMYFUNCTION("GOOGLETRANSLATE(B233,""id"",""en"")"),"['Tuker', 'Points', 'Addin', 'merchant']")</f>
        <v>['Tuker', 'Points', 'Addin', 'merchant']</v>
      </c>
      <c r="D233" s="4">
        <v>5.0</v>
      </c>
    </row>
    <row r="234" ht="15.75" customHeight="1">
      <c r="A234" s="1">
        <v>265.0</v>
      </c>
      <c r="B234" s="4" t="s">
        <v>232</v>
      </c>
      <c r="C234" s="4" t="str">
        <f>IFERROR(__xludf.DUMMYFUNCTION("GOOGLETRANSLATE(B234,""id"",""en"")"),"['Unsubcribe', 'Cancel', 'Channel', 'TamBHN', 'Nggk', 'Results',' Please ',' Help ',' Wrong ',' Yesterday ',' Tel ',' Nggk ',' Ket ',' ']")</f>
        <v>['Unsubcribe', 'Cancel', 'Channel', 'TamBHN', 'Nggk', 'Results',' Please ',' Help ',' Wrong ',' Yesterday ',' Tel ',' Nggk ',' Ket ',' ']</v>
      </c>
      <c r="D234" s="4">
        <v>1.0</v>
      </c>
    </row>
    <row r="235" ht="15.75" customHeight="1">
      <c r="A235" s="1">
        <v>266.0</v>
      </c>
      <c r="B235" s="4" t="s">
        <v>233</v>
      </c>
      <c r="C235" s="4" t="str">
        <f>IFERROR(__xludf.DUMMYFUNCTION("GOOGLETRANSLATE(B235,""id"",""en"")"),"['', 'smakin', 'smakin', 'bad', 'please', 'good', 'moved', 'provider', '']")</f>
        <v>['', 'smakin', 'smakin', 'bad', 'please', 'good', 'moved', 'provider', '']</v>
      </c>
      <c r="D235" s="4">
        <v>1.0</v>
      </c>
    </row>
    <row r="236" ht="15.75" customHeight="1">
      <c r="A236" s="1">
        <v>267.0</v>
      </c>
      <c r="B236" s="4" t="s">
        <v>234</v>
      </c>
      <c r="C236" s="4" t="str">
        <f>IFERROR(__xludf.DUMMYFUNCTION("GOOGLETRANSLATE(B236,""id"",""en"")"),"['Report', 'Disturbs', 'Application', 'Response', 'Fast', 'Mantap', 'Indihome']")</f>
        <v>['Report', 'Disturbs', 'Application', 'Response', 'Fast', 'Mantap', 'Indihome']</v>
      </c>
      <c r="D236" s="4">
        <v>5.0</v>
      </c>
    </row>
    <row r="237" ht="15.75" customHeight="1">
      <c r="A237" s="1">
        <v>268.0</v>
      </c>
      <c r="B237" s="4" t="s">
        <v>235</v>
      </c>
      <c r="C237" s="4" t="str">
        <f>IFERROR(__xludf.DUMMYFUNCTION("GOOGLETRANSLATE(B237,""id"",""en"")"),"['Pay', 'tags', 'easy', 'application', 'gausah', 'home', 'steady']")</f>
        <v>['Pay', 'tags', 'easy', 'application', 'gausah', 'home', 'steady']</v>
      </c>
      <c r="D237" s="4">
        <v>5.0</v>
      </c>
    </row>
    <row r="238" ht="15.75" customHeight="1">
      <c r="A238" s="1">
        <v>269.0</v>
      </c>
      <c r="B238" s="4" t="s">
        <v>236</v>
      </c>
      <c r="C238" s="4" t="str">
        <f>IFERROR(__xludf.DUMMYFUNCTION("GOOGLETRANSLATE(B238,""id"",""en"")"),"['easy', 'practical', 'home']")</f>
        <v>['easy', 'practical', 'home']</v>
      </c>
      <c r="D238" s="4">
        <v>5.0</v>
      </c>
    </row>
    <row r="239" ht="15.75" customHeight="1">
      <c r="A239" s="1">
        <v>270.0</v>
      </c>
      <c r="B239" s="4" t="s">
        <v>237</v>
      </c>
      <c r="C239" s="4" t="str">
        <f>IFERROR(__xludf.DUMMYFUNCTION("GOOGLETRANSLATE(B239,""id"",""en"")"),"['easy', 'report', 'complained', 'easy', 'love', 'note']")</f>
        <v>['easy', 'report', 'complained', 'easy', 'love', 'note']</v>
      </c>
      <c r="D239" s="4">
        <v>5.0</v>
      </c>
    </row>
    <row r="240" ht="15.75" customHeight="1">
      <c r="A240" s="1">
        <v>271.0</v>
      </c>
      <c r="B240" s="4" t="s">
        <v>238</v>
      </c>
      <c r="C240" s="4" t="str">
        <f>IFERROR(__xludf.DUMMYFUNCTION("GOOGLETRANSLATE(B240,""id"",""en"")"),"['easy', 'subscribe']")</f>
        <v>['easy', 'subscribe']</v>
      </c>
      <c r="D240" s="4">
        <v>5.0</v>
      </c>
    </row>
    <row r="241" ht="15.75" customHeight="1">
      <c r="A241" s="1">
        <v>272.0</v>
      </c>
      <c r="B241" s="4" t="s">
        <v>239</v>
      </c>
      <c r="C241" s="4" t="str">
        <f>IFERROR(__xludf.DUMMYFUNCTION("GOOGLETRANSLATE(B241,""id"",""en"")"),"['mantappp', 'success']")</f>
        <v>['mantappp', 'success']</v>
      </c>
      <c r="D241" s="4">
        <v>5.0</v>
      </c>
    </row>
    <row r="242" ht="15.75" customHeight="1">
      <c r="A242" s="1">
        <v>273.0</v>
      </c>
      <c r="B242" s="4" t="s">
        <v>240</v>
      </c>
      <c r="C242" s="4" t="str">
        <f>IFERROR(__xludf.DUMMYFUNCTION("GOOGLETRANSLATE(B242,""id"",""en"")"),"['Alhamdulillah', 'Indihome', 'smooth', 'right', 'already', 'report', 'Disturbs', 'Thanks', ""]")</f>
        <v>['Alhamdulillah', 'Indihome', 'smooth', 'right', 'already', 'report', 'Disturbs', 'Thanks', "]</v>
      </c>
      <c r="D242" s="4">
        <v>5.0</v>
      </c>
    </row>
    <row r="243" ht="15.75" customHeight="1">
      <c r="A243" s="1">
        <v>274.0</v>
      </c>
      <c r="B243" s="4" t="s">
        <v>241</v>
      </c>
      <c r="C243" s="4" t="str">
        <f>IFERROR(__xludf.DUMMYFUNCTION("GOOGLETRANSLATE(B243,""id"",""en"")"),"['Ken', 'Refund', 'Need', 'Sad']")</f>
        <v>['Ken', 'Refund', 'Need', 'Sad']</v>
      </c>
      <c r="D243" s="4">
        <v>1.0</v>
      </c>
    </row>
    <row r="244" ht="15.75" customHeight="1">
      <c r="A244" s="1">
        <v>275.0</v>
      </c>
      <c r="B244" s="4" t="s">
        <v>242</v>
      </c>
      <c r="C244" s="4" t="str">
        <f>IFERROR(__xludf.DUMMYFUNCTION("GOOGLETRANSLATE(B244,""id"",""en"")"),"['wifi', 'sundala', 'comeback']")</f>
        <v>['wifi', 'sundala', 'comeback']</v>
      </c>
      <c r="D244" s="4">
        <v>1.0</v>
      </c>
    </row>
    <row r="245" ht="15.75" customHeight="1">
      <c r="A245" s="1">
        <v>276.0</v>
      </c>
      <c r="B245" s="4" t="s">
        <v>243</v>
      </c>
      <c r="C245" s="4" t="str">
        <f>IFERROR(__xludf.DUMMYFUNCTION("GOOGLETRANSLATE(B245,""id"",""en"")"),"['Good', 'suwun']")</f>
        <v>['Good', 'suwun']</v>
      </c>
      <c r="D245" s="4">
        <v>5.0</v>
      </c>
    </row>
    <row r="246" ht="15.75" customHeight="1">
      <c r="A246" s="1">
        <v>277.0</v>
      </c>
      <c r="B246" s="4" t="s">
        <v>244</v>
      </c>
      <c r="C246" s="4" t="str">
        <f>IFERROR(__xludf.DUMMYFUNCTION("GOOGLETRANSLATE(B246,""id"",""en"")"),"['Month', 'Disgueness', 'Notif', 'Los', 'Modem', 'Disturbs']")</f>
        <v>['Month', 'Disgueness', 'Notif', 'Los', 'Modem', 'Disturbs']</v>
      </c>
      <c r="D246" s="4">
        <v>1.0</v>
      </c>
    </row>
    <row r="247" ht="15.75" customHeight="1">
      <c r="A247" s="1">
        <v>278.0</v>
      </c>
      <c r="B247" s="4" t="s">
        <v>245</v>
      </c>
      <c r="C247" s="4" t="str">
        <f>IFERROR(__xludf.DUMMYFUNCTION("GOOGLETRANSLATE(B247,""id"",""en"")"),"['beefatan']")</f>
        <v>['beefatan']</v>
      </c>
      <c r="D247" s="4">
        <v>5.0</v>
      </c>
    </row>
    <row r="248" ht="15.75" customHeight="1">
      <c r="A248" s="1">
        <v>279.0</v>
      </c>
      <c r="B248" s="4" t="s">
        <v>246</v>
      </c>
      <c r="C248" s="4" t="str">
        <f>IFERROR(__xludf.DUMMYFUNCTION("GOOGLETRANSLATE(B248,""id"",""en"")"),"['Ribet', 'Many', 'Terms', '']")</f>
        <v>['Ribet', 'Many', 'Terms', '']</v>
      </c>
      <c r="D248" s="4">
        <v>1.0</v>
      </c>
    </row>
    <row r="249" ht="15.75" customHeight="1">
      <c r="A249" s="1">
        <v>281.0</v>
      </c>
      <c r="B249" s="4" t="s">
        <v>247</v>
      </c>
      <c r="C249" s="4" t="str">
        <f>IFERROR(__xludf.DUMMYFUNCTION("GOOGLETRANSLATE(B249,""id"",""en"")"),"['net', 'net', 'OTP', 'JLN', 'Hasanuddin', 'Arenalama', 'Timika', 'Papua', 'neighbor', 'Moon', 'Pakek', 'Lazy', ' dislodged ',' because ',' fine ',' ken ',' pairs', 'full', 'just', 'klw', 'active', 'month', 'followed', 'subscribe', 'visit' , 'Karna', 'Rej"&amp;"a', 'like', 'Lift', 'Klau', 'via', 'phone', ""]")</f>
        <v>['net', 'net', 'OTP', 'JLN', 'Hasanuddin', 'Arenalama', 'Timika', 'Papua', 'neighbor', 'Moon', 'Pakek', 'Lazy', ' dislodged ',' because ',' fine ',' ken ',' pairs', 'full', 'just', 'klw', 'active', 'month', 'followed', 'subscribe', 'visit' , 'Karna', 'Reja', 'like', 'Lift', 'Klau', 'via', 'phone', "]</v>
      </c>
      <c r="D249" s="4">
        <v>1.0</v>
      </c>
    </row>
    <row r="250" ht="15.75" customHeight="1">
      <c r="A250" s="1">
        <v>282.0</v>
      </c>
      <c r="B250" s="4" t="s">
        <v>248</v>
      </c>
      <c r="C250" s="4" t="str">
        <f>IFERROR(__xludf.DUMMYFUNCTION("GOOGLETRANSLATE(B250,""id"",""en"")"),"['here', 'loss', 'pulp', 'bet', 'net', 'nyee', 'indihomo', 'move', 'lahh', 'split', 'net', 'defective']")</f>
        <v>['here', 'loss', 'pulp', 'bet', 'net', 'nyee', 'indihomo', 'move', 'lahh', 'split', 'net', 'defective']</v>
      </c>
      <c r="D250" s="4">
        <v>1.0</v>
      </c>
    </row>
    <row r="251" ht="15.75" customHeight="1">
      <c r="A251" s="1">
        <v>284.0</v>
      </c>
      <c r="B251" s="4" t="s">
        <v>249</v>
      </c>
      <c r="C251" s="4" t="str">
        <f>IFERROR(__xludf.DUMMYFUNCTION("GOOGLETRANSLATE(B251,""id"",""en"")"),"['signal', 'ugly', 'right', 'times', 'pairs', 'play', 'mobile', 'legend', 'signal', 'signal', 'steady']")</f>
        <v>['signal', 'ugly', 'right', 'times', 'pairs', 'play', 'mobile', 'legend', 'signal', 'signal', 'steady']</v>
      </c>
      <c r="D251" s="4">
        <v>3.0</v>
      </c>
    </row>
    <row r="252" ht="15.75" customHeight="1">
      <c r="A252" s="1">
        <v>285.0</v>
      </c>
      <c r="B252" s="4" t="s">
        <v>250</v>
      </c>
      <c r="C252" s="4" t="str">
        <f>IFERROR(__xludf.DUMMYFUNCTION("GOOGLETRANSLATE(B252,""id"",""en"")"),"['Out', 'Pay', 'Internet', 'Lot', 'Move', 'Gppa']")</f>
        <v>['Out', 'Pay', 'Internet', 'Lot', 'Move', 'Gppa']</v>
      </c>
      <c r="D252" s="4">
        <v>1.0</v>
      </c>
    </row>
    <row r="253" ht="15.75" customHeight="1">
      <c r="A253" s="1">
        <v>286.0</v>
      </c>
      <c r="B253" s="4" t="s">
        <v>251</v>
      </c>
      <c r="C253" s="4" t="str">
        <f>IFERROR(__xludf.DUMMYFUNCTION("GOOGLETRANSLATE(B253,""id"",""en"")"),"['Ampassssssss']")</f>
        <v>['Ampassssssss']</v>
      </c>
      <c r="D253" s="4">
        <v>1.0</v>
      </c>
    </row>
    <row r="254" ht="15.75" customHeight="1">
      <c r="A254" s="1">
        <v>287.0</v>
      </c>
      <c r="B254" s="4" t="s">
        <v>252</v>
      </c>
      <c r="C254" s="4" t="str">
        <f>IFERROR(__xludf.DUMMYFUNCTION("GOOGLETRANSLATE(B254,""id"",""en"")"),"['Net', 'Severe', 'Please', 'Good', 'Nares',' CMA ',' Mnta ',' Up ',' Mbps', 'Doang', 'Price', 'Push', ' Thends', '']")</f>
        <v>['Net', 'Severe', 'Please', 'Good', 'Nares',' CMA ',' Mnta ',' Up ',' Mbps', 'Doang', 'Price', 'Push', ' Thends', '']</v>
      </c>
      <c r="D254" s="4">
        <v>1.0</v>
      </c>
    </row>
    <row r="255" ht="15.75" customHeight="1">
      <c r="A255" s="1">
        <v>288.0</v>
      </c>
      <c r="B255" s="4" t="s">
        <v>253</v>
      </c>
      <c r="C255" s="4" t="str">
        <f>IFERROR(__xludf.DUMMYFUNCTION("GOOGLETRANSLATE(B255,""id"",""en"")"),"['Internet', 'Ama', 'application', 'idiot']")</f>
        <v>['Internet', 'Ama', 'application', 'idiot']</v>
      </c>
      <c r="D255" s="4">
        <v>1.0</v>
      </c>
    </row>
    <row r="256" ht="15.75" customHeight="1">
      <c r="A256" s="1">
        <v>289.0</v>
      </c>
      <c r="B256" s="4" t="s">
        <v>254</v>
      </c>
      <c r="C256" s="4" t="str">
        <f>IFERROR(__xludf.DUMMYFUNCTION("GOOGLETRANSLATE(B256,""id"",""en"")"),"['Hand', 'Adu', 'Application', '']")</f>
        <v>['Hand', 'Adu', 'Application', '']</v>
      </c>
      <c r="D256" s="4">
        <v>1.0</v>
      </c>
    </row>
    <row r="257" ht="15.75" customHeight="1">
      <c r="A257" s="1">
        <v>290.0</v>
      </c>
      <c r="B257" s="4" t="s">
        <v>130</v>
      </c>
      <c r="C257" s="4" t="str">
        <f>IFERROR(__xludf.DUMMYFUNCTION("GOOGLETRANSLATE(B257,""id"",""en"")"),"Of course")</f>
        <v>Of course</v>
      </c>
      <c r="D257" s="4">
        <v>5.0</v>
      </c>
    </row>
    <row r="258" ht="15.75" customHeight="1">
      <c r="A258" s="1">
        <v>291.0</v>
      </c>
      <c r="B258" s="4" t="s">
        <v>255</v>
      </c>
      <c r="C258" s="4" t="str">
        <f>IFERROR(__xludf.DUMMYFUNCTION("GOOGLETRANSLATE(B258,""id"",""en"")"),"['Bagimana', 'Top', 'Indihome']")</f>
        <v>['Bagimana', 'Top', 'Indihome']</v>
      </c>
      <c r="D258" s="4">
        <v>1.0</v>
      </c>
    </row>
    <row r="259" ht="15.75" customHeight="1">
      <c r="A259" s="1">
        <v>292.0</v>
      </c>
      <c r="B259" s="4" t="s">
        <v>256</v>
      </c>
      <c r="C259" s="4" t="str">
        <f>IFERROR(__xludf.DUMMYFUNCTION("GOOGLETRANSLATE(B259,""id"",""en"")"),"['Lot', 'really', 'use', 'already', 'limit', 'restart', 'wifinya', 'replace', 'password', 'tetep', 'lot', 'ajaaa', ' believe ',' bang ',' effort ',' scared ',' ngeleg ']")</f>
        <v>['Lot', 'really', 'use', 'already', 'limit', 'restart', 'wifinya', 'replace', 'password', 'tetep', 'lot', 'ajaaa', ' believe ',' bang ',' effort ',' scared ',' ngeleg ']</v>
      </c>
      <c r="D259" s="4">
        <v>1.0</v>
      </c>
    </row>
    <row r="260" ht="15.75" customHeight="1">
      <c r="A260" s="1">
        <v>293.0</v>
      </c>
      <c r="B260" s="4" t="s">
        <v>257</v>
      </c>
      <c r="C260" s="4" t="str">
        <f>IFERROR(__xludf.DUMMYFUNCTION("GOOGLETRANSLATE(B260,""id"",""en"")"),"['Provider', 'Kek']")</f>
        <v>['Provider', 'Kek']</v>
      </c>
      <c r="D260" s="4">
        <v>5.0</v>
      </c>
    </row>
    <row r="261" ht="15.75" customHeight="1">
      <c r="A261" s="1">
        <v>294.0</v>
      </c>
      <c r="B261" s="4" t="s">
        <v>258</v>
      </c>
      <c r="C261" s="4" t="str">
        <f>IFERROR(__xludf.DUMMYFUNCTION("GOOGLETRANSLATE(B261,""id"",""en"")"),"['poor', 'Indihome', 'Indihomo', 'ganguan', 'already', 'week', 'solution', 'compensation', 'poor', 'disappointed', 'service', 'promise', ' Promise ',' Mulu ']")</f>
        <v>['poor', 'Indihome', 'Indihomo', 'ganguan', 'already', 'week', 'solution', 'compensation', 'poor', 'disappointed', 'service', 'promise', ' Promise ',' Mulu ']</v>
      </c>
      <c r="D261" s="4">
        <v>1.0</v>
      </c>
    </row>
    <row r="262" ht="15.75" customHeight="1">
      <c r="A262" s="1">
        <v>295.0</v>
      </c>
      <c r="B262" s="4" t="s">
        <v>259</v>
      </c>
      <c r="C262" s="4" t="str">
        <f>IFERROR(__xludf.DUMMYFUNCTION("GOOGLETRANSLATE(B262,""id"",""en"")"),"['bad', 'WLAN', 'tidaj', 'stable', 'snake', 'hot', 'masang', 'mbps',' kirain ',' low ',' stable ',' mbps', ' net ',' snail ']")</f>
        <v>['bad', 'WLAN', 'tidaj', 'stable', 'snake', 'hot', 'masang', 'mbps',' kirain ',' low ',' stable ',' mbps', ' net ',' snail ']</v>
      </c>
      <c r="D262" s="4">
        <v>1.0</v>
      </c>
    </row>
    <row r="263" ht="15.75" customHeight="1">
      <c r="A263" s="1">
        <v>296.0</v>
      </c>
      <c r="B263" s="4" t="s">
        <v>260</v>
      </c>
      <c r="C263" s="4" t="str">
        <f>IFERROR(__xludf.DUMMYFUNCTION("GOOGLETRANSLATE(B263,""id"",""en"")"),"['Application', 'LEG']")</f>
        <v>['Application', 'LEG']</v>
      </c>
      <c r="D263" s="4">
        <v>1.0</v>
      </c>
    </row>
    <row r="264" ht="15.75" customHeight="1">
      <c r="A264" s="1">
        <v>297.0</v>
      </c>
      <c r="B264" s="4" t="s">
        <v>261</v>
      </c>
      <c r="C264" s="4" t="str">
        <f>IFERROR(__xludf.DUMMYFUNCTION("GOOGLETRANSLATE(B264,""id"",""en"")"),"['Disappointed', 'quality', 'signal', 'Indihome', 'ugly', 'garbage', 'fast', 'lot', 'already', ""]")</f>
        <v>['Disappointed', 'quality', 'signal', 'Indihome', 'ugly', 'garbage', 'fast', 'lot', 'already', "]</v>
      </c>
      <c r="D264" s="4">
        <v>1.0</v>
      </c>
    </row>
    <row r="265" ht="15.75" customHeight="1">
      <c r="A265" s="1">
        <v>298.0</v>
      </c>
      <c r="B265" s="4" t="s">
        <v>262</v>
      </c>
      <c r="C265" s="4" t="str">
        <f>IFERROR(__xludf.DUMMYFUNCTION("GOOGLETRANSLATE(B265,""id"",""en"")"),"['application', 'good', 'complete', 'easy', '']")</f>
        <v>['application', 'good', 'complete', 'easy', '']</v>
      </c>
      <c r="D265" s="4">
        <v>5.0</v>
      </c>
    </row>
    <row r="266" ht="15.75" customHeight="1">
      <c r="A266" s="1">
        <v>299.0</v>
      </c>
      <c r="B266" s="4" t="s">
        <v>263</v>
      </c>
      <c r="C266" s="4" t="str">
        <f>IFERROR(__xludf.DUMMYFUNCTION("GOOGLETRANSLATE(B266,""id"",""en"")"),"['Please', 'Sorry', 'ugly', 'Application', 'Create', 'command', 'Many', 'Error', 'Error', 'Verification', 'System', 'Lola', ' gemes', 'deh', 'application', 'create', 'command', 'easy', 'tip', 'tip', 'palesan', 'human', 'error', ""]")</f>
        <v>['Please', 'Sorry', 'ugly', 'Application', 'Create', 'command', 'Many', 'Error', 'Error', 'Verification', 'System', 'Lola', ' gemes', 'deh', 'application', 'create', 'command', 'easy', 'tip', 'tip', 'palesan', 'human', 'error', "]</v>
      </c>
      <c r="D266" s="4">
        <v>1.0</v>
      </c>
    </row>
    <row r="267" ht="15.75" customHeight="1">
      <c r="A267" s="1">
        <v>300.0</v>
      </c>
      <c r="B267" s="4" t="s">
        <v>264</v>
      </c>
      <c r="C267" s="4" t="str">
        <f>IFERROR(__xludf.DUMMYFUNCTION("GOOGLETRANSLATE(B267,""id"",""en"")"),"['Process', 'serve', 'disturbing', 'fast', 'response', 'bbrp', 'disturbing', 'reset', 'love', 'star', ""]")</f>
        <v>['Process', 'serve', 'disturbing', 'fast', 'response', 'bbrp', 'disturbing', 'reset', 'love', 'star', "]</v>
      </c>
      <c r="D267" s="4">
        <v>3.0</v>
      </c>
    </row>
    <row r="268" ht="15.75" customHeight="1">
      <c r="A268" s="1">
        <v>301.0</v>
      </c>
      <c r="B268" s="4" t="s">
        <v>265</v>
      </c>
      <c r="C268" s="4" t="str">
        <f>IFERROR(__xludf.DUMMYFUNCTION("GOOGLETRANSLATE(B268,""id"",""en"")"),"['', 'Pay', 'Dead', 'Pay', 'Lot', 'Disappointed', 'Najis', ""]")</f>
        <v>['', 'Pay', 'Dead', 'Pay', 'Lot', 'Disappointed', 'Najis', "]</v>
      </c>
      <c r="D268" s="4">
        <v>1.0</v>
      </c>
    </row>
    <row r="269" ht="15.75" customHeight="1">
      <c r="A269" s="1">
        <v>302.0</v>
      </c>
      <c r="B269" s="4" t="s">
        <v>266</v>
      </c>
      <c r="C269" s="4" t="str">
        <f>IFERROR(__xludf.DUMMYFUNCTION("GOOGLETRANSLATE(B269,""id"",""en"")"),"['Indihome', 'dilapidated', 'really', 'Jump', 'ping', 'ms',' ms', 'play', 'game', 'comfortable', 'recommend', 'pairs',' House']")</f>
        <v>['Indihome', 'dilapidated', 'really', 'Jump', 'ping', 'ms',' ms', 'play', 'game', 'comfortable', 'recommend', 'pairs',' House']</v>
      </c>
      <c r="D269" s="4">
        <v>1.0</v>
      </c>
    </row>
    <row r="270" ht="15.75" customHeight="1">
      <c r="A270" s="1">
        <v>303.0</v>
      </c>
      <c r="B270" s="4" t="s">
        <v>267</v>
      </c>
      <c r="C270" s="4" t="str">
        <f>IFERROR(__xludf.DUMMYFUNCTION("GOOGLETRANSLATE(B270,""id"",""en"")"),"['Alhamdulillah', 'application', 'myindihome', 'easy', 'product', 'indihome', 'promo', 'new']")</f>
        <v>['Alhamdulillah', 'application', 'myindihome', 'easy', 'product', 'indihome', 'promo', 'new']</v>
      </c>
      <c r="D270" s="4">
        <v>5.0</v>
      </c>
    </row>
    <row r="271" ht="15.75" customHeight="1">
      <c r="A271" s="1">
        <v>304.0</v>
      </c>
      <c r="B271" s="4" t="s">
        <v>268</v>
      </c>
      <c r="C271" s="4" t="str">
        <f>IFERROR(__xludf.DUMMYFUNCTION("GOOGLETRANSLATE(B271,""id"",""en"")"),"['Net', 'Indihom', 'ugly', 'really', 'entered', 'February', 'Nankan', 'Suda', 'Ride', 'Mbps',' Kalu ',' Ngini ',' Then ',' Pay ',' Net ',' Nga ',' Perna ',' Good ',' Petujiknya ',' Indihom ', ""]")</f>
        <v>['Net', 'Indihom', 'ugly', 'really', 'entered', 'February', 'Nankan', 'Suda', 'Ride', 'Mbps',' Kalu ',' Ngini ',' Then ',' Pay ',' Net ',' Nga ',' Perna ',' Good ',' Petujiknya ',' Indihom ', "]</v>
      </c>
      <c r="D271" s="4">
        <v>1.0</v>
      </c>
    </row>
    <row r="272" ht="15.75" customHeight="1">
      <c r="A272" s="1">
        <v>306.0</v>
      </c>
      <c r="B272" s="4" t="s">
        <v>269</v>
      </c>
      <c r="C272" s="4" t="str">
        <f>IFERROR(__xludf.DUMMYFUNCTION("GOOGLETRANSLATE(B272,""id"",""en"")"),"['Login', 'Indihom']")</f>
        <v>['Login', 'Indihom']</v>
      </c>
      <c r="D272" s="4">
        <v>1.0</v>
      </c>
    </row>
    <row r="273" ht="15.75" customHeight="1">
      <c r="A273" s="1">
        <v>307.0</v>
      </c>
      <c r="B273" s="4" t="s">
        <v>270</v>
      </c>
      <c r="C273" s="4" t="str">
        <f>IFERROR(__xludf.DUMMYFUNCTION("GOOGLETRANSLATE(B273,""id"",""en"")"),"['Good', 'good', 'level', '']")</f>
        <v>['Good', 'good', 'level', '']</v>
      </c>
      <c r="D273" s="4">
        <v>5.0</v>
      </c>
    </row>
    <row r="274" ht="15.75" customHeight="1">
      <c r="A274" s="1">
        <v>308.0</v>
      </c>
      <c r="B274" s="4" t="s">
        <v>271</v>
      </c>
      <c r="C274" s="4" t="str">
        <f>IFERROR(__xludf.DUMMYFUNCTION("GOOGLETRANSLATE(B274,""id"",""en"")"),"['Good', 'Job', 'Indihome']")</f>
        <v>['Good', 'Job', 'Indihome']</v>
      </c>
      <c r="D274" s="4">
        <v>5.0</v>
      </c>
    </row>
    <row r="275" ht="15.75" customHeight="1">
      <c r="A275" s="1">
        <v>309.0</v>
      </c>
      <c r="B275" s="4" t="s">
        <v>272</v>
      </c>
      <c r="C275" s="4" t="str">
        <f>IFERROR(__xludf.DUMMYFUNCTION("GOOGLETRANSLATE(B275,""id"",""en"")"),"['SERBA', 'Easy', 'THX', '']")</f>
        <v>['SERBA', 'Easy', 'THX', '']</v>
      </c>
      <c r="D275" s="4">
        <v>5.0</v>
      </c>
    </row>
    <row r="276" ht="15.75" customHeight="1">
      <c r="A276" s="1">
        <v>310.0</v>
      </c>
      <c r="B276" s="4" t="s">
        <v>273</v>
      </c>
      <c r="C276" s="4" t="str">
        <f>IFERROR(__xludf.DUMMYFUNCTION("GOOGLETRANSLATE(B276,""id"",""en"")"),"['Please', 'Level', '']")</f>
        <v>['Please', 'Level', '']</v>
      </c>
      <c r="D276" s="4">
        <v>5.0</v>
      </c>
    </row>
    <row r="277" ht="15.75" customHeight="1">
      <c r="A277" s="1">
        <v>311.0</v>
      </c>
      <c r="B277" s="4" t="s">
        <v>274</v>
      </c>
      <c r="C277" s="4" t="str">
        <f>IFERROR(__xludf.DUMMYFUNCTION("GOOGLETRANSLATE(B277,""id"",""en"")"),"['Good', 'Top', 'Markotop', ""]")</f>
        <v>['Good', 'Top', 'Markotop', "]</v>
      </c>
      <c r="D277" s="4">
        <v>5.0</v>
      </c>
    </row>
    <row r="278" ht="15.75" customHeight="1">
      <c r="A278" s="1">
        <v>312.0</v>
      </c>
      <c r="B278" s="4" t="s">
        <v>275</v>
      </c>
      <c r="C278" s="4" t="str">
        <f>IFERROR(__xludf.DUMMYFUNCTION("GOOGLETRANSLATE(B278,""id"",""en"")"),"['Application', 'Help', 'When', 'Pandemic', 'Report', 'Disturbs',' Kece ',' Tagih ',' Add ',' Package ',' Application ',' Plasa ',' Telkom ',' close ',' hope ',' application ',' update ',' cust ',' lay ',' easy ',' use ',' success', 'indohome', ""]")</f>
        <v>['Application', 'Help', 'When', 'Pandemic', 'Report', 'Disturbs',' Kece ',' Tagih ',' Add ',' Package ',' Application ',' Plasa ',' Telkom ',' close ',' hope ',' application ',' update ',' cust ',' lay ',' easy ',' use ',' success', 'indohome', "]</v>
      </c>
      <c r="D278" s="4">
        <v>5.0</v>
      </c>
    </row>
    <row r="279" ht="15.75" customHeight="1">
      <c r="A279" s="1">
        <v>313.0</v>
      </c>
      <c r="B279" s="4" t="s">
        <v>276</v>
      </c>
      <c r="C279" s="4" t="str">
        <f>IFERROR(__xludf.DUMMYFUNCTION("GOOGLETRANSLATE(B279,""id"",""en"")"),"['Application', 'Update', 'Report', 'Disturbs',' Fast ',' Progress', 'Tomorrow', 'Day', 'Moga', 'Home', 'Appear', 'Easy', ' People ',' Success', 'Telkom', 'Feedback', 'Customer', '']")</f>
        <v>['Application', 'Update', 'Report', 'Disturbs',' Fast ',' Progress', 'Tomorrow', 'Day', 'Moga', 'Home', 'Appear', 'Easy', ' People ',' Success', 'Telkom', 'Feedback', 'Customer', '']</v>
      </c>
      <c r="D279" s="4">
        <v>5.0</v>
      </c>
    </row>
    <row r="280" ht="15.75" customHeight="1">
      <c r="A280" s="1">
        <v>314.0</v>
      </c>
      <c r="B280" s="4" t="s">
        <v>277</v>
      </c>
      <c r="C280" s="4" t="str">
        <f>IFERROR(__xludf.DUMMYFUNCTION("GOOGLETRANSLATE(B280,""id"",""en"")"),"['Nice', 'apps', 'helpful']")</f>
        <v>['Nice', 'apps', 'helpful']</v>
      </c>
      <c r="D280" s="4">
        <v>5.0</v>
      </c>
    </row>
    <row r="281" ht="15.75" customHeight="1">
      <c r="A281" s="1">
        <v>315.0</v>
      </c>
      <c r="B281" s="4" t="s">
        <v>278</v>
      </c>
      <c r="C281" s="4" t="str">
        <f>IFERROR(__xludf.DUMMYFUNCTION("GOOGLETRANSLATE(B281,""id"",""en"")"),"['Hadehh', 'Pay', 'expensive', 'wifi', 'Lot', 'Bener']")</f>
        <v>['Hadehh', 'Pay', 'expensive', 'wifi', 'Lot', 'Bener']</v>
      </c>
      <c r="D281" s="4">
        <v>1.0</v>
      </c>
    </row>
    <row r="282" ht="15.75" customHeight="1">
      <c r="A282" s="1">
        <v>316.0</v>
      </c>
      <c r="B282" s="4" t="s">
        <v>279</v>
      </c>
      <c r="C282" s="4" t="str">
        <f>IFERROR(__xludf.DUMMYFUNCTION("GOOGLETRANSLATE(B282,""id"",""en"")"),"['application', 'udh', 'cool', 'bnget', 'please', 'good', 'indihomen', '']")</f>
        <v>['application', 'udh', 'cool', 'bnget', 'please', 'good', 'indihomen', '']</v>
      </c>
      <c r="D282" s="4">
        <v>5.0</v>
      </c>
    </row>
    <row r="283" ht="15.75" customHeight="1">
      <c r="A283" s="1">
        <v>317.0</v>
      </c>
      <c r="B283" s="4" t="s">
        <v>280</v>
      </c>
      <c r="C283" s="4" t="str">
        <f>IFERROR(__xludf.DUMMYFUNCTION("GOOGLETRANSLATE(B283,""id"",""en"")"),"['application', 'help']")</f>
        <v>['application', 'help']</v>
      </c>
      <c r="D283" s="4">
        <v>5.0</v>
      </c>
    </row>
    <row r="284" ht="15.75" customHeight="1">
      <c r="A284" s="1">
        <v>318.0</v>
      </c>
      <c r="B284" s="4" t="s">
        <v>281</v>
      </c>
      <c r="C284" s="4" t="str">
        <f>IFERROR(__xludf.DUMMYFUNCTION("GOOGLETRANSLATE(B284,""id"",""en"")"),"['application', 'easy', 'help']")</f>
        <v>['application', 'easy', 'help']</v>
      </c>
      <c r="D284" s="4">
        <v>5.0</v>
      </c>
    </row>
    <row r="285" ht="15.75" customHeight="1">
      <c r="A285" s="1">
        <v>319.0</v>
      </c>
      <c r="B285" s="4" t="s">
        <v>282</v>
      </c>
      <c r="C285" s="4" t="str">
        <f>IFERROR(__xludf.DUMMYFUNCTION("GOOGLETRANSLATE(B285,""id"",""en"")"),"['handsome']")</f>
        <v>['handsome']</v>
      </c>
      <c r="D285" s="4">
        <v>5.0</v>
      </c>
    </row>
    <row r="286" ht="15.75" customHeight="1">
      <c r="A286" s="1">
        <v>320.0</v>
      </c>
      <c r="B286" s="4" t="s">
        <v>283</v>
      </c>
      <c r="C286" s="4" t="str">
        <f>IFERROR(__xludf.DUMMYFUNCTION("GOOGLETRANSLATE(B286,""id"",""en"")"),"['Add', 'Features',' Block ',' Gagu ',' Plis', 'Numpang', 'wifi', 'permission', 'please', 'admin', 'love', 'features',' thanks']")</f>
        <v>['Add', 'Features',' Block ',' Gagu ',' Plis', 'Numpang', 'wifi', 'permission', 'please', 'admin', 'love', 'features',' thanks']</v>
      </c>
      <c r="D286" s="4">
        <v>1.0</v>
      </c>
    </row>
    <row r="287" ht="15.75" customHeight="1">
      <c r="A287" s="1">
        <v>322.0</v>
      </c>
      <c r="B287" s="4" t="s">
        <v>284</v>
      </c>
      <c r="C287" s="4" t="str">
        <f>IFERROR(__xludf.DUMMYFUNCTION("GOOGLETRANSLATE(B287,""id"",""en"")"),"['easy', 'check', 'check', 'use', 'check', 'tap', 'report', 'complained']")</f>
        <v>['easy', 'check', 'check', 'use', 'check', 'tap', 'report', 'complained']</v>
      </c>
      <c r="D287" s="4">
        <v>5.0</v>
      </c>
    </row>
    <row r="288" ht="15.75" customHeight="1">
      <c r="A288" s="1">
        <v>323.0</v>
      </c>
      <c r="B288" s="4" t="s">
        <v>285</v>
      </c>
      <c r="C288" s="4" t="str">
        <f>IFERROR(__xludf.DUMMYFUNCTION("GOOGLETRANSLATE(B288,""id"",""en"")"),"['Easy', 'report', 'complained']")</f>
        <v>['Easy', 'report', 'complained']</v>
      </c>
      <c r="D288" s="4">
        <v>5.0</v>
      </c>
    </row>
    <row r="289" ht="15.75" customHeight="1">
      <c r="A289" s="1">
        <v>324.0</v>
      </c>
      <c r="B289" s="4" t="s">
        <v>286</v>
      </c>
      <c r="C289" s="4" t="str">
        <f>IFERROR(__xludf.DUMMYFUNCTION("GOOGLETRANSLATE(B289,""id"",""en"")"),"['easy', 'check', 'use', 'indihome', 'check', 'tags', 'pay', 'tags', 'home']")</f>
        <v>['easy', 'check', 'use', 'indihome', 'check', 'tags', 'pay', 'tags', 'home']</v>
      </c>
      <c r="D289" s="4">
        <v>5.0</v>
      </c>
    </row>
    <row r="290" ht="15.75" customHeight="1">
      <c r="A290" s="1">
        <v>325.0</v>
      </c>
      <c r="B290" s="4" t="s">
        <v>287</v>
      </c>
      <c r="C290" s="4" t="str">
        <f>IFERROR(__xludf.DUMMYFUNCTION("GOOGLETRANSLATE(B290,""id"",""en"")"),"['Comfortable', 'Kece', 'Guna', 'Indihome']")</f>
        <v>['Comfortable', 'Kece', 'Guna', 'Indihome']</v>
      </c>
      <c r="D290" s="4">
        <v>5.0</v>
      </c>
    </row>
    <row r="291" ht="15.75" customHeight="1">
      <c r="A291" s="1">
        <v>326.0</v>
      </c>
      <c r="B291" s="4" t="s">
        <v>212</v>
      </c>
      <c r="C291" s="4" t="str">
        <f>IFERROR(__xludf.DUMMYFUNCTION("GOOGLETRANSLATE(B291,""id"",""en"")"),"['MUAS']")</f>
        <v>['MUAS']</v>
      </c>
      <c r="D291" s="4">
        <v>5.0</v>
      </c>
    </row>
    <row r="292" ht="15.75" customHeight="1">
      <c r="A292" s="1">
        <v>327.0</v>
      </c>
      <c r="B292" s="4" t="s">
        <v>288</v>
      </c>
      <c r="C292" s="4" t="str">
        <f>IFERROR(__xludf.DUMMYFUNCTION("GOOGLETRANSLATE(B292,""id"",""en"")"),"['mantao']")</f>
        <v>['mantao']</v>
      </c>
      <c r="D292" s="4">
        <v>5.0</v>
      </c>
    </row>
    <row r="293" ht="15.75" customHeight="1">
      <c r="A293" s="1">
        <v>329.0</v>
      </c>
      <c r="B293" s="4" t="s">
        <v>289</v>
      </c>
      <c r="C293" s="4" t="str">
        <f>IFERROR(__xludf.DUMMYFUNCTION("GOOGLETRANSLATE(B293,""id"",""en"")"),"['wifi', 'ajg', 'ngellag', 'work', 'take care', 'pay', 'number', 'take care', 'net', 'slow', 'rich', 'hair', ' DSSR ',' wifi ',' ajg ']")</f>
        <v>['wifi', 'ajg', 'ngellag', 'work', 'take care', 'pay', 'number', 'take care', 'net', 'slow', 'rich', 'hair', ' DSSR ',' wifi ',' ajg ']</v>
      </c>
      <c r="D293" s="4">
        <v>1.0</v>
      </c>
    </row>
    <row r="294" ht="15.75" customHeight="1">
      <c r="A294" s="1">
        <v>330.0</v>
      </c>
      <c r="B294" s="4" t="s">
        <v>290</v>
      </c>
      <c r="C294" s="4" t="str">
        <f>IFERROR(__xludf.DUMMYFUNCTION("GOOGLETRANSLATE(B294,""id"",""en"")"),"['Net', 'Sen', 'Mbps', 'Play', 'Game', 'Network', 'Just', 'Net', 'Home', ""]")</f>
        <v>['Net', 'Sen', 'Mbps', 'Play', 'Game', 'Network', 'Just', 'Net', 'Home', "]</v>
      </c>
      <c r="D294" s="4">
        <v>1.0</v>
      </c>
    </row>
    <row r="295" ht="15.75" customHeight="1">
      <c r="A295" s="1">
        <v>331.0</v>
      </c>
      <c r="B295" s="4" t="s">
        <v>291</v>
      </c>
      <c r="C295" s="4" t="str">
        <f>IFERROR(__xludf.DUMMYFUNCTION("GOOGLETRANSLATE(B295,""id"",""en"")"),"['steady', 'pay', 'month', 'get', 'Points', 'Thanks']")</f>
        <v>['steady', 'pay', 'month', 'get', 'Points', 'Thanks']</v>
      </c>
      <c r="D295" s="4">
        <v>5.0</v>
      </c>
    </row>
    <row r="296" ht="15.75" customHeight="1">
      <c r="A296" s="1">
        <v>332.0</v>
      </c>
      <c r="B296" s="4" t="s">
        <v>292</v>
      </c>
      <c r="C296" s="4" t="str">
        <f>IFERROR(__xludf.DUMMYFUNCTION("GOOGLETRANSLATE(B296,""id"",""en"")"),"['response', 'good', 'fast', 'obstacles', 'report', 'application', 'indihome', '']")</f>
        <v>['response', 'good', 'fast', 'obstacles', 'report', 'application', 'indihome', '']</v>
      </c>
      <c r="D296" s="4">
        <v>5.0</v>
      </c>
    </row>
    <row r="297" ht="15.75" customHeight="1">
      <c r="A297" s="1">
        <v>333.0</v>
      </c>
      <c r="B297" s="4" t="s">
        <v>108</v>
      </c>
      <c r="C297" s="4" t="str">
        <f>IFERROR(__xludf.DUMMYFUNCTION("GOOGLETRANSLATE(B297,""id"",""en"")"),"['', '']")</f>
        <v>['', '']</v>
      </c>
      <c r="D297" s="4">
        <v>4.0</v>
      </c>
    </row>
    <row r="298" ht="15.75" customHeight="1">
      <c r="A298" s="1">
        <v>334.0</v>
      </c>
      <c r="B298" s="4" t="s">
        <v>293</v>
      </c>
      <c r="C298" s="4" t="str">
        <f>IFERROR(__xludf.DUMMYFUNCTION("GOOGLETRANSLATE(B298,""id"",""en"")"),"['Direct', 'Subscribe', 'Indihome', 'Application', 'Practical', 'Fast', 'Process']")</f>
        <v>['Direct', 'Subscribe', 'Indihome', 'Application', 'Practical', 'Fast', 'Process']</v>
      </c>
      <c r="D298" s="4">
        <v>5.0</v>
      </c>
    </row>
    <row r="299" ht="15.75" customHeight="1">
      <c r="A299" s="1">
        <v>335.0</v>
      </c>
      <c r="B299" s="4" t="s">
        <v>294</v>
      </c>
      <c r="C299" s="4" t="str">
        <f>IFERROR(__xludf.DUMMYFUNCTION("GOOGLETRANSLATE(B299,""id"",""en"")"),"['poor', 'pairs', 'UDH', 'Disappointed', 'Tide', 'date', 'Feb', 'Feb', 'UDH', 'Error', 'huhftt', ""]")</f>
        <v>['poor', 'pairs', 'UDH', 'Disappointed', 'Tide', 'date', 'Feb', 'Feb', 'UDH', 'Error', 'huhftt', "]</v>
      </c>
      <c r="D299" s="4">
        <v>1.0</v>
      </c>
    </row>
    <row r="300" ht="15.75" customHeight="1">
      <c r="A300" s="1">
        <v>336.0</v>
      </c>
      <c r="B300" s="4" t="s">
        <v>295</v>
      </c>
      <c r="C300" s="4" t="str">
        <f>IFERROR(__xludf.DUMMYFUNCTION("GOOGLETRANSLATE(B300,""id"",""en"")"),"['Kece', 'application', 'easy', 'monitor', 'use', 'internet', 'wifi', 'indihome', 'gokil']")</f>
        <v>['Kece', 'application', 'easy', 'monitor', 'use', 'internet', 'wifi', 'indihome', 'gokil']</v>
      </c>
      <c r="D300" s="4">
        <v>5.0</v>
      </c>
    </row>
    <row r="301" ht="15.75" customHeight="1">
      <c r="A301" s="1">
        <v>337.0</v>
      </c>
      <c r="B301" s="4" t="s">
        <v>296</v>
      </c>
      <c r="C301" s="4" t="str">
        <f>IFERROR(__xludf.DUMMYFUNCTION("GOOGLETRANSLATE(B301,""id"",""en"")"),"['Pay', 'tags', 'easy', 'application']")</f>
        <v>['Pay', 'tags', 'easy', 'application']</v>
      </c>
      <c r="D301" s="4">
        <v>5.0</v>
      </c>
    </row>
    <row r="302" ht="15.75" customHeight="1">
      <c r="A302" s="1">
        <v>338.0</v>
      </c>
      <c r="B302" s="4" t="s">
        <v>297</v>
      </c>
      <c r="C302" s="4" t="str">
        <f>IFERROR(__xludf.DUMMYFUNCTION("GOOGLETRANSLATE(B302,""id"",""en"")"),"['Report', 'disturb', 'apss', 'fast', 'really', 'top', 'steady']")</f>
        <v>['Report', 'disturb', 'apss', 'fast', 'really', 'top', 'steady']</v>
      </c>
      <c r="D302" s="4">
        <v>5.0</v>
      </c>
    </row>
    <row r="303" ht="15.75" customHeight="1">
      <c r="A303" s="1">
        <v>339.0</v>
      </c>
      <c r="B303" s="4" t="s">
        <v>298</v>
      </c>
      <c r="C303" s="4" t="str">
        <f>IFERROR(__xludf.DUMMYFUNCTION("GOOGLETRANSLATE(B303,""id"",""en"")"),"['Speed', 'Demand', 'Nidak', '']")</f>
        <v>['Speed', 'Demand', 'Nidak', '']</v>
      </c>
      <c r="D303" s="4">
        <v>1.0</v>
      </c>
    </row>
    <row r="304" ht="15.75" customHeight="1">
      <c r="A304" s="1">
        <v>340.0</v>
      </c>
      <c r="B304" s="4" t="s">
        <v>299</v>
      </c>
      <c r="C304" s="4" t="str">
        <f>IFERROR(__xludf.DUMMYFUNCTION("GOOGLETRANSLATE(B304,""id"",""en"")"),"['Application', 'Sometimes', 'Open']")</f>
        <v>['Application', 'Sometimes', 'Open']</v>
      </c>
      <c r="D304" s="4">
        <v>1.0</v>
      </c>
    </row>
    <row r="305" ht="15.75" customHeight="1">
      <c r="A305" s="1">
        <v>341.0</v>
      </c>
      <c r="B305" s="4" t="s">
        <v>300</v>
      </c>
      <c r="C305" s="4" t="str">
        <f>IFERROR(__xludf.DUMMYFUNCTION("GOOGLETRANSLATE(B305,""id"",""en"")"),"['Alhamdulillah', 'technicians', 'already', 'come', 'thanks', 'report', 'smooth', 'thanks', ""]")</f>
        <v>['Alhamdulillah', 'technicians', 'already', 'come', 'thanks', 'report', 'smooth', 'thanks', "]</v>
      </c>
      <c r="D305" s="4">
        <v>5.0</v>
      </c>
    </row>
    <row r="306" ht="15.75" customHeight="1">
      <c r="A306" s="1">
        <v>342.0</v>
      </c>
      <c r="B306" s="4" t="s">
        <v>301</v>
      </c>
      <c r="C306" s="4" t="str">
        <f>IFERROR(__xludf.DUMMYFUNCTION("GOOGLETRANSLATE(B306,""id"",""en"")"),"['Application', 'smooth', 'mantapppp']")</f>
        <v>['Application', 'smooth', 'mantapppp']</v>
      </c>
      <c r="D306" s="4">
        <v>5.0</v>
      </c>
    </row>
    <row r="307" ht="15.75" customHeight="1">
      <c r="A307" s="1">
        <v>343.0</v>
      </c>
      <c r="B307" s="4" t="s">
        <v>302</v>
      </c>
      <c r="C307" s="4" t="str">
        <f>IFERROR(__xludf.DUMMYFUNCTION("GOOGLETRANSLATE(B307,""id"",""en"")"),"['Update', 'difficult', 'enter', '']")</f>
        <v>['Update', 'difficult', 'enter', '']</v>
      </c>
      <c r="D307" s="4">
        <v>3.0</v>
      </c>
    </row>
    <row r="308" ht="15.75" customHeight="1">
      <c r="A308" s="1">
        <v>344.0</v>
      </c>
      <c r="B308" s="4" t="s">
        <v>303</v>
      </c>
      <c r="C308" s="4" t="str">
        <f>IFERROR(__xludf.DUMMYFUNCTION("GOOGLETRANSLATE(B308,""id"",""en"")"),"['Center', 'Adu', 'HUDU', 'HAVE', 'Thinking', 'Install', 'BLN', 'Long', 'Layan', 'Disturbs',' Huku ',' Response ',' ']")</f>
        <v>['Center', 'Adu', 'HUDU', 'HAVE', 'Thinking', 'Install', 'BLN', 'Long', 'Layan', 'Disturbs',' Huku ',' Response ',' ']</v>
      </c>
      <c r="D308" s="4">
        <v>1.0</v>
      </c>
    </row>
    <row r="309" ht="15.75" customHeight="1">
      <c r="A309" s="1">
        <v>345.0</v>
      </c>
      <c r="B309" s="4" t="s">
        <v>304</v>
      </c>
      <c r="C309" s="4" t="str">
        <f>IFERROR(__xludf.DUMMYFUNCTION("GOOGLETRANSLATE(B309,""id"",""en"")"),"['satisfied']")</f>
        <v>['satisfied']</v>
      </c>
      <c r="D309" s="4">
        <v>5.0</v>
      </c>
    </row>
    <row r="310" ht="15.75" customHeight="1">
      <c r="A310" s="1">
        <v>348.0</v>
      </c>
      <c r="B310" s="4" t="s">
        <v>305</v>
      </c>
      <c r="C310" s="4" t="str">
        <f>IFERROR(__xludf.DUMMYFUNCTION("GOOGLETRANSLATE(B310,""id"",""en"")"),"['Please', 'already', 'Mke', 'Indihome', 'MasyaAllah', 'net', 'Lot', 'Severe', 'Sampe', 'Make', 'VPN', 'Tetep', ' Effective ',' GMNA ',' Try ',' Doang ',' Naturally ',' Something ',' TPI ',' People ',' Indihome ',' Friends', 'Install', 'Indihome', 'compla"&amp;"ined' , 'Lot', 'good', 'please', 'expensive', 'doang', 'nets', 'lot', 'lol']")</f>
        <v>['Please', 'already', 'Mke', 'Indihome', 'MasyaAllah', 'net', 'Lot', 'Severe', 'Sampe', 'Make', 'VPN', 'Tetep', ' Effective ',' GMNA ',' Try ',' Doang ',' Naturally ',' Something ',' TPI ',' People ',' Indihome ',' Friends', 'Install', 'Indihome', 'complained' , 'Lot', 'good', 'please', 'expensive', 'doang', 'nets', 'lot', 'lol']</v>
      </c>
      <c r="D310" s="4">
        <v>1.0</v>
      </c>
    </row>
    <row r="311" ht="15.75" customHeight="1">
      <c r="A311" s="1">
        <v>349.0</v>
      </c>
      <c r="B311" s="4" t="s">
        <v>306</v>
      </c>
      <c r="C311" s="4" t="str">
        <f>IFERROR(__xludf.DUMMYFUNCTION("GOOGLETRANSLATE(B311,""id"",""en"")"),"['Not bad', 'Change']")</f>
        <v>['Not bad', 'Change']</v>
      </c>
      <c r="D311" s="4">
        <v>4.0</v>
      </c>
    </row>
    <row r="312" ht="15.75" customHeight="1">
      <c r="A312" s="1">
        <v>350.0</v>
      </c>
      <c r="B312" s="4" t="s">
        <v>307</v>
      </c>
      <c r="C312" s="4" t="str">
        <f>IFERROR(__xludf.DUMMYFUNCTION("GOOGLETRANSLATE(B312,""id"",""en"")"),"['signal', 'labile', 'down', 'strange', 'marketing', 'busy', 'telephone', 'bargain', 'upgrade', 'fast', 'indihome', '']")</f>
        <v>['signal', 'labile', 'down', 'strange', 'marketing', 'busy', 'telephone', 'bargain', 'upgrade', 'fast', 'indihome', '']</v>
      </c>
      <c r="D312" s="4">
        <v>1.0</v>
      </c>
    </row>
    <row r="313" ht="15.75" customHeight="1">
      <c r="A313" s="1">
        <v>351.0</v>
      </c>
      <c r="B313" s="4" t="s">
        <v>308</v>
      </c>
      <c r="C313" s="4" t="str">
        <f>IFERROR(__xludf.DUMMYFUNCTION("GOOGLETRANSLATE(B313,""id"",""en"")"),"['Good', 'help']")</f>
        <v>['Good', 'help']</v>
      </c>
      <c r="D313" s="4">
        <v>5.0</v>
      </c>
    </row>
    <row r="314" ht="15.75" customHeight="1">
      <c r="A314" s="1">
        <v>352.0</v>
      </c>
      <c r="B314" s="4" t="s">
        <v>309</v>
      </c>
      <c r="C314" s="4" t="str">
        <f>IFERROR(__xludf.DUMMYFUNCTION("GOOGLETRANSLATE(B314,""id"",""en"")"),"['Please', 'Good', 'Masang', 'Mbps',' Use ',' Handpone ',' Knpa ',' Play ',' Mobile ',' Legend ',' Strong ',' Maen ',' hours', 'mlm', 'top', 'smpe', 'clock', 'net', 'stable', 'knpa', 'bad', 'skrg', 'indihome', 'net', 'super' , 'Leet', 'Severe']")</f>
        <v>['Please', 'Good', 'Masang', 'Mbps',' Use ',' Handpone ',' Knpa ',' Play ',' Mobile ',' Legend ',' Strong ',' Maen ',' hours', 'mlm', 'top', 'smpe', 'clock', 'net', 'stable', 'knpa', 'bad', 'skrg', 'indihome', 'net', 'super' , 'Leet', 'Severe']</v>
      </c>
      <c r="D314" s="4">
        <v>1.0</v>
      </c>
    </row>
    <row r="315" ht="15.75" customHeight="1">
      <c r="A315" s="1">
        <v>353.0</v>
      </c>
      <c r="B315" s="4" t="s">
        <v>310</v>
      </c>
      <c r="C315" s="4" t="str">
        <f>IFERROR(__xludf.DUMMYFUNCTION("GOOGLETRANSLATE(B315,""id"",""en"")"),"['Severe', 'Indhome', 'Banjarmasin', 'Deputy', 'friend', 'Banjarmasin', 'Severe', 'Indihome', 'Nge', 'lag', 'broken', 'game', ' Report ',' advanced ',' already ',' bnyak ',' complain ',' friend ',' banjarmasin ',' indihome ',' change ',' provider ',' good"&amp;" ',' responsive ',' kah ' , 'Banjarmasin', 'Adu', 'application', 'Send', 'proof', 'photo', 'video', 'good', 'love', 'just', 'report', 'tired', ' Min ',' ']")</f>
        <v>['Severe', 'Indhome', 'Banjarmasin', 'Deputy', 'friend', 'Banjarmasin', 'Severe', 'Indihome', 'Nge', 'lag', 'broken', 'game', ' Report ',' advanced ',' already ',' bnyak ',' complain ',' friend ',' banjarmasin ',' indihome ',' change ',' provider ',' good ',' responsive ',' kah ' , 'Banjarmasin', 'Adu', 'application', 'Send', 'proof', 'photo', 'video', 'good', 'love', 'just', 'report', 'tired', ' Min ',' ']</v>
      </c>
      <c r="D315" s="4">
        <v>1.0</v>
      </c>
    </row>
    <row r="316" ht="15.75" customHeight="1">
      <c r="A316" s="1">
        <v>354.0</v>
      </c>
      <c r="B316" s="4" t="s">
        <v>311</v>
      </c>
      <c r="C316" s="4" t="str">
        <f>IFERROR(__xludf.DUMMYFUNCTION("GOOGLETRANSLATE(B316,""id"",""en"")"),"['nets',' slow ',' use ',' limit ',' use ',' skrang ',' continue ',' buffring ',' depa ',' subscribe ',' sdah ',' bnyk ',' Disappointed ',' Features', 'Indihome', 'Tera', 'Wait', 'Pay', 'Tide', 'Check', 'Quota', 'Difficult', 'Forgiveness',' Severe ', ""]")</f>
        <v>['nets',' slow ',' use ',' limit ',' use ',' skrang ',' continue ',' buffring ',' depa ',' subscribe ',' sdah ',' bnyk ',' Disappointed ',' Features', 'Indihome', 'Tera', 'Wait', 'Pay', 'Tide', 'Check', 'Quota', 'Difficult', 'Forgiveness',' Severe ', "]</v>
      </c>
      <c r="D316" s="4">
        <v>1.0</v>
      </c>
    </row>
    <row r="317" ht="15.75" customHeight="1">
      <c r="A317" s="1">
        <v>355.0</v>
      </c>
      <c r="B317" s="4" t="s">
        <v>312</v>
      </c>
      <c r="C317" s="4" t="str">
        <f>IFERROR(__xludf.DUMMYFUNCTION("GOOGLETRANSLATE(B317,""id"",""en"")"),"['Renew', 'Speed']")</f>
        <v>['Renew', 'Speed']</v>
      </c>
      <c r="D317" s="4">
        <v>5.0</v>
      </c>
    </row>
    <row r="318" ht="15.75" customHeight="1">
      <c r="A318" s="1">
        <v>358.0</v>
      </c>
      <c r="B318" s="4" t="s">
        <v>313</v>
      </c>
      <c r="C318" s="4" t="str">
        <f>IFERROR(__xludf.DUMMYFUNCTION("GOOGLETRANSLATE(B318,""id"",""en"")"),"['Application', 'raw', 'renew', 'speed', 'difficult']")</f>
        <v>['Application', 'raw', 'renew', 'speed', 'difficult']</v>
      </c>
      <c r="D318" s="4">
        <v>3.0</v>
      </c>
    </row>
    <row r="319" ht="15.75" customHeight="1">
      <c r="A319" s="1">
        <v>360.0</v>
      </c>
      <c r="B319" s="4" t="s">
        <v>314</v>
      </c>
      <c r="C319" s="4" t="str">
        <f>IFERROR(__xludf.DUMMYFUNCTION("GOOGLETRANSLATE(B319,""id"",""en"")"),"['Nature', 'disappointed', 'internet', 'stable', 'disturbing', 'region', 'province', 'Jambi', 'district', 'sarolangun', 'hope', 'access',' Internet ',' Comfortable ',' ']")</f>
        <v>['Nature', 'disappointed', 'internet', 'stable', 'disturbing', 'region', 'province', 'Jambi', 'district', 'sarolangun', 'hope', 'access',' Internet ',' Comfortable ',' ']</v>
      </c>
      <c r="D319" s="4">
        <v>1.0</v>
      </c>
    </row>
    <row r="320" ht="15.75" customHeight="1">
      <c r="A320" s="1">
        <v>361.0</v>
      </c>
      <c r="B320" s="4" t="s">
        <v>315</v>
      </c>
      <c r="C320" s="4" t="str">
        <f>IFERROR(__xludf.DUMMYFUNCTION("GOOGLETRANSLATE(B320,""id"",""en"")"),"['expensive', 'package', 'stable', 'fast', 'quota', 'limit', 'reasonable', 'down', 'then', 'fast', 'down', 'quota', ' Use ',' Naturally ',' Abis']")</f>
        <v>['expensive', 'package', 'stable', 'fast', 'quota', 'limit', 'reasonable', 'down', 'then', 'fast', 'down', 'quota', ' Use ',' Naturally ',' Abis']</v>
      </c>
      <c r="D320" s="4">
        <v>1.0</v>
      </c>
    </row>
    <row r="321" ht="15.75" customHeight="1">
      <c r="A321" s="1">
        <v>362.0</v>
      </c>
      <c r="B321" s="4" t="s">
        <v>316</v>
      </c>
      <c r="C321" s="4" t="str">
        <f>IFERROR(__xludf.DUMMYFUNCTION("GOOGLETRANSLATE(B321,""id"",""en"")"),"['hard', 'signal', 'poor', 'masang', 'signal', 'severe', 'card', 'ps',' signal ',' ugly ',' really ',' hard ',' Masang ',' already ',' Disappointed ',' Technician ',' Read ',' Indo ',' Confused ',' Who ',' Subscribe ',' Severe ', ""]")</f>
        <v>['hard', 'signal', 'poor', 'masang', 'signal', 'severe', 'card', 'ps',' signal ',' ugly ',' really ',' hard ',' Masang ',' already ',' Disappointed ',' Technician ',' Read ',' Indo ',' Confused ',' Who ',' Subscribe ',' Severe ', "]</v>
      </c>
      <c r="D321" s="4">
        <v>1.0</v>
      </c>
    </row>
    <row r="322" ht="15.75" customHeight="1">
      <c r="A322" s="1">
        <v>363.0</v>
      </c>
      <c r="B322" s="4" t="s">
        <v>317</v>
      </c>
      <c r="C322" s="4" t="str">
        <f>IFERROR(__xludf.DUMMYFUNCTION("GOOGLETRANSLATE(B322,""id"",""en"")"),"['Most', 'Worst', 'wifi', 'recommended', 'staple', 'Gaada', 'Good', 'Dipake', 'Ngegame', 'Jamin', 'Losestreak', 'wifi']")</f>
        <v>['Most', 'Worst', 'wifi', 'recommended', 'staple', 'Gaada', 'Good', 'Dipake', 'Ngegame', 'Jamin', 'Losestreak', 'wifi']</v>
      </c>
      <c r="D322" s="4">
        <v>1.0</v>
      </c>
    </row>
    <row r="323" ht="15.75" customHeight="1">
      <c r="A323" s="1">
        <v>364.0</v>
      </c>
      <c r="B323" s="4" t="s">
        <v>318</v>
      </c>
      <c r="C323" s="4" t="str">
        <f>IFERROR(__xludf.DUMMYFUNCTION("GOOGLETRANSLATE(B323,""id"",""en"")"),"['']")</f>
        <v>['']</v>
      </c>
      <c r="D323" s="4">
        <v>4.0</v>
      </c>
    </row>
    <row r="324" ht="15.75" customHeight="1">
      <c r="A324" s="1">
        <v>365.0</v>
      </c>
      <c r="B324" s="4" t="s">
        <v>319</v>
      </c>
      <c r="C324" s="4" t="str">
        <f>IFERROR(__xludf.DUMMYFUNCTION("GOOGLETRANSLATE(B324,""id"",""en"")"),"['', 'donlod', 'just', 'gave', 'net', 'right', 'already', 'pay', 'pulp', 'name', 'woeee', 'woeee']")</f>
        <v>['', 'donlod', 'just', 'gave', 'net', 'right', 'already', 'pay', 'pulp', 'name', 'woeee', 'woeee']</v>
      </c>
      <c r="D324" s="4">
        <v>1.0</v>
      </c>
    </row>
    <row r="325" ht="15.75" customHeight="1">
      <c r="A325" s="1">
        <v>366.0</v>
      </c>
      <c r="B325" s="4" t="s">
        <v>320</v>
      </c>
      <c r="C325" s="4" t="str">
        <f>IFERROR(__xludf.DUMMYFUNCTION("GOOGLETRANSLATE(B325,""id"",""en"")"),"['fall', 'Tempo', 'date', 'SBLOM', 'date', 'sudh', 'tap', 'blom', 'tempo', 'pdhal', 'month', 'sya', ' tags', 'sya', 'dri', 'total', 'tags',' ssya ',' blom ',' pay ',' ']")</f>
        <v>['fall', 'Tempo', 'date', 'SBLOM', 'date', 'sudh', 'tap', 'blom', 'tempo', 'pdhal', 'month', 'sya', ' tags', 'sya', 'dri', 'total', 'tags',' ssya ',' blom ',' pay ',' ']</v>
      </c>
      <c r="D325" s="4">
        <v>1.0</v>
      </c>
    </row>
    <row r="326" ht="15.75" customHeight="1">
      <c r="A326" s="1">
        <v>367.0</v>
      </c>
      <c r="B326" s="4" t="s">
        <v>321</v>
      </c>
      <c r="C326" s="4" t="str">
        <f>IFERROR(__xludf.DUMMYFUNCTION("GOOGLETRANSLATE(B326,""id"",""en"")"),"['expanded', 'Mbps', 'net', 'poor', 'what', 'Indihome', 'already', 'pay', 'expensive', 'quality', 'no', 'really']")</f>
        <v>['expanded', 'Mbps', 'net', 'poor', 'what', 'Indihome', 'already', 'pay', 'expensive', 'quality', 'no', 'really']</v>
      </c>
      <c r="D326" s="4">
        <v>1.0</v>
      </c>
    </row>
    <row r="327" ht="15.75" customHeight="1">
      <c r="A327" s="1">
        <v>368.0</v>
      </c>
      <c r="B327" s="4" t="s">
        <v>322</v>
      </c>
      <c r="C327" s="4" t="str">
        <f>IFERROR(__xludf.DUMMYFUNCTION("GOOGLETRANSLATE(B327,""id"",""en"")"),"['Severe', 'Main', 'Car', 'Legen', 'Doang', 'Lot', 'Forgiveness',' It's', 'Speeed', 'Region', 'Cikupa', 'Tangerang', ' Severe ',' Change ',' Frismedia ']")</f>
        <v>['Severe', 'Main', 'Car', 'Legen', 'Doang', 'Lot', 'Forgiveness',' It's', 'Speeed', 'Region', 'Cikupa', 'Tangerang', ' Severe ',' Change ',' Frismedia ']</v>
      </c>
      <c r="D327" s="4">
        <v>1.0</v>
      </c>
    </row>
    <row r="328" ht="15.75" customHeight="1">
      <c r="A328" s="1">
        <v>369.0</v>
      </c>
      <c r="B328" s="4" t="s">
        <v>323</v>
      </c>
      <c r="C328" s="4" t="str">
        <f>IFERROR(__xludf.DUMMYFUNCTION("GOOGLETRANSLATE(B328,""id"",""en"")"),"['', 'stable', 'game', 'Pay', 'Tetep', 'Sometimes', 'Jamkot']")</f>
        <v>['', 'stable', 'game', 'Pay', 'Tetep', 'Sometimes', 'Jamkot']</v>
      </c>
      <c r="D328" s="4">
        <v>1.0</v>
      </c>
    </row>
    <row r="329" ht="15.75" customHeight="1">
      <c r="A329" s="1">
        <v>370.0</v>
      </c>
      <c r="B329" s="4" t="s">
        <v>324</v>
      </c>
      <c r="C329" s="4" t="str">
        <f>IFERROR(__xludf.DUMMYFUNCTION("GOOGLETRANSLATE(B329,""id"",""en"")"),"['Pay', 'Different', 'Mbps', 'loss', 'home', 'Mbps', 'friend', ""]")</f>
        <v>['Pay', 'Different', 'Mbps', 'loss', 'home', 'Mbps', 'friend', "]</v>
      </c>
      <c r="D329" s="4">
        <v>1.0</v>
      </c>
    </row>
    <row r="330" ht="15.75" customHeight="1">
      <c r="A330" s="1">
        <v>371.0</v>
      </c>
      <c r="B330" s="4" t="s">
        <v>325</v>
      </c>
      <c r="C330" s="4" t="str">
        <f>IFERROR(__xludf.DUMMYFUNCTION("GOOGLETRANSLATE(B330,""id"",""en"")"),"['server', 'bad', 'UDH', 'internet', 'dead', 'turned', 'butt', 'his head', 'Anna', 'says', 'school', 'online' difficult']")</f>
        <v>['server', 'bad', 'UDH', 'internet', 'dead', 'turned', 'butt', 'his head', 'Anna', 'says', 'school', 'online' difficult']</v>
      </c>
      <c r="D330" s="4">
        <v>1.0</v>
      </c>
    </row>
    <row r="331" ht="15.75" customHeight="1">
      <c r="A331" s="1">
        <v>372.0</v>
      </c>
      <c r="B331" s="4" t="s">
        <v>326</v>
      </c>
      <c r="C331" s="4" t="str">
        <f>IFERROR(__xludf.DUMMYFUNCTION("GOOGLETRANSLATE(B331,""id"",""en"")"),"['APK', 'Indihome', 'Confused', 'Renew', 'Speed', 'Features',' Speed ​​',' Demand ',' Top ',' expensive ',' GB ',' bln ',' use ',' data ',' GB ',' bln ',' week ',' front ',' good ',' difficult ',' golir ',' consumer ',' ngadu ',' response ',' slow ' , '']")</f>
        <v>['APK', 'Indihome', 'Confused', 'Renew', 'Speed', 'Features',' Speed ​​',' Demand ',' Top ',' expensive ',' GB ',' bln ',' use ',' data ',' GB ',' bln ',' week ',' front ',' good ',' difficult ',' golir ',' consumer ',' ngadu ',' response ',' slow ' , '']</v>
      </c>
      <c r="D331" s="4">
        <v>2.0</v>
      </c>
    </row>
    <row r="332" ht="15.75" customHeight="1">
      <c r="A332" s="1">
        <v>373.0</v>
      </c>
      <c r="B332" s="4" t="s">
        <v>327</v>
      </c>
      <c r="C332" s="4" t="str">
        <f>IFERROR(__xludf.DUMMYFUNCTION("GOOGLETRANSLATE(B332,""id"",""en"")"),"['APK', 'Cool', 'Simple']")</f>
        <v>['APK', 'Cool', 'Simple']</v>
      </c>
      <c r="D332" s="4">
        <v>5.0</v>
      </c>
    </row>
    <row r="333" ht="15.75" customHeight="1">
      <c r="A333" s="1">
        <v>374.0</v>
      </c>
      <c r="B333" s="4" t="s">
        <v>328</v>
      </c>
      <c r="C333" s="4" t="str">
        <f>IFERROR(__xludf.DUMMYFUNCTION("GOOGLETRANSLATE(B333,""id"",""en"")"),"['Please', 'good', 'run out', 'Rain', 'Nge', 'lag']")</f>
        <v>['Please', 'good', 'run out', 'Rain', 'Nge', 'lag']</v>
      </c>
      <c r="D333" s="4">
        <v>2.0</v>
      </c>
    </row>
    <row r="334" ht="15.75" customHeight="1">
      <c r="A334" s="1">
        <v>375.0</v>
      </c>
      <c r="B334" s="4" t="s">
        <v>329</v>
      </c>
      <c r="C334" s="4" t="str">
        <f>IFERROR(__xludf.DUMMYFUNCTION("GOOGLETRANSLATE(B334,""id"",""en"")"),"['lag', 'trosss']")</f>
        <v>['lag', 'trosss']</v>
      </c>
      <c r="D334" s="4">
        <v>2.0</v>
      </c>
    </row>
    <row r="335" ht="15.75" customHeight="1">
      <c r="A335" s="1">
        <v>377.0</v>
      </c>
      <c r="B335" s="4" t="s">
        <v>330</v>
      </c>
      <c r="C335" s="4" t="str">
        <f>IFERROR(__xludf.DUMMYFUNCTION("GOOGLETRANSLATE(B335,""id"",""en"")"),"['Grade', 'Speed', 'skrang', 'ada', 'service', 'sod', 'please', 'how', 'speed', 'star', 'full']")</f>
        <v>['Grade', 'Speed', 'skrang', 'ada', 'service', 'sod', 'please', 'how', 'speed', 'star', 'full']</v>
      </c>
      <c r="D335" s="4">
        <v>3.0</v>
      </c>
    </row>
    <row r="336" ht="15.75" customHeight="1">
      <c r="A336" s="1">
        <v>378.0</v>
      </c>
      <c r="B336" s="4" t="s">
        <v>331</v>
      </c>
      <c r="C336" s="4" t="str">
        <f>IFERROR(__xludf.DUMMYFUNCTION("GOOGLETRANSLATE(B336,""id"",""en"")"),"['net', 'Tah', 'Kek', 'Dipelek', 'AJG', 'right', 'Play', 'lag', 'Buli', 'then']")</f>
        <v>['net', 'Tah', 'Kek', 'Dipelek', 'AJG', 'right', 'Play', 'lag', 'Buli', 'then']</v>
      </c>
      <c r="D336" s="4">
        <v>1.0</v>
      </c>
    </row>
    <row r="337" ht="15.75" customHeight="1">
      <c r="A337" s="1">
        <v>379.0</v>
      </c>
      <c r="B337" s="4" t="s">
        <v>332</v>
      </c>
      <c r="C337" s="4" t="str">
        <f>IFERROR(__xludf.DUMMYFUNCTION("GOOGLETRANSLATE(B337,""id"",""en"")"),"['Assalamualaikum', 'admin', 'money', 'guarantee', 'list', 'beoom', 'enter', 'restent', 'subscribe', 'already', 'bomb', 'money', ' guarantee']")</f>
        <v>['Assalamualaikum', 'admin', 'money', 'guarantee', 'list', 'beoom', 'enter', 'restent', 'subscribe', 'already', 'bomb', 'money', ' guarantee']</v>
      </c>
      <c r="D337" s="4">
        <v>1.0</v>
      </c>
    </row>
    <row r="338" ht="15.75" customHeight="1">
      <c r="A338" s="1">
        <v>380.0</v>
      </c>
      <c r="B338" s="4" t="s">
        <v>333</v>
      </c>
      <c r="C338" s="4" t="str">
        <f>IFERROR(__xludf.DUMMYFUNCTION("GOOGLETRANSLATE(B338,""id"",""en"")"),"['Nice', 'apps']")</f>
        <v>['Nice', 'apps']</v>
      </c>
      <c r="D338" s="4">
        <v>5.0</v>
      </c>
    </row>
    <row r="339" ht="15.75" customHeight="1">
      <c r="A339" s="1">
        <v>381.0</v>
      </c>
      <c r="B339" s="4" t="s">
        <v>334</v>
      </c>
      <c r="C339" s="4" t="str">
        <f>IFERROR(__xludf.DUMMYFUNCTION("GOOGLETRANSLATE(B339,""id"",""en"")"),"['good']")</f>
        <v>['good']</v>
      </c>
      <c r="D339" s="4">
        <v>5.0</v>
      </c>
    </row>
    <row r="340" ht="15.75" customHeight="1">
      <c r="A340" s="1">
        <v>383.0</v>
      </c>
      <c r="B340" s="4" t="s">
        <v>335</v>
      </c>
      <c r="C340" s="4" t="str">
        <f>IFERROR(__xludf.DUMMYFUNCTION("GOOGLETRANSLATE(B340,""id"",""en"")"),"['hand', 'disturbing', 'really', 'finished', 'finished', 'loss', 'consumer', 'mah']")</f>
        <v>['hand', 'disturbing', 'really', 'finished', 'finished', 'loss', 'consumer', 'mah']</v>
      </c>
      <c r="D340" s="4">
        <v>1.0</v>
      </c>
    </row>
    <row r="341" ht="15.75" customHeight="1">
      <c r="A341" s="1">
        <v>384.0</v>
      </c>
      <c r="B341" s="4" t="s">
        <v>336</v>
      </c>
      <c r="C341" s="4" t="str">
        <f>IFERROR(__xludf.DUMMYFUNCTION("GOOGLETRANSLATE(B341,""id"",""en"")"),"['update', 'menu', 'donload', 'proof', 'pay', 'menu', 'history', 'tragihan']")</f>
        <v>['update', 'menu', 'donload', 'proof', 'pay', 'menu', 'history', 'tragihan']</v>
      </c>
      <c r="D341" s="4">
        <v>1.0</v>
      </c>
    </row>
    <row r="342" ht="15.75" customHeight="1">
      <c r="A342" s="1">
        <v>385.0</v>
      </c>
      <c r="B342" s="4" t="s">
        <v>337</v>
      </c>
      <c r="C342" s="4" t="str">
        <f>IFERROR(__xludf.DUMMYFUNCTION("GOOGLETRANSLATE(B342,""id"",""en"")"),"['Speed', 'Mbps',' TGL ',' already ',' leftover ',' Mbps', 'use', 'control', 'fight', 'results',' still ',' Mbps', ' WKWKWK ',' Cool ',' Euy ',' Indiehome ',' Application ',' ONS ',' Force ',' Close ',' Severe ']")</f>
        <v>['Speed', 'Mbps',' TGL ',' already ',' leftover ',' Mbps', 'use', 'control', 'fight', 'results',' still ',' Mbps', ' WKWKWK ',' Cool ',' Euy ',' Indiehome ',' Application ',' ONS ',' Force ',' Close ',' Severe ']</v>
      </c>
      <c r="D342" s="4">
        <v>1.0</v>
      </c>
    </row>
    <row r="343" ht="15.75" customHeight="1">
      <c r="A343" s="1">
        <v>386.0</v>
      </c>
      <c r="B343" s="4" t="s">
        <v>338</v>
      </c>
      <c r="C343" s="4" t="str">
        <f>IFERROR(__xludf.DUMMYFUNCTION("GOOGLETRANSLATE(B343,""id"",""en"")"),"['', 'service', 'ugly', 'really']")</f>
        <v>['', 'service', 'ugly', 'really']</v>
      </c>
      <c r="D343" s="4">
        <v>1.0</v>
      </c>
    </row>
    <row r="344" ht="15.75" customHeight="1">
      <c r="A344" s="1">
        <v>387.0</v>
      </c>
      <c r="B344" s="4" t="s">
        <v>339</v>
      </c>
      <c r="C344" s="4" t="str">
        <f>IFERROR(__xludf.DUMMYFUNCTION("GOOGLETRANSLATE(B344,""id"",""en"")"),"['wifimu', 'ngelag', 'Cak', 'stay', 'scrim']")</f>
        <v>['wifimu', 'ngelag', 'Cak', 'stay', 'scrim']</v>
      </c>
      <c r="D344" s="4">
        <v>1.0</v>
      </c>
    </row>
    <row r="345" ht="15.75" customHeight="1">
      <c r="A345" s="1">
        <v>388.0</v>
      </c>
      <c r="B345" s="4" t="s">
        <v>340</v>
      </c>
      <c r="C345" s="4" t="str">
        <f>IFERROR(__xludf.DUMMYFUNCTION("GOOGLETRANSLATE(B345,""id"",""en"")"),"['', 'Aunt', 'admin', 'pay', 'appears', 'application', 'good', 'rain', 'signal', 'alavery', ""]")</f>
        <v>['', 'Aunt', 'admin', 'pay', 'appears', 'application', 'good', 'rain', 'signal', 'alavery', "]</v>
      </c>
      <c r="D345" s="4">
        <v>5.0</v>
      </c>
    </row>
    <row r="346" ht="15.75" customHeight="1">
      <c r="A346" s="1">
        <v>389.0</v>
      </c>
      <c r="B346" s="4" t="s">
        <v>341</v>
      </c>
      <c r="C346" s="4" t="str">
        <f>IFERROR(__xludf.DUMMYFUNCTION("GOOGLETRANSLATE(B346,""id"",""en"")"),"['Jos']")</f>
        <v>['Jos']</v>
      </c>
      <c r="D346" s="4">
        <v>5.0</v>
      </c>
    </row>
    <row r="347" ht="15.75" customHeight="1">
      <c r="A347" s="1">
        <v>390.0</v>
      </c>
      <c r="B347" s="4" t="s">
        <v>342</v>
      </c>
      <c r="C347" s="4" t="str">
        <f>IFERROR(__xludf.DUMMYFUNCTION("GOOGLETRANSLATE(B347,""id"",""en"")"),"['Benefits',' Karna ',' Exchange ',' Point ',' Region ',' Pencil ',' Please ',' Tampah ',' Exchange ',' Points', 'Delicious',' Direct ',' Nusantara ',' System ',' Ribet ',' Mandatory ',' Subscribe ',' Install ',' Application ',' Education ',' Directions',"&amp;" 'Technicians',' TPI ',' Taste ',' Function ' , 'Guna', 'application', '']")</f>
        <v>['Benefits',' Karna ',' Exchange ',' Point ',' Region ',' Pencil ',' Please ',' Tampah ',' Exchange ',' Points', 'Delicious',' Direct ',' Nusantara ',' System ',' Ribet ',' Mandatory ',' Subscribe ',' Install ',' Application ',' Education ',' Directions', 'Technicians',' TPI ',' Taste ',' Function ' , 'Guna', 'application', '']</v>
      </c>
      <c r="D347" s="4">
        <v>1.0</v>
      </c>
    </row>
    <row r="348" ht="15.75" customHeight="1">
      <c r="A348" s="1">
        <v>393.0</v>
      </c>
      <c r="B348" s="4" t="s">
        <v>343</v>
      </c>
      <c r="C348" s="4" t="str">
        <f>IFERROR(__xludf.DUMMYFUNCTION("GOOGLETRANSLATE(B348,""id"",""en"")"),"['Indihome', 'Renew', 'Speed', 'SOD', 'Delete', '']")</f>
        <v>['Indihome', 'Renew', 'Speed', 'SOD', 'Delete', '']</v>
      </c>
      <c r="D348" s="4">
        <v>1.0</v>
      </c>
    </row>
    <row r="349" ht="15.75" customHeight="1">
      <c r="A349" s="1">
        <v>394.0</v>
      </c>
      <c r="B349" s="4" t="s">
        <v>344</v>
      </c>
      <c r="C349" s="4" t="str">
        <f>IFERROR(__xludf.DUMMYFUNCTION("GOOGLETRANSLATE(B349,""id"",""en"")"),"['Renew', 'Speed', 'SOD', 'Menu']")</f>
        <v>['Renew', 'Speed', 'SOD', 'Menu']</v>
      </c>
      <c r="D349" s="4">
        <v>1.0</v>
      </c>
    </row>
    <row r="350" ht="15.75" customHeight="1">
      <c r="A350" s="1">
        <v>395.0</v>
      </c>
      <c r="B350" s="4" t="s">
        <v>345</v>
      </c>
      <c r="C350" s="4" t="str">
        <f>IFERROR(__xludf.DUMMYFUNCTION("GOOGLETRANSLATE(B350,""id"",""en"")"),"['Ngeleg', 'wifinya', 'fill in', 'already', 'expensive', 'ngeleg', 'ngeleg', '']")</f>
        <v>['Ngeleg', 'wifinya', 'fill in', 'already', 'expensive', 'ngeleg', 'ngeleg', '']</v>
      </c>
      <c r="D350" s="4">
        <v>1.0</v>
      </c>
    </row>
    <row r="351" ht="15.75" customHeight="1">
      <c r="A351" s="1">
        <v>396.0</v>
      </c>
      <c r="B351" s="4" t="s">
        <v>346</v>
      </c>
      <c r="C351" s="4" t="str">
        <f>IFERROR(__xludf.DUMMYFUNCTION("GOOGLETRANSLATE(B351,""id"",""en"")"),"['service', 'bad', 'hand']")</f>
        <v>['service', 'bad', 'hand']</v>
      </c>
      <c r="D351" s="4">
        <v>1.0</v>
      </c>
    </row>
    <row r="352" ht="15.75" customHeight="1">
      <c r="A352" s="1">
        <v>397.0</v>
      </c>
      <c r="B352" s="4" t="s">
        <v>347</v>
      </c>
      <c r="C352" s="4" t="str">
        <f>IFERROR(__xludf.DUMMYFUNCTION("GOOGLETRANSLATE(B352,""id"",""en"")"),"['Sorry', 'Request', 'Failed', 'Please,' Process', 'Gin', 'LIGHT', 'Log', 'Register']")</f>
        <v>['Sorry', 'Request', 'Failed', 'Please,' Process', 'Gin', 'LIGHT', 'Log', 'Register']</v>
      </c>
      <c r="D352" s="4">
        <v>1.0</v>
      </c>
    </row>
    <row r="353" ht="15.75" customHeight="1">
      <c r="A353" s="1">
        <v>398.0</v>
      </c>
      <c r="B353" s="4" t="s">
        <v>348</v>
      </c>
      <c r="C353" s="4" t="str">
        <f>IFERROR(__xludf.DUMMYFUNCTION("GOOGLETRANSLATE(B353,""id"",""en"")"),"['Please', 'Good', 'Indihome', 'Tara', 'Watch', 'Play', 'Game', 'Leet', 'Mulu', 'already', 'dawn', 'ugly', ' net']")</f>
        <v>['Please', 'Good', 'Indihome', 'Tara', 'Watch', 'Play', 'Game', 'Leet', 'Mulu', 'already', 'dawn', 'ugly', ' net']</v>
      </c>
      <c r="D353" s="4">
        <v>1.0</v>
      </c>
    </row>
    <row r="354" ht="15.75" customHeight="1">
      <c r="A354" s="1">
        <v>399.0</v>
      </c>
      <c r="B354" s="4" t="s">
        <v>349</v>
      </c>
      <c r="C354" s="4" t="str">
        <f>IFERROR(__xludf.DUMMYFUNCTION("GOOGLETRANSLATE(B354,""id"",""en"")"),"['Disappointed', 'net', 'prah', 'good', 'gimn', 'search', 'eat', 'net', 'slow', ""]")</f>
        <v>['Disappointed', 'net', 'prah', 'good', 'gimn', 'search', 'eat', 'net', 'slow', "]</v>
      </c>
      <c r="D354" s="4">
        <v>1.0</v>
      </c>
    </row>
    <row r="355" ht="15.75" customHeight="1">
      <c r="A355" s="1">
        <v>400.0</v>
      </c>
      <c r="B355" s="4" t="s">
        <v>350</v>
      </c>
      <c r="C355" s="4" t="str">
        <f>IFERROR(__xludf.DUMMYFUNCTION("GOOGLETRANSLATE(B355,""id"",""en"")"),"['balance', 'Wooy', 'service', 'change', 'baocoood']")</f>
        <v>['balance', 'Wooy', 'service', 'change', 'baocoood']</v>
      </c>
      <c r="D355" s="4">
        <v>1.0</v>
      </c>
    </row>
    <row r="356" ht="15.75" customHeight="1">
      <c r="A356" s="1">
        <v>401.0</v>
      </c>
      <c r="B356" s="4" t="s">
        <v>351</v>
      </c>
      <c r="C356" s="4" t="str">
        <f>IFERROR(__xludf.DUMMYFUNCTION("GOOGLETRANSLATE(B356,""id"",""en"")"),"['Please', 'connection', 'fast', '']")</f>
        <v>['Please', 'connection', 'fast', '']</v>
      </c>
      <c r="D356" s="4">
        <v>4.0</v>
      </c>
    </row>
    <row r="357" ht="15.75" customHeight="1">
      <c r="A357" s="1">
        <v>402.0</v>
      </c>
      <c r="B357" s="4" t="s">
        <v>352</v>
      </c>
      <c r="C357" s="4" t="str">
        <f>IFERROR(__xludf.DUMMYFUNCTION("GOOGLETRANSLATE(B357,""id"",""en"")"),"['month', 'reach', 'internet', 'wifi', 'distance', 'meter', 'tehnition', 'change', '']")</f>
        <v>['month', 'reach', 'internet', 'wifi', 'distance', 'meter', 'tehnition', 'change', '']</v>
      </c>
      <c r="D357" s="4">
        <v>3.0</v>
      </c>
    </row>
    <row r="358" ht="15.75" customHeight="1">
      <c r="A358" s="1">
        <v>403.0</v>
      </c>
      <c r="B358" s="4" t="s">
        <v>353</v>
      </c>
      <c r="C358" s="4" t="str">
        <f>IFERROR(__xludf.DUMMYFUNCTION("GOOGLETRANSLATE(B358,""id"",""en"")"),"['Renew', 'Speed', 'difficult', 'gabisa']")</f>
        <v>['Renew', 'Speed', 'difficult', 'gabisa']</v>
      </c>
      <c r="D358" s="4">
        <v>1.0</v>
      </c>
    </row>
    <row r="359" ht="15.75" customHeight="1">
      <c r="A359" s="1">
        <v>404.0</v>
      </c>
      <c r="B359" s="4" t="s">
        <v>354</v>
      </c>
      <c r="C359" s="4" t="str">
        <f>IFERROR(__xludf.DUMMYFUNCTION("GOOGLETRANSLATE(B359,""id"",""en"")"),"['service', 'bad', 'promise', 'technician', 'phone', 'customer', 'service', 'report', 'times', 'move', 'address', 'work']")</f>
        <v>['service', 'bad', 'promise', 'technician', 'phone', 'customer', 'service', 'report', 'times', 'move', 'address', 'work']</v>
      </c>
      <c r="D359" s="4">
        <v>1.0</v>
      </c>
    </row>
    <row r="360" ht="15.75" customHeight="1">
      <c r="A360" s="1">
        <v>405.0</v>
      </c>
      <c r="B360" s="4" t="s">
        <v>355</v>
      </c>
      <c r="C360" s="4" t="str">
        <f>IFERROR(__xludf.DUMMYFUNCTION("GOOGLETRANSLATE(B360,""id"",""en"")"),"['application', 'please', 'love', 'notification', 'tags', 'tasty', 'net', 'what', 'suggestion', '']")</f>
        <v>['application', 'please', 'love', 'notification', 'tags', 'tasty', 'net', 'what', 'suggestion', '']</v>
      </c>
      <c r="D360" s="4">
        <v>5.0</v>
      </c>
    </row>
    <row r="361" ht="15.75" customHeight="1">
      <c r="A361" s="1">
        <v>406.0</v>
      </c>
      <c r="B361" s="4" t="s">
        <v>356</v>
      </c>
      <c r="C361" s="4" t="str">
        <f>IFERROR(__xludf.DUMMYFUNCTION("GOOGLETRANSLATE(B361,""id"",""en"")"),"['How', 'Login', 'enter', 'number', 'Indihome', 'Notif', 'Nmor', 'know', 'system', 'Please', 'help']")</f>
        <v>['How', 'Login', 'enter', 'number', 'Indihome', 'Notif', 'Nmor', 'know', 'system', 'Please', 'help']</v>
      </c>
      <c r="D361" s="4">
        <v>1.0</v>
      </c>
    </row>
    <row r="362" ht="15.75" customHeight="1">
      <c r="A362" s="1">
        <v>407.0</v>
      </c>
      <c r="B362" s="4" t="s">
        <v>357</v>
      </c>
      <c r="C362" s="4" t="str">
        <f>IFERROR(__xludf.DUMMYFUNCTION("GOOGLETRANSLATE(B362,""id"",""en"")"),"['', 'Chek', 'Area', 'Maap', 'Blank', 'Tasks', 'Full', 'Full', 'UDH', 'Register', 'MNA', 'Cancel']")</f>
        <v>['', 'Chek', 'Area', 'Maap', 'Blank', 'Tasks', 'Full', 'Full', 'UDH', 'Register', 'MNA', 'Cancel']</v>
      </c>
      <c r="D362" s="4">
        <v>1.0</v>
      </c>
    </row>
    <row r="363" ht="15.75" customHeight="1">
      <c r="A363" s="1">
        <v>408.0</v>
      </c>
      <c r="B363" s="4" t="s">
        <v>358</v>
      </c>
      <c r="C363" s="4" t="str">
        <f>IFERROR(__xludf.DUMMYFUNCTION("GOOGLETRANSLATE(B363,""id"",""en"")"),"['Feature', 'renew', 'speed', 'no', '']")</f>
        <v>['Feature', 'renew', 'speed', 'no', '']</v>
      </c>
      <c r="D363" s="4">
        <v>1.0</v>
      </c>
    </row>
    <row r="364" ht="15.75" customHeight="1">
      <c r="A364" s="1">
        <v>409.0</v>
      </c>
      <c r="B364" s="4" t="s">
        <v>359</v>
      </c>
      <c r="C364" s="4" t="str">
        <f>IFERROR(__xludf.DUMMYFUNCTION("GOOGLETRANSLATE(B364,""id"",""en"")"),"['application', 'good', 'tags', 'confused', 'real', 'time']")</f>
        <v>['application', 'good', 'tags', 'confused', 'real', 'time']</v>
      </c>
      <c r="D364" s="4">
        <v>1.0</v>
      </c>
    </row>
    <row r="365" ht="15.75" customHeight="1">
      <c r="A365" s="1">
        <v>412.0</v>
      </c>
      <c r="B365" s="4" t="s">
        <v>360</v>
      </c>
      <c r="C365" s="4" t="str">
        <f>IFERROR(__xludf.DUMMYFUNCTION("GOOGLETRANSLATE(B365,""id"",""en"")"),"['Bang', 'Loading', 'Nomah', 'KNPA', 'Error', ""]")</f>
        <v>['Bang', 'Loading', 'Nomah', 'KNPA', 'Error', "]</v>
      </c>
      <c r="D365" s="4">
        <v>1.0</v>
      </c>
    </row>
    <row r="366" ht="15.75" customHeight="1">
      <c r="A366" s="1">
        <v>414.0</v>
      </c>
      <c r="B366" s="4" t="s">
        <v>361</v>
      </c>
      <c r="C366" s="4" t="str">
        <f>IFERROR(__xludf.DUMMYFUNCTION("GOOGLETRANSLATE(B366,""id"",""en"")"),"['Telkom', 'The', 'Best']")</f>
        <v>['Telkom', 'The', 'Best']</v>
      </c>
      <c r="D366" s="4">
        <v>5.0</v>
      </c>
    </row>
    <row r="367" ht="15.75" customHeight="1">
      <c r="A367" s="1">
        <v>415.0</v>
      </c>
      <c r="B367" s="4" t="s">
        <v>362</v>
      </c>
      <c r="C367" s="4" t="str">
        <f>IFERROR(__xludf.DUMMYFUNCTION("GOOGLETRANSLATE(B367,""id"",""en"")"),"['Indihome', 'Quality', 'Down', 'Iring', 'Many', 'Install', 'Capacity', 'Limit', '']")</f>
        <v>['Indihome', 'Quality', 'Down', 'Iring', 'Many', 'Install', 'Capacity', 'Limit', '']</v>
      </c>
      <c r="D367" s="4">
        <v>2.0</v>
      </c>
    </row>
    <row r="368" ht="15.75" customHeight="1">
      <c r="A368" s="1">
        <v>416.0</v>
      </c>
      <c r="B368" s="4" t="s">
        <v>363</v>
      </c>
      <c r="C368" s="4" t="str">
        <f>IFERROR(__xludf.DUMMYFUNCTION("GOOGLETRANSLATE(B368,""id"",""en"")"),"['Useless']")</f>
        <v>['Useless']</v>
      </c>
      <c r="D368" s="4">
        <v>1.0</v>
      </c>
    </row>
    <row r="369" ht="15.75" customHeight="1">
      <c r="A369" s="1">
        <v>417.0</v>
      </c>
      <c r="B369" s="4" t="s">
        <v>364</v>
      </c>
      <c r="C369" s="4" t="str">
        <f>IFERROR(__xludf.DUMMYFUNCTION("GOOGLETRANSLATE(B369,""id"",""en"")"),"['JLS']")</f>
        <v>['JLS']</v>
      </c>
      <c r="D369" s="4">
        <v>1.0</v>
      </c>
    </row>
    <row r="370" ht="15.75" customHeight="1">
      <c r="A370" s="1">
        <v>418.0</v>
      </c>
      <c r="B370" s="4" t="s">
        <v>365</v>
      </c>
      <c r="C370" s="4" t="str">
        <f>IFERROR(__xludf.DUMMYFUNCTION("GOOGLETRANSLATE(B370,""id"",""en"")"),"['TOP', 'Internet', 'Mandiri', 'number', 'virtual', 'account', 'appears', 'Try', 'reset', 'reset', 'empty']")</f>
        <v>['TOP', 'Internet', 'Mandiri', 'number', 'virtual', 'account', 'appears', 'Try', 'reset', 'reset', 'empty']</v>
      </c>
      <c r="D370" s="4">
        <v>3.0</v>
      </c>
    </row>
    <row r="371" ht="15.75" customHeight="1">
      <c r="A371" s="1">
        <v>421.0</v>
      </c>
      <c r="B371" s="4" t="s">
        <v>366</v>
      </c>
      <c r="C371" s="4" t="str">
        <f>IFERROR(__xludf.DUMMYFUNCTION("GOOGLETRANSLATE(B371,""id"",""en"")"),"['steady', 'soul', 'subscribe', 'loyal', 'indihome', 'wifi', 'USSE', '']")</f>
        <v>['steady', 'soul', 'subscribe', 'loyal', 'indihome', 'wifi', 'USSE', '']</v>
      </c>
      <c r="D371" s="4">
        <v>5.0</v>
      </c>
    </row>
    <row r="372" ht="15.75" customHeight="1">
      <c r="A372" s="1">
        <v>422.0</v>
      </c>
      <c r="B372" s="4" t="s">
        <v>367</v>
      </c>
      <c r="C372" s="4" t="str">
        <f>IFERROR(__xludf.DUMMYFUNCTION("GOOGLETRANSLATE(B372,""id"",""en"")"),"['Difficult', 'Choose', 'Channel', 'Catchplay', '']")</f>
        <v>['Difficult', 'Choose', 'Channel', 'Catchplay', '']</v>
      </c>
      <c r="D372" s="4">
        <v>3.0</v>
      </c>
    </row>
    <row r="373" ht="15.75" customHeight="1">
      <c r="A373" s="1">
        <v>423.0</v>
      </c>
      <c r="B373" s="4" t="s">
        <v>368</v>
      </c>
      <c r="C373" s="4" t="str">
        <f>IFERROR(__xludf.DUMMYFUNCTION("GOOGLETRANSLATE(B373,""id"",""en"")"),"['fine', 'time', 'golir', 'net', 'old', 'service']")</f>
        <v>['fine', 'time', 'golir', 'net', 'old', 'service']</v>
      </c>
      <c r="D373" s="4">
        <v>1.0</v>
      </c>
    </row>
    <row r="374" ht="15.75" customHeight="1">
      <c r="A374" s="1">
        <v>424.0</v>
      </c>
      <c r="B374" s="4" t="s">
        <v>369</v>
      </c>
      <c r="C374" s="4" t="str">
        <f>IFERROR(__xludf.DUMMYFUNCTION("GOOGLETRANSLATE(B374,""id"",""en"")"),"['Accurate', 'good']")</f>
        <v>['Accurate', 'good']</v>
      </c>
      <c r="D374" s="4">
        <v>5.0</v>
      </c>
    </row>
    <row r="375" ht="15.75" customHeight="1">
      <c r="A375" s="1">
        <v>426.0</v>
      </c>
      <c r="B375" s="4" t="s">
        <v>370</v>
      </c>
      <c r="C375" s="4" t="str">
        <f>IFERROR(__xludf.DUMMYFUNCTION("GOOGLETRANSLATE(B375,""id"",""en"")"),"['Indihome', 'Mangkin', 'Bad', 'nets',' just ',' then ',' laq ',' loss', 'pay', 'PERRH', 'late', 'already', ' Thn ',' use ',' wifi ',' indihome ',' ']")</f>
        <v>['Indihome', 'Mangkin', 'Bad', 'nets',' just ',' then ',' laq ',' loss', 'pay', 'PERRH', 'late', 'already', ' Thn ',' use ',' wifi ',' indihome ',' ']</v>
      </c>
      <c r="D375" s="4">
        <v>1.0</v>
      </c>
    </row>
    <row r="376" ht="15.75" customHeight="1">
      <c r="A376" s="1">
        <v>428.0</v>
      </c>
      <c r="B376" s="4" t="s">
        <v>371</v>
      </c>
      <c r="C376" s="4" t="str">
        <f>IFERROR(__xludf.DUMMYFUNCTION("GOOGLETRANSLATE(B376,""id"",""en"")"),"['trobel', 'already', 'replace', 'machine', 'forward', 'problem', ""]")</f>
        <v>['trobel', 'already', 'replace', 'machine', 'forward', 'problem', "]</v>
      </c>
      <c r="D376" s="4">
        <v>1.0</v>
      </c>
    </row>
    <row r="377" ht="15.75" customHeight="1">
      <c r="A377" s="1">
        <v>429.0</v>
      </c>
      <c r="B377" s="4" t="s">
        <v>372</v>
      </c>
      <c r="C377" s="4" t="str">
        <f>IFERROR(__xludf.DUMMYFUNCTION("GOOGLETRANSLATE(B377,""id"",""en"")"),"['easy', 'results']")</f>
        <v>['easy', 'results']</v>
      </c>
      <c r="D377" s="4">
        <v>5.0</v>
      </c>
    </row>
    <row r="378" ht="15.75" customHeight="1">
      <c r="A378" s="1">
        <v>430.0</v>
      </c>
      <c r="B378" s="4" t="s">
        <v>373</v>
      </c>
      <c r="C378" s="4" t="str">
        <f>IFERROR(__xludf.DUMMYFUNCTION("GOOGLETRANSLATE(B378,""id"",""en"")"),"['Speed', 'smpe', 'MB', 'Pay', 'MB']")</f>
        <v>['Speed', 'smpe', 'MB', 'Pay', 'MB']</v>
      </c>
      <c r="D378" s="4">
        <v>1.0</v>
      </c>
    </row>
    <row r="379" ht="15.75" customHeight="1">
      <c r="A379" s="1">
        <v>433.0</v>
      </c>
      <c r="B379" s="4" t="s">
        <v>374</v>
      </c>
      <c r="C379" s="4" t="str">
        <f>IFERROR(__xludf.DUMMYFUNCTION("GOOGLETRANSLATE(B379,""id"",""en"")"),"['SOD', 'Mana', 'Sis', 'Lost', 'Please', 'Good', 'Thank', 'Love']")</f>
        <v>['SOD', 'Mana', 'Sis', 'Lost', 'Please', 'Good', 'Thank', 'Love']</v>
      </c>
      <c r="D379" s="4">
        <v>3.0</v>
      </c>
    </row>
    <row r="380" ht="15.75" customHeight="1">
      <c r="A380" s="1">
        <v>434.0</v>
      </c>
      <c r="B380" s="4" t="s">
        <v>375</v>
      </c>
      <c r="C380" s="4" t="str">
        <f>IFERROR(__xludf.DUMMYFUNCTION("GOOGLETRANSLATE(B380,""id"",""en"")"),"['Indihome', 'beautiful', 'expensive', 'doang']")</f>
        <v>['Indihome', 'beautiful', 'expensive', 'doang']</v>
      </c>
      <c r="D380" s="4">
        <v>1.0</v>
      </c>
    </row>
    <row r="381" ht="15.75" customHeight="1">
      <c r="A381" s="1">
        <v>435.0</v>
      </c>
      <c r="B381" s="4" t="s">
        <v>376</v>
      </c>
      <c r="C381" s="4" t="str">
        <f>IFERROR(__xludf.DUMMYFUNCTION("GOOGLETRANSLATE(B381,""id"",""en"")"),"['Oni', 'signal', 'troubll', '']")</f>
        <v>['Oni', 'signal', 'troubll', '']</v>
      </c>
      <c r="D381" s="4">
        <v>3.0</v>
      </c>
    </row>
    <row r="382" ht="15.75" customHeight="1">
      <c r="A382" s="1">
        <v>436.0</v>
      </c>
      <c r="B382" s="4" t="s">
        <v>377</v>
      </c>
      <c r="C382" s="4" t="str">
        <f>IFERROR(__xludf.DUMMYFUNCTION("GOOGLETRANSLATE(B382,""id"",""en"")"),"['Enter', 'application']")</f>
        <v>['Enter', 'application']</v>
      </c>
      <c r="D382" s="4">
        <v>1.0</v>
      </c>
    </row>
    <row r="383" ht="15.75" customHeight="1">
      <c r="A383" s="1">
        <v>437.0</v>
      </c>
      <c r="B383" s="4" t="s">
        <v>378</v>
      </c>
      <c r="C383" s="4" t="str">
        <f>IFERROR(__xludf.DUMMYFUNCTION("GOOGLETRANSLATE(B383,""id"",""en"")"),"['area', 'clock', 'night', 'clock', 'noon', 'dead', 'expensive']")</f>
        <v>['area', 'clock', 'night', 'clock', 'noon', 'dead', 'expensive']</v>
      </c>
      <c r="D383" s="4">
        <v>2.0</v>
      </c>
    </row>
    <row r="384" ht="15.75" customHeight="1">
      <c r="A384" s="1">
        <v>439.0</v>
      </c>
      <c r="B384" s="4" t="s">
        <v>379</v>
      </c>
      <c r="C384" s="4" t="str">
        <f>IFERROR(__xludf.DUMMYFUNCTION("GOOGLETRANSLATE(B384,""id"",""en"")"),"['service', 'Indihome', 'bad', 'subscribe', 'pairs', 'love', 'promise', 'fake', 'surveyed', 'do "",' will ',' Masang ',' please ',' think of ', ""]")</f>
        <v>['service', 'Indihome', 'bad', 'subscribe', 'pairs', 'love', 'promise', 'fake', 'surveyed', 'do ",' will ',' Masang ',' please ',' think of ', "]</v>
      </c>
      <c r="D384" s="4">
        <v>1.0</v>
      </c>
    </row>
    <row r="385" ht="15.75" customHeight="1">
      <c r="A385" s="1">
        <v>440.0</v>
      </c>
      <c r="B385" s="4" t="s">
        <v>380</v>
      </c>
      <c r="C385" s="4" t="str">
        <f>IFERROR(__xludf.DUMMYFUNCTION("GOOGLETRANSLATE(B385,""id"",""en"")"),"['ugly', 'play', 'game', 'ngeleg']")</f>
        <v>['ugly', 'play', 'game', 'ngeleg']</v>
      </c>
      <c r="D385" s="4">
        <v>1.0</v>
      </c>
    </row>
    <row r="386" ht="15.75" customHeight="1">
      <c r="A386" s="1">
        <v>441.0</v>
      </c>
      <c r="B386" s="4" t="s">
        <v>381</v>
      </c>
      <c r="C386" s="4" t="str">
        <f>IFERROR(__xludf.DUMMYFUNCTION("GOOGLETRANSLATE(B386,""id"",""en"")"),"['Like', 'background', 'Cool']")</f>
        <v>['Like', 'background', 'Cool']</v>
      </c>
      <c r="D386" s="4">
        <v>5.0</v>
      </c>
    </row>
    <row r="387" ht="15.75" customHeight="1">
      <c r="A387" s="1">
        <v>442.0</v>
      </c>
      <c r="B387" s="4" t="s">
        <v>382</v>
      </c>
      <c r="C387" s="4" t="str">
        <f>IFERROR(__xludf.DUMMYFUNCTION("GOOGLETRANSLATE(B387,""id"",""en"")"),"['Star', 'apps', 'difficult', 'renew', 'speed', 'difficult', 'disappointed']")</f>
        <v>['Star', 'apps', 'difficult', 'renew', 'speed', 'difficult', 'disappointed']</v>
      </c>
      <c r="D387" s="4">
        <v>1.0</v>
      </c>
    </row>
    <row r="388" ht="15.75" customHeight="1">
      <c r="A388" s="1">
        <v>443.0</v>
      </c>
      <c r="B388" s="4" t="s">
        <v>383</v>
      </c>
      <c r="C388" s="4" t="str">
        <f>IFERROR(__xludf.DUMMYFUNCTION("GOOGLETRANSLATE(B388,""id"",""en"")"),"['Report', 'Disturbs', 'Billing', 'Tagih', 'Benefits']")</f>
        <v>['Report', 'Disturbs', 'Billing', 'Tagih', 'Benefits']</v>
      </c>
      <c r="D388" s="4">
        <v>5.0</v>
      </c>
    </row>
    <row r="389" ht="15.75" customHeight="1">
      <c r="A389" s="1">
        <v>444.0</v>
      </c>
      <c r="B389" s="4" t="s">
        <v>384</v>
      </c>
      <c r="C389" s="4" t="str">
        <f>IFERROR(__xludf.DUMMYFUNCTION("GOOGLETRANSLATE(B389,""id"",""en"")"),"['Profile', 'difficult', 'updated']")</f>
        <v>['Profile', 'difficult', 'updated']</v>
      </c>
      <c r="D389" s="4">
        <v>2.0</v>
      </c>
    </row>
    <row r="390" ht="15.75" customHeight="1">
      <c r="A390" s="1">
        <v>445.0</v>
      </c>
      <c r="B390" s="4" t="s">
        <v>385</v>
      </c>
      <c r="C390" s="4" t="str">
        <f>IFERROR(__xludf.DUMMYFUNCTION("GOOGLETRANSLATE(B390,""id"",""en"")"),"['sipppp']")</f>
        <v>['sipppp']</v>
      </c>
      <c r="D390" s="4">
        <v>5.0</v>
      </c>
    </row>
    <row r="391" ht="15.75" customHeight="1">
      <c r="A391" s="1">
        <v>446.0</v>
      </c>
      <c r="B391" s="4" t="s">
        <v>386</v>
      </c>
      <c r="C391" s="4" t="str">
        <f>IFERROR(__xludf.DUMMYFUNCTION("GOOGLETRANSLATE(B391,""id"",""en"")"),"['Add', 'Speed', 'Demand', '']")</f>
        <v>['Add', 'Speed', 'Demand', '']</v>
      </c>
      <c r="D391" s="4">
        <v>1.0</v>
      </c>
    </row>
    <row r="392" ht="15.75" customHeight="1">
      <c r="A392" s="1">
        <v>447.0</v>
      </c>
      <c r="B392" s="4" t="s">
        <v>387</v>
      </c>
      <c r="C392" s="4" t="str">
        <f>IFERROR(__xludf.DUMMYFUNCTION("GOOGLETRANSLATE(B392,""id"",""en"")"),"['already', 'week', 'install', 'pairs', 'yes', 'technician']")</f>
        <v>['already', 'week', 'install', 'pairs', 'yes', 'technician']</v>
      </c>
      <c r="D392" s="4">
        <v>1.0</v>
      </c>
    </row>
    <row r="393" ht="15.75" customHeight="1">
      <c r="A393" s="1">
        <v>449.0</v>
      </c>
      <c r="B393" s="4" t="s">
        <v>388</v>
      </c>
      <c r="C393" s="4" t="str">
        <f>IFERROR(__xludf.DUMMYFUNCTION("GOOGLETRANSLATE(B393,""id"",""en"")"),"['Not bad', 'help']")</f>
        <v>['Not bad', 'help']</v>
      </c>
      <c r="D393" s="4">
        <v>4.0</v>
      </c>
    </row>
    <row r="394" ht="15.75" customHeight="1">
      <c r="A394" s="1">
        <v>450.0</v>
      </c>
      <c r="B394" s="4" t="s">
        <v>389</v>
      </c>
      <c r="C394" s="4" t="str">
        <f>IFERROR(__xludf.DUMMYFUNCTION("GOOGLETRANSLATE(B394,""id"",""en"")"),"['Ordinary', 'Date', 'Fall', 'Tempo', 'isolation', 'Good', 'System', 'Collaboration', 'Bank', 'Etc.', 'PAS', 'Date', ' Fall ',' Tempo ',' Pay ',' Fall ',' Tempo ',' Pay ',' Already ',' Disconnect ',' Internet ',' Already ',' Pay ',' Direct ',' On ' , 'ube"&amp;"r', 'uber', 'activated', 'good', 'system', 'play', 'break up', 'internet', 'comfortable']")</f>
        <v>['Ordinary', 'Date', 'Fall', 'Tempo', 'isolation', 'Good', 'System', 'Collaboration', 'Bank', 'Etc.', 'PAS', 'Date', ' Fall ',' Tempo ',' Pay ',' Fall ',' Tempo ',' Pay ',' Already ',' Disconnect ',' Internet ',' Already ',' Pay ',' Direct ',' On ' , 'uber', 'uber', 'activated', 'good', 'system', 'play', 'break up', 'internet', 'comfortable']</v>
      </c>
      <c r="D394" s="4">
        <v>1.0</v>
      </c>
    </row>
    <row r="395" ht="15.75" customHeight="1">
      <c r="A395" s="1">
        <v>451.0</v>
      </c>
      <c r="B395" s="4" t="s">
        <v>390</v>
      </c>
      <c r="C395" s="4" t="str">
        <f>IFERROR(__xludf.DUMMYFUNCTION("GOOGLETRANSLATE(B395,""id"",""en"")"),"['Disturbs', 'error', 'net', 'channel']")</f>
        <v>['Disturbs', 'error', 'net', 'channel']</v>
      </c>
      <c r="D395" s="4">
        <v>2.0</v>
      </c>
    </row>
    <row r="396" ht="15.75" customHeight="1">
      <c r="A396" s="1">
        <v>452.0</v>
      </c>
      <c r="B396" s="4" t="s">
        <v>391</v>
      </c>
      <c r="C396" s="4" t="str">
        <f>IFERROR(__xludf.DUMMYFUNCTION("GOOGLETRANSLATE(B396,""id"",""en"")"),"['easy', 'work', 'sometimes', 'lot', 'hehee', 'tetep', 'mantepp']")</f>
        <v>['easy', 'work', 'sometimes', 'lot', 'hehee', 'tetep', 'mantepp']</v>
      </c>
      <c r="D396" s="4">
        <v>4.0</v>
      </c>
    </row>
    <row r="397" ht="15.75" customHeight="1">
      <c r="A397" s="1">
        <v>453.0</v>
      </c>
      <c r="B397" s="4" t="s">
        <v>392</v>
      </c>
      <c r="C397" s="4" t="str">
        <f>IFERROR(__xludf.DUMMYFUNCTION("GOOGLETRANSLATE(B397,""id"",""en"")"),"['wifi', 'connection', 'no', 'lights',' indicator ',' los', 'flame', 'red', 'severe', 'really', 'ngadu', 'application', ' Ngadu ',' marketing ',' road ',' how ',' hand ',' ']")</f>
        <v>['wifi', 'connection', 'no', 'lights',' indicator ',' los', 'flame', 'red', 'severe', 'really', 'ngadu', 'application', ' Ngadu ',' marketing ',' road ',' how ',' hand ',' ']</v>
      </c>
      <c r="D397" s="4">
        <v>1.0</v>
      </c>
    </row>
    <row r="398" ht="15.75" customHeight="1">
      <c r="A398" s="1">
        <v>454.0</v>
      </c>
      <c r="B398" s="4" t="s">
        <v>393</v>
      </c>
      <c r="C398" s="4" t="str">
        <f>IFERROR(__xludf.DUMMYFUNCTION("GOOGLETRANSLATE(B398,""id"",""en"")"),"['right', 'click', 'Adu', 'service', 'Failed', 'Golir', 'Open', 'Menu']")</f>
        <v>['right', 'click', 'Adu', 'service', 'Failed', 'Golir', 'Open', 'Menu']</v>
      </c>
      <c r="D398" s="4">
        <v>1.0</v>
      </c>
    </row>
    <row r="399" ht="15.75" customHeight="1">
      <c r="A399" s="1">
        <v>456.0</v>
      </c>
      <c r="B399" s="4" t="s">
        <v>394</v>
      </c>
      <c r="C399" s="4" t="str">
        <f>IFERROR(__xludf.DUMMYFUNCTION("GOOGLETRANSLATE(B399,""id"",""en"")"),"['FUP', 'Road', 'Road', 'Mentok', 'situ', 'situ']")</f>
        <v>['FUP', 'Road', 'Road', 'Mentok', 'situ', 'situ']</v>
      </c>
      <c r="D399" s="4">
        <v>3.0</v>
      </c>
    </row>
    <row r="400" ht="15.75" customHeight="1">
      <c r="A400" s="1">
        <v>457.0</v>
      </c>
      <c r="B400" s="4" t="s">
        <v>395</v>
      </c>
      <c r="C400" s="4" t="str">
        <f>IFERROR(__xludf.DUMMYFUNCTION("GOOGLETRANSLATE(B400,""id"",""en"")"),"['Easy', 'Kece', 'Guna', 'Indihome']")</f>
        <v>['Easy', 'Kece', 'Guna', 'Indihome']</v>
      </c>
      <c r="D400" s="4">
        <v>5.0</v>
      </c>
    </row>
    <row r="401" ht="15.75" customHeight="1">
      <c r="A401" s="1">
        <v>458.0</v>
      </c>
      <c r="B401" s="4" t="s">
        <v>396</v>
      </c>
      <c r="C401" s="4" t="str">
        <f>IFERROR(__xludf.DUMMYFUNCTION("GOOGLETRANSLATE(B401,""id"",""en"")"),"['easy', 'check', 'tags', 'pay', 'tags']")</f>
        <v>['easy', 'check', 'tags', 'pay', 'tags']</v>
      </c>
      <c r="D401" s="4">
        <v>5.0</v>
      </c>
    </row>
    <row r="402" ht="15.75" customHeight="1">
      <c r="A402" s="1">
        <v>459.0</v>
      </c>
      <c r="B402" s="4" t="s">
        <v>397</v>
      </c>
      <c r="C402" s="4" t="str">
        <f>IFERROR(__xludf.DUMMYFUNCTION("GOOGLETRANSLATE(B402,""id"",""en"")"),"['already', 'wifi', 'home', 'road', 'address', 'ngadu', 'responsive', 'hahahahahah']")</f>
        <v>['already', 'wifi', 'home', 'road', 'address', 'ngadu', 'responsive', 'hahahahahah']</v>
      </c>
      <c r="D402" s="4">
        <v>1.0</v>
      </c>
    </row>
    <row r="403" ht="15.75" customHeight="1">
      <c r="A403" s="1">
        <v>460.0</v>
      </c>
      <c r="B403" s="4" t="s">
        <v>398</v>
      </c>
      <c r="C403" s="4" t="str">
        <f>IFERROR(__xludf.DUMMYFUNCTION("GOOGLETRANSLATE(B403,""id"",""en"")"),"['Lemoooooooot', 'ATIIIII']")</f>
        <v>['Lemoooooooot', 'ATIIIII']</v>
      </c>
      <c r="D403" s="4">
        <v>2.0</v>
      </c>
    </row>
    <row r="404" ht="15.75" customHeight="1">
      <c r="A404" s="1">
        <v>461.0</v>
      </c>
      <c r="B404" s="4" t="s">
        <v>399</v>
      </c>
      <c r="C404" s="4" t="str">
        <f>IFERROR(__xludf.DUMMYFUNCTION("GOOGLETRANSLATE(B404,""id"",""en"")"),"['net', 'WiFi', 'Retas', 'name', 'Anwar', 'Suleman', 'NMR', 'Damaged', 'Change', ""]")</f>
        <v>['net', 'WiFi', 'Retas', 'name', 'Anwar', 'Suleman', 'NMR', 'Damaged', 'Change', "]</v>
      </c>
      <c r="D404" s="4">
        <v>5.0</v>
      </c>
    </row>
    <row r="405" ht="15.75" customHeight="1">
      <c r="A405" s="1">
        <v>462.0</v>
      </c>
      <c r="B405" s="4" t="s">
        <v>400</v>
      </c>
      <c r="C405" s="4" t="str">
        <f>IFERROR(__xludf.DUMMYFUNCTION("GOOGLETRANSLATE(B405,""id"",""en"")"),"['appears', 'mantul']")</f>
        <v>['appears', 'mantul']</v>
      </c>
      <c r="D405" s="4">
        <v>5.0</v>
      </c>
    </row>
    <row r="406" ht="15.75" customHeight="1">
      <c r="A406" s="1">
        <v>463.0</v>
      </c>
      <c r="B406" s="4" t="s">
        <v>401</v>
      </c>
      <c r="C406" s="4" t="str">
        <f>IFERROR(__xludf.DUMMYFUNCTION("GOOGLETRANSLATE(B406,""id"",""en"")"),"['Report', 'Disturbs', 'fast']")</f>
        <v>['Report', 'Disturbs', 'fast']</v>
      </c>
      <c r="D406" s="4">
        <v>5.0</v>
      </c>
    </row>
    <row r="407" ht="15.75" customHeight="1">
      <c r="A407" s="1">
        <v>465.0</v>
      </c>
      <c r="B407" s="4" t="s">
        <v>402</v>
      </c>
      <c r="C407" s="4" t="str">
        <f>IFERROR(__xludf.DUMMYFUNCTION("GOOGLETRANSLATE(B407,""id"",""en"")"),"['list', 'difficult', 'already', 'contents', 'bright', 'wrong', 'already', 'right']")</f>
        <v>['list', 'difficult', 'already', 'contents', 'bright', 'wrong', 'already', 'right']</v>
      </c>
      <c r="D407" s="4">
        <v>1.0</v>
      </c>
    </row>
    <row r="408" ht="15.75" customHeight="1">
      <c r="A408" s="1">
        <v>466.0</v>
      </c>
      <c r="B408" s="4" t="s">
        <v>403</v>
      </c>
      <c r="C408" s="4" t="str">
        <f>IFERROR(__xludf.DUMMYFUNCTION("GOOGLETRANSLATE(B408,""id"",""en"")"),"['active', 'non', 'active', 'package', 'wish', 'APL', '']")</f>
        <v>['active', 'non', 'active', 'package', 'wish', 'APL', '']</v>
      </c>
      <c r="D408" s="4">
        <v>4.0</v>
      </c>
    </row>
    <row r="409" ht="15.75" customHeight="1">
      <c r="A409" s="1">
        <v>467.0</v>
      </c>
      <c r="B409" s="4" t="s">
        <v>404</v>
      </c>
      <c r="C409" s="4" t="str">
        <f>IFERROR(__xludf.DUMMYFUNCTION("GOOGLETRANSLATE(B409,""id"",""en"")"),"['Layan', 'slow', 'application']")</f>
        <v>['Layan', 'slow', 'application']</v>
      </c>
      <c r="D409" s="4">
        <v>1.0</v>
      </c>
    </row>
    <row r="410" ht="15.75" customHeight="1">
      <c r="A410" s="1">
        <v>468.0</v>
      </c>
      <c r="B410" s="4" t="s">
        <v>405</v>
      </c>
      <c r="C410" s="4" t="str">
        <f>IFERROR(__xludf.DUMMYFUNCTION("GOOGLETRANSLATE(B410,""id"",""en"")"),"['service', 'Indita', 'Disappointed']")</f>
        <v>['service', 'Indita', 'Disappointed']</v>
      </c>
      <c r="D410" s="4">
        <v>1.0</v>
      </c>
    </row>
    <row r="411" ht="15.75" customHeight="1">
      <c r="A411" s="1">
        <v>469.0</v>
      </c>
      <c r="B411" s="4" t="s">
        <v>406</v>
      </c>
      <c r="C411" s="4" t="str">
        <f>IFERROR(__xludf.DUMMYFUNCTION("GOOGLETRANSLATE(B411,""id"",""en"")"),"['back', 'Feature', 'Mana', 'Guna', 'Internet', 'Indihome', '']")</f>
        <v>['back', 'Feature', 'Mana', 'Guna', 'Internet', 'Indihome', '']</v>
      </c>
      <c r="D411" s="4">
        <v>1.0</v>
      </c>
    </row>
    <row r="412" ht="15.75" customHeight="1">
      <c r="A412" s="1">
        <v>470.0</v>
      </c>
      <c r="B412" s="4" t="s">
        <v>407</v>
      </c>
      <c r="C412" s="4" t="str">
        <f>IFERROR(__xludf.DUMMYFUNCTION("GOOGLETRANSLATE(B412,""id"",""en"")"),"['Update', 'TPI', 'Net', 'Leet', '']")</f>
        <v>['Update', 'TPI', 'Net', 'Leet', '']</v>
      </c>
      <c r="D412" s="4">
        <v>1.0</v>
      </c>
    </row>
    <row r="413" ht="15.75" customHeight="1">
      <c r="A413" s="1">
        <v>471.0</v>
      </c>
      <c r="B413" s="4" t="s">
        <v>408</v>
      </c>
      <c r="C413" s="4" t="str">
        <f>IFERROR(__xludf.DUMMYFUNCTION("GOOGLETRANSLATE(B413,""id"",""en"")"),"['month', 'signal', 'wifi', 'like', 'slow', 'loading', 'difficult', 'open', 'application', 'byr', 'late', 'day', ' Direct ',' block ',' please ',' service ',' level ']")</f>
        <v>['month', 'signal', 'wifi', 'like', 'slow', 'loading', 'difficult', 'open', 'application', 'byr', 'late', 'day', ' Direct ',' block ',' please ',' service ',' level ']</v>
      </c>
      <c r="D413" s="4">
        <v>1.0</v>
      </c>
    </row>
    <row r="414" ht="15.75" customHeight="1">
      <c r="A414" s="1">
        <v>472.0</v>
      </c>
      <c r="B414" s="4" t="s">
        <v>409</v>
      </c>
      <c r="C414" s="4" t="str">
        <f>IFERROR(__xludf.DUMMYFUNCTION("GOOGLETRANSLATE(B414,""id"",""en"")"),"['App', 'service', 'slow']")</f>
        <v>['App', 'service', 'slow']</v>
      </c>
      <c r="D414" s="4">
        <v>1.0</v>
      </c>
    </row>
    <row r="415" ht="15.75" customHeight="1">
      <c r="A415" s="1">
        <v>473.0</v>
      </c>
      <c r="B415" s="4" t="s">
        <v>410</v>
      </c>
      <c r="C415" s="4" t="str">
        <f>IFERROR(__xludf.DUMMYFUNCTION("GOOGLETRANSLATE(B415,""id"",""en"")"),"['already', 'download', 'application', 'open', 'help', 'number', 'service', 'enter', 'wrong', 'what', 'Udh', 'pay', ' Tagih ',' wifi ',' ngak ']")</f>
        <v>['already', 'download', 'application', 'open', 'help', 'number', 'service', 'enter', 'wrong', 'what', 'Udh', 'pay', ' Tagih ',' wifi ',' ngak ']</v>
      </c>
      <c r="D415" s="4">
        <v>3.0</v>
      </c>
    </row>
    <row r="416" ht="15.75" customHeight="1">
      <c r="A416" s="1">
        <v>477.0</v>
      </c>
      <c r="B416" s="4" t="s">
        <v>411</v>
      </c>
      <c r="C416" s="4" t="str">
        <f>IFERROR(__xludf.DUMMYFUNCTION("GOOGLETRANSLATE(B416,""id"",""en"")"),"['Powerful']")</f>
        <v>['Powerful']</v>
      </c>
      <c r="D416" s="4">
        <v>5.0</v>
      </c>
    </row>
    <row r="417" ht="15.75" customHeight="1">
      <c r="A417" s="1">
        <v>478.0</v>
      </c>
      <c r="B417" s="4" t="s">
        <v>341</v>
      </c>
      <c r="C417" s="4" t="str">
        <f>IFERROR(__xludf.DUMMYFUNCTION("GOOGLETRANSLATE(B417,""id"",""en"")"),"['Jos']")</f>
        <v>['Jos']</v>
      </c>
      <c r="D417" s="4">
        <v>5.0</v>
      </c>
    </row>
    <row r="418" ht="15.75" customHeight="1">
      <c r="A418" s="1">
        <v>479.0</v>
      </c>
      <c r="B418" s="4" t="s">
        <v>412</v>
      </c>
      <c r="C418" s="4" t="str">
        <f>IFERROR(__xludf.DUMMYFUNCTION("GOOGLETRANSLATE(B418,""id"",""en"")"),"['Application', 'garbage', 'Lot', 'features', 'Help', 'Andal', '']")</f>
        <v>['Application', 'garbage', 'Lot', 'features', 'Help', 'Andal', '']</v>
      </c>
      <c r="D418" s="4">
        <v>1.0</v>
      </c>
    </row>
    <row r="419" ht="15.75" customHeight="1">
      <c r="A419" s="1">
        <v>480.0</v>
      </c>
      <c r="B419" s="4" t="s">
        <v>413</v>
      </c>
      <c r="C419" s="4" t="str">
        <f>IFERROR(__xludf.DUMMYFUNCTION("GOOGLETRANSLATE(B419,""id"",""en"")"),"['already', 'good', 'Please', 'level', '']")</f>
        <v>['already', 'good', 'Please', 'level', '']</v>
      </c>
      <c r="D419" s="4">
        <v>5.0</v>
      </c>
    </row>
    <row r="420" ht="15.75" customHeight="1">
      <c r="A420" s="1">
        <v>481.0</v>
      </c>
      <c r="B420" s="4" t="s">
        <v>414</v>
      </c>
      <c r="C420" s="4" t="str">
        <f>IFERROR(__xludf.DUMMYFUNCTION("GOOGLETRANSLATE(B420,""id"",""en"")"),"['Late', 'response', 'follow-up', 'day', 'holiday', 'week', 'please', ""]")</f>
        <v>['Late', 'response', 'follow-up', 'day', 'holiday', 'week', 'please', "]</v>
      </c>
      <c r="D420" s="4">
        <v>1.0</v>
      </c>
    </row>
    <row r="421" ht="15.75" customHeight="1">
      <c r="A421" s="1">
        <v>482.0</v>
      </c>
      <c r="B421" s="4" t="s">
        <v>415</v>
      </c>
      <c r="C421" s="4" t="str">
        <f>IFERROR(__xludf.DUMMYFUNCTION("GOOGLETRANSLATE(B421,""id"",""en"")"),"['Application', 'Lot', 'Disturbs', 'just', 'business', 'net']")</f>
        <v>['Application', 'Lot', 'Disturbs', 'just', 'business', 'net']</v>
      </c>
      <c r="D421" s="4">
        <v>1.0</v>
      </c>
    </row>
    <row r="422" ht="15.75" customHeight="1">
      <c r="A422" s="1">
        <v>483.0</v>
      </c>
      <c r="B422" s="4" t="s">
        <v>416</v>
      </c>
      <c r="C422" s="4" t="str">
        <f>IFERROR(__xludf.DUMMYFUNCTION("GOOGLETRANSLATE(B422,""id"",""en"")"),"['Application', 'Yesterday', 'updet', 'lot', 'super', 'really', 'rich', 'ngellag', 'help', 'chat', 'fight', 'call' Disconnect ',' Mulu ',' Flood ',' Office ',' Gan ',' ']")</f>
        <v>['Application', 'Yesterday', 'updet', 'lot', 'super', 'really', 'rich', 'ngellag', 'help', 'chat', 'fight', 'call' Disconnect ',' Mulu ',' Flood ',' Office ',' Gan ',' ']</v>
      </c>
      <c r="D422" s="4">
        <v>1.0</v>
      </c>
    </row>
    <row r="423" ht="15.75" customHeight="1">
      <c r="A423" s="1">
        <v>484.0</v>
      </c>
      <c r="B423" s="4" t="s">
        <v>417</v>
      </c>
      <c r="C423" s="4" t="str">
        <f>IFERROR(__xludf.DUMMYFUNCTION("GOOGLETRANSLATE(B423,""id"",""en"")"),"['signal', 'stable', 'net', 'broad', '']")</f>
        <v>['signal', 'stable', 'net', 'broad', '']</v>
      </c>
      <c r="D423" s="4">
        <v>1.0</v>
      </c>
    </row>
    <row r="424" ht="15.75" customHeight="1">
      <c r="A424" s="1">
        <v>485.0</v>
      </c>
      <c r="B424" s="4" t="s">
        <v>418</v>
      </c>
      <c r="C424" s="4" t="str">
        <f>IFERROR(__xludf.DUMMYFUNCTION("GOOGLETRANSLATE(B424,""id"",""en"")"),"['Application', 'Good', 'Install', 'Indihome', 'Plasa', 'Telkom']")</f>
        <v>['Application', 'Good', 'Install', 'Indihome', 'Plasa', 'Telkom']</v>
      </c>
      <c r="D424" s="4">
        <v>5.0</v>
      </c>
    </row>
    <row r="425" ht="15.75" customHeight="1">
      <c r="A425" s="1">
        <v>486.0</v>
      </c>
      <c r="B425" s="4" t="s">
        <v>419</v>
      </c>
      <c r="C425" s="4" t="str">
        <f>IFERROR(__xludf.DUMMYFUNCTION("GOOGLETRANSLATE(B425,""id"",""en"")"),"['knp', 'application', 'difficult', 'open', '']")</f>
        <v>['knp', 'application', 'difficult', 'open', '']</v>
      </c>
      <c r="D425" s="4">
        <v>1.0</v>
      </c>
    </row>
    <row r="426" ht="15.75" customHeight="1">
      <c r="A426" s="1">
        <v>487.0</v>
      </c>
      <c r="B426" s="4" t="s">
        <v>420</v>
      </c>
      <c r="C426" s="4" t="str">
        <f>IFERROR(__xludf.DUMMYFUNCTION("GOOGLETRANSLATE(B426,""id"",""en"")"),"['Layan', 'poor', 'Pay', 'tags', 'isolir', 'adu', 'use', 'application', 'application', 'Lot', 'Severe']")</f>
        <v>['Layan', 'poor', 'Pay', 'tags', 'isolir', 'adu', 'use', 'application', 'application', 'Lot', 'Severe']</v>
      </c>
      <c r="D426" s="4">
        <v>1.0</v>
      </c>
    </row>
    <row r="427" ht="15.75" customHeight="1">
      <c r="A427" s="1">
        <v>488.0</v>
      </c>
      <c r="B427" s="4" t="s">
        <v>421</v>
      </c>
      <c r="C427" s="4" t="str">
        <f>IFERROR(__xludf.DUMMYFUNCTION("GOOGLETRANSLATE(B427,""id"",""en"")"),"['Layan']")</f>
        <v>['Layan']</v>
      </c>
      <c r="D427" s="4">
        <v>5.0</v>
      </c>
    </row>
    <row r="428" ht="15.75" customHeight="1">
      <c r="A428" s="1">
        <v>489.0</v>
      </c>
      <c r="B428" s="4" t="s">
        <v>422</v>
      </c>
      <c r="C428" s="4" t="str">
        <f>IFERROR(__xludf.DUMMYFUNCTION("GOOGLETRANSLATE(B428,""id"",""en"")"),"['Application', 'Lot', 'really']")</f>
        <v>['Application', 'Lot', 'really']</v>
      </c>
      <c r="D428" s="4">
        <v>1.0</v>
      </c>
    </row>
    <row r="429" ht="15.75" customHeight="1">
      <c r="A429" s="1">
        <v>490.0</v>
      </c>
      <c r="B429" s="4" t="s">
        <v>423</v>
      </c>
      <c r="C429" s="4" t="str">
        <f>IFERROR(__xludf.DUMMYFUNCTION("GOOGLETRANSLATE(B429,""id"",""en"")"),"['net', 'missing', 'pay', 'pay', 'wifi', 'active', '']")</f>
        <v>['net', 'missing', 'pay', 'pay', 'wifi', 'active', '']</v>
      </c>
      <c r="D429" s="4">
        <v>2.0</v>
      </c>
    </row>
    <row r="430" ht="15.75" customHeight="1">
      <c r="A430" s="1">
        <v>491.0</v>
      </c>
      <c r="B430" s="4" t="s">
        <v>424</v>
      </c>
      <c r="C430" s="4" t="str">
        <f>IFERROR(__xludf.DUMMYFUNCTION("GOOGLETRANSLATE(B430,""id"",""en"")"),"['Apalikasi', 'Lot', 'Difficult', 'Open', 'Provider', 'Internet', 'Big', ""]")</f>
        <v>['Apalikasi', 'Lot', 'Difficult', 'Open', 'Provider', 'Internet', 'Big', "]</v>
      </c>
      <c r="D430" s="4">
        <v>1.0</v>
      </c>
    </row>
    <row r="431" ht="15.75" customHeight="1">
      <c r="A431" s="1">
        <v>492.0</v>
      </c>
      <c r="B431" s="4" t="s">
        <v>425</v>
      </c>
      <c r="C431" s="4" t="str">
        <f>IFERROR(__xludf.DUMMYFUNCTION("GOOGLETRANSLATE(B431,""id"",""en"")"),"['Indihome', 'bad']")</f>
        <v>['Indihome', 'bad']</v>
      </c>
      <c r="D431" s="4">
        <v>3.0</v>
      </c>
    </row>
    <row r="432" ht="15.75" customHeight="1">
      <c r="A432" s="1">
        <v>493.0</v>
      </c>
      <c r="B432" s="4" t="s">
        <v>426</v>
      </c>
      <c r="C432" s="4" t="str">
        <f>IFERROR(__xludf.DUMMYFUNCTION("GOOGLETRANSLATE(B432,""id"",""en"")"),"['Pay', 'expensive', 'level', 'service', 'please', 'stay', 'subscribe', 'error', 'slow', 'pay', 'satisfied', 'service', ' Please, 'Application', 'Leet', '']")</f>
        <v>['Pay', 'expensive', 'level', 'service', 'please', 'stay', 'subscribe', 'error', 'slow', 'pay', 'satisfied', 'service', ' Please, 'Application', 'Leet', '']</v>
      </c>
      <c r="D432" s="4">
        <v>1.0</v>
      </c>
    </row>
    <row r="433" ht="15.75" customHeight="1">
      <c r="A433" s="1">
        <v>494.0</v>
      </c>
      <c r="B433" s="4" t="s">
        <v>427</v>
      </c>
      <c r="C433" s="4" t="str">
        <f>IFERROR(__xludf.DUMMYFUNCTION("GOOGLETRANSLATE(B433,""id"",""en"")"),"['wifi', 'rmh', 'natural', 'disturbing', 'cable', 'roll', 'pole', 'kaga', 'repair', 'aspet', 'process',' pretty ',' Abai ',' FAIR ',' INDIHOME ',' TAUN ',' ']")</f>
        <v>['wifi', 'rmh', 'natural', 'disturbing', 'cable', 'roll', 'pole', 'kaga', 'repair', 'aspet', 'process',' pretty ',' Abai ',' FAIR ',' INDIHOME ',' TAUN ',' ']</v>
      </c>
      <c r="D433" s="4">
        <v>1.0</v>
      </c>
    </row>
    <row r="434" ht="15.75" customHeight="1">
      <c r="A434" s="1">
        <v>495.0</v>
      </c>
      <c r="B434" s="4" t="s">
        <v>428</v>
      </c>
      <c r="C434" s="4" t="str">
        <f>IFERROR(__xludf.DUMMYFUNCTION("GOOGLETRANSLATE(B434,""id"",""en"")"),"['aseli', 'deform', 'application', 'ken', 'clay', 'tags',' speed ',' kbps', 'response', 'server', 'open', 'youtube', ' fast']")</f>
        <v>['aseli', 'deform', 'application', 'ken', 'clay', 'tags',' speed ',' kbps', 'response', 'server', 'open', 'youtube', ' fast']</v>
      </c>
      <c r="D434" s="4">
        <v>1.0</v>
      </c>
    </row>
    <row r="435" ht="15.75" customHeight="1">
      <c r="A435" s="1">
        <v>496.0</v>
      </c>
      <c r="B435" s="4" t="s">
        <v>429</v>
      </c>
      <c r="C435" s="4" t="str">
        <f>IFERROR(__xludf.DUMMYFUNCTION("GOOGLETRANSLATE(B435,""id"",""en"")"),"['Severe', 'Login', '']")</f>
        <v>['Severe', 'Login', '']</v>
      </c>
      <c r="D435" s="4">
        <v>1.0</v>
      </c>
    </row>
    <row r="436" ht="15.75" customHeight="1">
      <c r="A436" s="1">
        <v>497.0</v>
      </c>
      <c r="B436" s="4" t="s">
        <v>430</v>
      </c>
      <c r="C436" s="4" t="str">
        <f>IFERROR(__xludf.DUMMYFUNCTION("GOOGLETRANSLATE(B436,""id"",""en"")"),"['Bugs', 'Fixing', 'Ngebug']")</f>
        <v>['Bugs', 'Fixing', 'Ngebug']</v>
      </c>
      <c r="D436" s="4">
        <v>1.0</v>
      </c>
    </row>
    <row r="437" ht="15.75" customHeight="1">
      <c r="A437" s="1">
        <v>498.0</v>
      </c>
      <c r="B437" s="4" t="s">
        <v>431</v>
      </c>
      <c r="C437" s="4" t="str">
        <f>IFERROR(__xludf.DUMMYFUNCTION("GOOGLETRANSLATE(B437,""id"",""en"")"),"['name', 'complement', 'application', 'Erro', 'telephone', 'already', 'pay', 'serve', 'bad', 'net', 'bad', 'late', ' Day ',' Direct ',' Block ']")</f>
        <v>['name', 'complement', 'application', 'Erro', 'telephone', 'already', 'pay', 'serve', 'bad', 'net', 'bad', 'late', ' Day ',' Direct ',' Block ']</v>
      </c>
      <c r="D437" s="4">
        <v>1.0</v>
      </c>
    </row>
    <row r="438" ht="15.75" customHeight="1">
      <c r="A438" s="1">
        <v>499.0</v>
      </c>
      <c r="B438" s="4" t="s">
        <v>432</v>
      </c>
      <c r="C438" s="4" t="str">
        <f>IFERROR(__xludf.DUMMYFUNCTION("GOOGLETRANSLATE(B438,""id"",""en"")"),"['Application', 'Help', '']")</f>
        <v>['Application', 'Help', '']</v>
      </c>
      <c r="D438" s="4">
        <v>5.0</v>
      </c>
    </row>
    <row r="439" ht="15.75" customHeight="1">
      <c r="A439" s="1">
        <v>500.0</v>
      </c>
      <c r="B439" s="4" t="s">
        <v>433</v>
      </c>
      <c r="C439" s="4" t="str">
        <f>IFERROR(__xludf.DUMMYFUNCTION("GOOGLETRANSLATE(B439,""id"",""en"")"),"['access', 'be updated', 'severe', 'application']")</f>
        <v>['access', 'be updated', 'severe', 'application']</v>
      </c>
      <c r="D439" s="4">
        <v>1.0</v>
      </c>
    </row>
    <row r="440" ht="15.75" customHeight="1">
      <c r="A440" s="1">
        <v>501.0</v>
      </c>
      <c r="B440" s="4" t="s">
        <v>434</v>
      </c>
      <c r="C440" s="4" t="str">
        <f>IFERROR(__xludf.DUMMYFUNCTION("GOOGLETRANSLATE(B440,""id"",""en"")"),"['WOI', 'Pay', 'STB', 'Block', ""]")</f>
        <v>['WOI', 'Pay', 'STB', 'Block', "]</v>
      </c>
      <c r="D440" s="4">
        <v>1.0</v>
      </c>
    </row>
    <row r="441" ht="15.75" customHeight="1">
      <c r="A441" s="1">
        <v>502.0</v>
      </c>
      <c r="B441" s="4" t="s">
        <v>435</v>
      </c>
      <c r="C441" s="4" t="str">
        <f>IFERROR(__xludf.DUMMYFUNCTION("GOOGLETRANSLATE(B441,""id"",""en"")"),"['Please', 'System', 'Good', 'Since', 'APL', 'Update', 'Feature', 'APL', 'Disappointed', 'UDH', 'Update', 'APL', ' ']")</f>
        <v>['Please', 'System', 'Good', 'Since', 'APL', 'Update', 'Feature', 'APL', 'Disappointed', 'UDH', 'Update', 'APL', ' ']</v>
      </c>
      <c r="D441" s="4">
        <v>1.0</v>
      </c>
    </row>
    <row r="442" ht="15.75" customHeight="1">
      <c r="A442" s="1">
        <v>503.0</v>
      </c>
      <c r="B442" s="4" t="s">
        <v>436</v>
      </c>
      <c r="C442" s="4" t="str">
        <f>IFERROR(__xludf.DUMMYFUNCTION("GOOGLETRANSLATE(B442,""id"",""en"")"),"['net', 'Indihome', 'bad', 'office', 'home', 'open', 'application', 'indihome', 'difficult', 'bad', 'net', 'indihome', ' How ',' Report ',' service ',' Adu ',' ']")</f>
        <v>['net', 'Indihome', 'bad', 'office', 'home', 'open', 'application', 'indihome', 'difficult', 'bad', 'net', 'indihome', ' How ',' Report ',' service ',' Adu ',' ']</v>
      </c>
      <c r="D442" s="4">
        <v>1.0</v>
      </c>
    </row>
    <row r="443" ht="15.75" customHeight="1">
      <c r="A443" s="1">
        <v>504.0</v>
      </c>
      <c r="B443" s="4" t="s">
        <v>437</v>
      </c>
      <c r="C443" s="4" t="str">
        <f>IFERROR(__xludf.DUMMYFUNCTION("GOOGLETRANSLATE(B443,""id"",""en"")"),"['Select', 'Suggestion', 'Select', 'Indihome', 'Layan', 'Bad', 'Costumer', 'Service', 'Price', 'Expensive', 'Competitor']")</f>
        <v>['Select', 'Suggestion', 'Select', 'Indihome', 'Layan', 'Bad', 'Costumer', 'Service', 'Price', 'Expensive', 'Competitor']</v>
      </c>
      <c r="D443" s="4">
        <v>1.0</v>
      </c>
    </row>
    <row r="444" ht="15.75" customHeight="1">
      <c r="A444" s="1">
        <v>505.0</v>
      </c>
      <c r="B444" s="4" t="s">
        <v>438</v>
      </c>
      <c r="C444" s="4" t="str">
        <f>IFERROR(__xludf.DUMMYFUNCTION("GOOGLETRANSLATE(B444,""id"",""en"")"),"['Application', 'Indihome', 'Update', 'Lot', 'appears', 'appears', 'Skali', 'Please', 'Maintenance', 'Application', ""]")</f>
        <v>['Application', 'Indihome', 'Update', 'Lot', 'appears', 'appears', 'Skali', 'Please', 'Maintenance', 'Application', "]</v>
      </c>
      <c r="D444" s="4">
        <v>5.0</v>
      </c>
    </row>
    <row r="445" ht="15.75" customHeight="1">
      <c r="A445" s="1">
        <v>506.0</v>
      </c>
      <c r="B445" s="4" t="s">
        <v>439</v>
      </c>
      <c r="C445" s="4" t="str">
        <f>IFERROR(__xludf.DUMMYFUNCTION("GOOGLETRANSLATE(B445,""id"",""en"")"),"['Login', 'Golir', 'UDH', 'Enter', 'appears', 'Data', 'Dibangangin', '']")</f>
        <v>['Login', 'Golir', 'UDH', 'Enter', 'appears', 'Data', 'Dibangangin', '']</v>
      </c>
      <c r="D445" s="4">
        <v>1.0</v>
      </c>
    </row>
    <row r="446" ht="15.75" customHeight="1">
      <c r="A446" s="1">
        <v>507.0</v>
      </c>
      <c r="B446" s="4" t="s">
        <v>440</v>
      </c>
      <c r="C446" s="4" t="str">
        <f>IFERROR(__xludf.DUMMYFUNCTION("GOOGLETRANSLATE(B446,""id"",""en"")"),"['good', '']")</f>
        <v>['good', '']</v>
      </c>
      <c r="D446" s="4">
        <v>5.0</v>
      </c>
    </row>
    <row r="447" ht="15.75" customHeight="1">
      <c r="A447" s="1">
        <v>508.0</v>
      </c>
      <c r="B447" s="4" t="s">
        <v>441</v>
      </c>
      <c r="C447" s="4" t="str">
        <f>IFERROR(__xludf.DUMMYFUNCTION("GOOGLETRANSLATE(B447,""id"",""en"")"),"['ugly', 'Loading']")</f>
        <v>['ugly', 'Loading']</v>
      </c>
      <c r="D447" s="4">
        <v>1.0</v>
      </c>
    </row>
    <row r="448" ht="15.75" customHeight="1">
      <c r="A448" s="1">
        <v>509.0</v>
      </c>
      <c r="B448" s="4" t="s">
        <v>442</v>
      </c>
      <c r="C448" s="4" t="str">
        <f>IFERROR(__xludf.DUMMYFUNCTION("GOOGLETRANSLATE(B448,""id"",""en"")"),"['Pay', 'Disedit', 'complement', 'application', 'open', 'Loding', '']")</f>
        <v>['Pay', 'Disedit', 'complement', 'application', 'open', 'Loding', '']</v>
      </c>
      <c r="D448" s="4">
        <v>1.0</v>
      </c>
    </row>
    <row r="449" ht="15.75" customHeight="1">
      <c r="A449" s="1">
        <v>510.0</v>
      </c>
      <c r="B449" s="4" t="s">
        <v>443</v>
      </c>
      <c r="C449" s="4" t="str">
        <f>IFERROR(__xludf.DUMMYFUNCTION("GOOGLETRANSLATE(B449,""id"",""en"")"),"['', 'Guna', 'Adu', 'Serve', 'Use', 'Bot', 'Pay', 'Expensive', 'Layan', 'Bad']")</f>
        <v>['', 'Guna', 'Adu', 'Serve', 'Use', 'Bot', 'Pay', 'Expensive', 'Layan', 'Bad']</v>
      </c>
      <c r="D449" s="4">
        <v>1.0</v>
      </c>
    </row>
    <row r="450" ht="15.75" customHeight="1">
      <c r="A450" s="1">
        <v>511.0</v>
      </c>
      <c r="B450" s="4" t="s">
        <v>444</v>
      </c>
      <c r="C450" s="4" t="str">
        <f>IFERROR(__xludf.DUMMYFUNCTION("GOOGLETRANSLATE(B450,""id"",""en"")"),"['service', 'Adu', 'Application', 'Lot', 'Loading', 'Process', 'Down', 'Quality', 'Layan', 'Indihome', '']")</f>
        <v>['service', 'Adu', 'Application', 'Lot', 'Loading', 'Process', 'Down', 'Quality', 'Layan', 'Indihome', '']</v>
      </c>
      <c r="D450" s="4">
        <v>1.0</v>
      </c>
    </row>
    <row r="451" ht="15.75" customHeight="1">
      <c r="A451" s="1">
        <v>512.0</v>
      </c>
      <c r="B451" s="4" t="s">
        <v>445</v>
      </c>
      <c r="C451" s="4" t="str">
        <f>IFERROR(__xludf.DUMMYFUNCTION("GOOGLETRANSLATE(B451,""id"",""en"")"),"['Informative', 'easy']")</f>
        <v>['Informative', 'easy']</v>
      </c>
      <c r="D451" s="4">
        <v>5.0</v>
      </c>
    </row>
    <row r="452" ht="15.75" customHeight="1">
      <c r="A452" s="1">
        <v>513.0</v>
      </c>
      <c r="B452" s="4" t="s">
        <v>446</v>
      </c>
      <c r="C452" s="4" t="str">
        <f>IFERROR(__xludf.DUMMYFUNCTION("GOOGLETRANSLATE(B452,""id"",""en"")"),"['Application', 'Ter', 'Ngelag', 'Check', 'Tagih', 'Logout', ""]")</f>
        <v>['Application', 'Ter', 'Ngelag', 'Check', 'Tagih', 'Logout', "]</v>
      </c>
      <c r="D452" s="4">
        <v>1.0</v>
      </c>
    </row>
    <row r="453" ht="15.75" customHeight="1">
      <c r="A453" s="1">
        <v>514.0</v>
      </c>
      <c r="B453" s="4" t="s">
        <v>447</v>
      </c>
      <c r="C453" s="4" t="str">
        <f>IFERROR(__xludf.DUMMYFUNCTION("GOOGLETRANSLATE(B453,""id"",""en"")"),"['Application', 'need', 'TELKOM', 'Loading', 'Slow', 'Please', 'Kembang', 'Telkomsel']")</f>
        <v>['Application', 'need', 'TELKOM', 'Loading', 'Slow', 'Please', 'Kembang', 'Telkomsel']</v>
      </c>
      <c r="D453" s="4">
        <v>3.0</v>
      </c>
    </row>
    <row r="454" ht="15.75" customHeight="1">
      <c r="A454" s="1">
        <v>515.0</v>
      </c>
      <c r="B454" s="4" t="s">
        <v>448</v>
      </c>
      <c r="C454" s="4" t="str">
        <f>IFERROR(__xludf.DUMMYFUNCTION("GOOGLETRANSLATE(B454,""id"",""en"")"),"['difficult', 'access', 'Loding', 'trs', '']")</f>
        <v>['difficult', 'access', 'Loding', 'trs', '']</v>
      </c>
      <c r="D454" s="4">
        <v>3.0</v>
      </c>
    </row>
    <row r="455" ht="15.75" customHeight="1">
      <c r="A455" s="1">
        <v>517.0</v>
      </c>
      <c r="B455" s="4" t="s">
        <v>449</v>
      </c>
      <c r="C455" s="4" t="str">
        <f>IFERROR(__xludf.DUMMYFUNCTION("GOOGLETRANSLATE(B455,""id"",""en"")"),"['Pay', 'direct', 'automatic', 'Connect', 'confirm', 'confirm', 'direct', 'connect', 'internet', 'teatan', 'technology', 'automatic', ' indiehome ',' slow ',' pay ',' get ',' fine ',' AJU ',' fine ',' indiehome ',' slow ',' connecting ',' internet ',' sel"&amp;"l ',' business' , 'Connection', 'Internet', 'Loss', '']")</f>
        <v>['Pay', 'direct', 'automatic', 'Connect', 'confirm', 'confirm', 'direct', 'connect', 'internet', 'teatan', 'technology', 'automatic', ' indiehome ',' slow ',' pay ',' get ',' fine ',' AJU ',' fine ',' indiehome ',' slow ',' connecting ',' internet ',' sell ',' business' , 'Connection', 'Internet', 'Loss', '']</v>
      </c>
      <c r="D455" s="4">
        <v>1.0</v>
      </c>
    </row>
    <row r="456" ht="15.75" customHeight="1">
      <c r="A456" s="1">
        <v>518.0</v>
      </c>
      <c r="B456" s="4" t="s">
        <v>450</v>
      </c>
      <c r="C456" s="4" t="str">
        <f>IFERROR(__xludf.DUMMYFUNCTION("GOOGLETRANSLATE(B456,""id"",""en"")"),"['Application', 'Leet', 'Many', 'Loading']")</f>
        <v>['Application', 'Leet', 'Many', 'Loading']</v>
      </c>
      <c r="D456" s="4">
        <v>1.0</v>
      </c>
    </row>
    <row r="457" ht="15.75" customHeight="1">
      <c r="A457" s="1">
        <v>519.0</v>
      </c>
      <c r="B457" s="4" t="s">
        <v>451</v>
      </c>
      <c r="C457" s="4" t="str">
        <f>IFERROR(__xludf.DUMMYFUNCTION("GOOGLETRANSLATE(B457,""id"",""en"")"),"['poor', 'Indihome', 'Pay', 'Internet', 'isolir', 'AJU', 'Adu', 'Application', 'Telfon', 'Compensation', 'Tobat', 'Indihome']")</f>
        <v>['poor', 'Indihome', 'Pay', 'Internet', 'isolir', 'AJU', 'Adu', 'Application', 'Telfon', 'Compensation', 'Tobat', 'Indihome']</v>
      </c>
      <c r="D457" s="4">
        <v>1.0</v>
      </c>
    </row>
    <row r="458" ht="15.75" customHeight="1">
      <c r="A458" s="1">
        <v>520.0</v>
      </c>
      <c r="B458" s="4" t="s">
        <v>452</v>
      </c>
      <c r="C458" s="4" t="str">
        <f>IFERROR(__xludf.DUMMYFUNCTION("GOOGLETRANSLATE(B458,""id"",""en"")"),"['WFI', 'home', 'Error', 'Please', 'help', 'servic', 'boss', 'night']")</f>
        <v>['WFI', 'home', 'Error', 'Please', 'help', 'servic', 'boss', 'night']</v>
      </c>
      <c r="D458" s="4">
        <v>3.0</v>
      </c>
    </row>
    <row r="459" ht="15.75" customHeight="1">
      <c r="A459" s="1">
        <v>521.0</v>
      </c>
      <c r="B459" s="4" t="s">
        <v>453</v>
      </c>
      <c r="C459" s="4" t="str">
        <f>IFERROR(__xludf.DUMMYFUNCTION("GOOGLETRANSLATE(B459,""id"",""en"")"),"['Indihome', 'wifie', 'home', 'yesterday', 'afternoon', 'lights',' pound ',' blinking ',' blinking ',' red ',' morning ',' dead ',' Total ',' please ',' hand ',' ']")</f>
        <v>['Indihome', 'wifie', 'home', 'yesterday', 'afternoon', 'lights',' pound ',' blinking ',' blinking ',' red ',' morning ',' dead ',' Total ',' please ',' hand ',' ']</v>
      </c>
      <c r="D459" s="4">
        <v>2.0</v>
      </c>
    </row>
    <row r="460" ht="15.75" customHeight="1">
      <c r="A460" s="1">
        <v>522.0</v>
      </c>
      <c r="B460" s="4" t="s">
        <v>454</v>
      </c>
      <c r="C460" s="4" t="str">
        <f>IFERROR(__xludf.DUMMYFUNCTION("GOOGLETRANSLATE(B460,""id"",""en"")"),"['net', 'lot', 'price', 'expensive', 'pay', 'smooth']")</f>
        <v>['net', 'lot', 'price', 'expensive', 'pay', 'smooth']</v>
      </c>
      <c r="D460" s="4">
        <v>3.0</v>
      </c>
    </row>
    <row r="461" ht="15.75" customHeight="1">
      <c r="A461" s="1">
        <v>523.0</v>
      </c>
      <c r="B461" s="4" t="s">
        <v>455</v>
      </c>
      <c r="C461" s="4" t="str">
        <f>IFERROR(__xludf.DUMMYFUNCTION("GOOGLETRANSLATE(B461,""id"",""en"")"),"['Really', 'Disappointed']")</f>
        <v>['Really', 'Disappointed']</v>
      </c>
      <c r="D461" s="4">
        <v>1.0</v>
      </c>
    </row>
    <row r="462" ht="15.75" customHeight="1">
      <c r="A462" s="1">
        <v>524.0</v>
      </c>
      <c r="B462" s="4" t="s">
        <v>456</v>
      </c>
      <c r="C462" s="4" t="str">
        <f>IFERROR(__xludf.DUMMYFUNCTION("GOOGLETRANSLATE(B462,""id"",""en"")"),"['lazy', 'use', 'indihome', 'month', 'pay', 'tetiba', 'confirmation', 'added', 'service']")</f>
        <v>['lazy', 'use', 'indihome', 'month', 'pay', 'tetiba', 'confirmation', 'added', 'service']</v>
      </c>
      <c r="D462" s="4">
        <v>1.0</v>
      </c>
    </row>
    <row r="463" ht="15.75" customHeight="1">
      <c r="A463" s="1">
        <v>525.0</v>
      </c>
      <c r="B463" s="4" t="s">
        <v>457</v>
      </c>
      <c r="C463" s="4" t="str">
        <f>IFERROR(__xludf.DUMMYFUNCTION("GOOGLETRANSLATE(B463,""id"",""en"")"),"['yeah', 'comment', 'subscribe', 'hub', 'difficult', 'extension', 'turned', 'rich', 'bureaucracy', 'direct', 'insubal', 'read', ' Subscribe ',' Search ',' Solution ',' Finish ',' Already ',' Pay ',' Real ',' Time ',' What ',' Season ', ""]")</f>
        <v>['yeah', 'comment', 'subscribe', 'hub', 'difficult', 'extension', 'turned', 'rich', 'bureaucracy', 'direct', 'insubal', 'read', ' Subscribe ',' Search ',' Solution ',' Finish ',' Already ',' Pay ',' Real ',' Time ',' What ',' Season ', "]</v>
      </c>
      <c r="D463" s="4">
        <v>1.0</v>
      </c>
    </row>
    <row r="464" ht="15.75" customHeight="1">
      <c r="A464" s="1">
        <v>526.0</v>
      </c>
      <c r="B464" s="4" t="s">
        <v>458</v>
      </c>
      <c r="C464" s="4" t="str">
        <f>IFERROR(__xludf.DUMMYFUNCTION("GOOGLETRANSLATE(B464,""id"",""en"")"),"['connection', 'application', 'slow', 'beg', 'good', 'open', 'youtube', 'smooth', 'open', 'myindihome', 'slow', ""]")</f>
        <v>['connection', 'application', 'slow', 'beg', 'good', 'open', 'youtube', 'smooth', 'open', 'myindihome', 'slow', "]</v>
      </c>
      <c r="D464" s="4">
        <v>2.0</v>
      </c>
    </row>
    <row r="465" ht="15.75" customHeight="1">
      <c r="A465" s="1">
        <v>527.0</v>
      </c>
      <c r="B465" s="4" t="s">
        <v>459</v>
      </c>
      <c r="C465" s="4" t="str">
        <f>IFERROR(__xludf.DUMMYFUNCTION("GOOGLETRANSLATE(B465,""id"",""en"")"),"['Sorry', 'late', 'pay', 'forget', 'pay', 'connect', 'connect', 'difficult', 'application', 'many', 'menu', 'for', ' Many ',' promo ',' service ',' slow ',' bad ']")</f>
        <v>['Sorry', 'late', 'pay', 'forget', 'pay', 'connect', 'connect', 'difficult', 'application', 'many', 'menu', 'for', ' Many ',' promo ',' service ',' slow ',' bad ']</v>
      </c>
      <c r="D465" s="4">
        <v>1.0</v>
      </c>
    </row>
    <row r="466" ht="15.75" customHeight="1">
      <c r="A466" s="1">
        <v>528.0</v>
      </c>
      <c r="B466" s="4" t="s">
        <v>460</v>
      </c>
      <c r="C466" s="4" t="str">
        <f>IFERROR(__xludf.DUMMYFUNCTION("GOOGLETRANSLATE(B466,""id"",""en"")"),"['service', 'slow', 'pay', 'tap', 'month', 'pay', 'tags',' internet ',' life ',' die ',' down ',' pay ',' easy ',' business', 'lbh', 'professional', 'service', 'subscribe', 'tks']")</f>
        <v>['service', 'slow', 'pay', 'tap', 'month', 'pay', 'tags',' internet ',' life ',' die ',' down ',' pay ',' easy ',' business', 'lbh', 'professional', 'service', 'subscribe', 'tks']</v>
      </c>
      <c r="D466" s="4">
        <v>1.0</v>
      </c>
    </row>
    <row r="467" ht="15.75" customHeight="1">
      <c r="A467" s="1">
        <v>529.0</v>
      </c>
      <c r="B467" s="4" t="s">
        <v>461</v>
      </c>
      <c r="C467" s="4" t="str">
        <f>IFERROR(__xludf.DUMMYFUNCTION("GOOGLETRANSLATE(B467,""id"",""en"")"),"['Please', 'Good', 'Servant', 'Adu', 'Call', 'Center', 'Application', 'Access',' Easy ',' Loading ',' Connection ',' Layan ',' Adu ',' bad ',' ']")</f>
        <v>['Please', 'Good', 'Servant', 'Adu', 'Call', 'Center', 'Application', 'Access',' Easy ',' Loading ',' Connection ',' Layan ',' Adu ',' bad ',' ']</v>
      </c>
      <c r="D467" s="4">
        <v>1.0</v>
      </c>
    </row>
    <row r="468" ht="15.75" customHeight="1">
      <c r="A468" s="1">
        <v>530.0</v>
      </c>
      <c r="B468" s="4" t="s">
        <v>462</v>
      </c>
      <c r="C468" s="4" t="str">
        <f>IFERROR(__xludf.DUMMYFUNCTION("GOOGLETRANSLATE(B468,""id"",""en"")"),"['Application', 'Gaguna', 'Clearjelas', 'Indihime', 'Bilng', 'Deferred', ""]")</f>
        <v>['Application', 'Gaguna', 'Clearjelas', 'Indihime', 'Bilng', 'Deferred', "]</v>
      </c>
      <c r="D468" s="4">
        <v>1.0</v>
      </c>
    </row>
    <row r="469" ht="15.75" customHeight="1">
      <c r="A469" s="1">
        <v>532.0</v>
      </c>
      <c r="B469" s="4" t="s">
        <v>463</v>
      </c>
      <c r="C469" s="4" t="str">
        <f>IFERROR(__xludf.DUMMYFUNCTION("GOOGLETRANSLATE(B469,""id"",""en"")"),"['application', 'ugly']")</f>
        <v>['application', 'ugly']</v>
      </c>
      <c r="D469" s="4">
        <v>1.0</v>
      </c>
    </row>
    <row r="470" ht="15.75" customHeight="1">
      <c r="A470" s="1">
        <v>533.0</v>
      </c>
      <c r="B470" s="4" t="s">
        <v>464</v>
      </c>
      <c r="C470" s="4" t="str">
        <f>IFERROR(__xludf.DUMMYFUNCTION("GOOGLETRANSLATE(B470,""id"",""en"")"),"['Lot', 'really', 'oath']")</f>
        <v>['Lot', 'really', 'oath']</v>
      </c>
      <c r="D470" s="4">
        <v>1.0</v>
      </c>
    </row>
    <row r="471" ht="15.75" customHeight="1">
      <c r="A471" s="1">
        <v>534.0</v>
      </c>
      <c r="B471" s="4" t="s">
        <v>465</v>
      </c>
      <c r="C471" s="4" t="str">
        <f>IFERROR(__xludf.DUMMYFUNCTION("GOOGLETRANSLATE(B471,""id"",""en"")"),"['signal', 'dead', 'application', 'adu', 'lag', 'subscribe', 'indihome', 'kyk', 'gin', 'service']")</f>
        <v>['signal', 'dead', 'application', 'adu', 'lag', 'subscribe', 'indihome', 'kyk', 'gin', 'service']</v>
      </c>
      <c r="D471" s="4">
        <v>2.0</v>
      </c>
    </row>
    <row r="472" ht="15.75" customHeight="1">
      <c r="A472" s="1">
        <v>535.0</v>
      </c>
      <c r="B472" s="4" t="s">
        <v>466</v>
      </c>
      <c r="C472" s="4" t="str">
        <f>IFERROR(__xludf.DUMMYFUNCTION("GOOGLETRANSLATE(B472,""id"",""en"")"),"['application', 'pay', 'month', 'application', 'write', 'told', 'pay', 'date', 'February', 'perfect', 'application', 'application']")</f>
        <v>['application', 'pay', 'month', 'application', 'write', 'told', 'pay', 'date', 'February', 'perfect', 'application', 'application']</v>
      </c>
      <c r="D472" s="4">
        <v>1.0</v>
      </c>
    </row>
    <row r="473" ht="15.75" customHeight="1">
      <c r="A473" s="1">
        <v>536.0</v>
      </c>
      <c r="B473" s="4" t="s">
        <v>467</v>
      </c>
      <c r="C473" s="4" t="str">
        <f>IFERROR(__xludf.DUMMYFUNCTION("GOOGLETRANSLATE(B473,""id"",""en"")"),"['gymna', 'after', 'new', 'application', 'indihomen', 'bus',' clay ',' rincin ',' pay ',' msih ',' good ',' application ',' before ',' new ',' difficult ',' erti ',' indihome ',' expensive ',' doank ',' net ',' slow ',' bngt ',' pdahal ',' udh ',' use ' ,"&amp;" 'capacity', 'before', 'Tlat', 'pay', 'bru', 'late', 'day', 'then', 'lngsung', 'pay', 'eeeh', 'net', ' UDH ',' ACCESS ',' AJH ',' Tlong ',' Donk ',' Indihome ',' Hope ',' Good ',' All ',' Disappointed ',' Subscribe ',' Prgi ',' Lho ' , '']")</f>
        <v>['gymna', 'after', 'new', 'application', 'indihomen', 'bus',' clay ',' rincin ',' pay ',' msih ',' good ',' application ',' before ',' new ',' difficult ',' erti ',' indihome ',' expensive ',' doank ',' net ',' slow ',' bngt ',' pdahal ',' udh ',' use ' , 'capacity', 'before', 'Tlat', 'pay', 'bru', 'late', 'day', 'then', 'lngsung', 'pay', 'eeeh', 'net', ' UDH ',' ACCESS ',' AJH ',' Tlong ',' Donk ',' Indihome ',' Hope ',' Good ',' All ',' Disappointed ',' Subscribe ',' Prgi ',' Lho ' , '']</v>
      </c>
      <c r="D473" s="4">
        <v>1.0</v>
      </c>
    </row>
    <row r="474" ht="15.75" customHeight="1">
      <c r="A474" s="1">
        <v>537.0</v>
      </c>
      <c r="B474" s="4" t="s">
        <v>468</v>
      </c>
      <c r="C474" s="4" t="str">
        <f>IFERROR(__xludf.DUMMYFUNCTION("GOOGLETRANSLATE(B474,""id"",""en"")"),"['Try', 'competitiveness', 'wifi', 'Select', 'DRPD', 'Indihome', 'Disappointed']")</f>
        <v>['Try', 'competitiveness', 'wifi', 'Select', 'DRPD', 'Indihome', 'Disappointed']</v>
      </c>
      <c r="D474" s="4">
        <v>1.0</v>
      </c>
    </row>
    <row r="475" ht="15.75" customHeight="1">
      <c r="A475" s="1">
        <v>538.0</v>
      </c>
      <c r="B475" s="4" t="s">
        <v>469</v>
      </c>
      <c r="C475" s="4" t="str">
        <f>IFERROR(__xludf.DUMMYFUNCTION("GOOGLETRANSLATE(B475,""id"",""en"")"),"['Pay', 'Mas',' fast ',' isolir ',' right ',' person ',' already ',' pay ',' fast ',' open ',' Udh ',' slow ',' nets', 'Lot', 'skrg', 'pay', 'expensive', '']")</f>
        <v>['Pay', 'Mas',' fast ',' isolir ',' right ',' person ',' already ',' pay ',' fast ',' open ',' Udh ',' slow ',' nets', 'Lot', 'skrg', 'pay', 'expensive', '']</v>
      </c>
      <c r="D475" s="4">
        <v>1.0</v>
      </c>
    </row>
    <row r="476" ht="15.75" customHeight="1">
      <c r="A476" s="1">
        <v>539.0</v>
      </c>
      <c r="B476" s="4" t="s">
        <v>470</v>
      </c>
      <c r="C476" s="4" t="str">
        <f>IFERROR(__xludf.DUMMYFUNCTION("GOOGLETRANSLATE(B476,""id"",""en"")"),"['Indihome', '']")</f>
        <v>['Indihome', '']</v>
      </c>
      <c r="D476" s="4">
        <v>2.0</v>
      </c>
    </row>
    <row r="477" ht="15.75" customHeight="1">
      <c r="A477" s="1">
        <v>540.0</v>
      </c>
      <c r="B477" s="4" t="s">
        <v>471</v>
      </c>
      <c r="C477" s="4" t="str">
        <f>IFERROR(__xludf.DUMMYFUNCTION("GOOGLETRANSLATE(B477,""id"",""en"")"),"['Mantep']")</f>
        <v>['Mantep']</v>
      </c>
      <c r="D477" s="4">
        <v>5.0</v>
      </c>
    </row>
    <row r="478" ht="15.75" customHeight="1">
      <c r="A478" s="1">
        <v>541.0</v>
      </c>
      <c r="B478" s="4" t="s">
        <v>472</v>
      </c>
      <c r="C478" s="4" t="str">
        <f>IFERROR(__xludf.DUMMYFUNCTION("GOOGLETRANSLATE(B478,""id"",""en"")"),"['Good', 'Interaction', 'and', 'Deducation', '']")</f>
        <v>['Good', 'Interaction', 'and', 'Deducation', '']</v>
      </c>
      <c r="D478" s="4">
        <v>5.0</v>
      </c>
    </row>
    <row r="479" ht="15.75" customHeight="1">
      <c r="A479" s="1">
        <v>542.0</v>
      </c>
      <c r="B479" s="4" t="s">
        <v>473</v>
      </c>
      <c r="C479" s="4" t="str">
        <f>IFERROR(__xludf.DUMMYFUNCTION("GOOGLETRANSLATE(B479,""id"",""en"")"),"['Download', 'help', 'easy', 'difficult', 'kasi', 'rating', 'already', 'kasi', 'star', '']")</f>
        <v>['Download', 'help', 'easy', 'difficult', 'kasi', 'rating', 'already', 'kasi', 'star', '']</v>
      </c>
      <c r="D479" s="4">
        <v>1.0</v>
      </c>
    </row>
    <row r="480" ht="15.75" customHeight="1">
      <c r="A480" s="1">
        <v>543.0</v>
      </c>
      <c r="B480" s="4" t="s">
        <v>474</v>
      </c>
      <c r="C480" s="4" t="str">
        <f>IFERROR(__xludf.DUMMYFUNCTION("GOOGLETRANSLATE(B480,""id"",""en"")"),"['Good', 'service', 'Apalikasi', 'Indihome', 'level', 'service', 'ganguan', 'process',' adu ',' good ',' fast ',' process', ' work ',' because ',' pay ',' ganguan ',' top ',' fast ',' delay ',' day ',' money ',' trimaksi ']")</f>
        <v>['Good', 'service', 'Apalikasi', 'Indihome', 'level', 'service', 'ganguan', 'process',' adu ',' good ',' fast ',' process', ' work ',' because ',' pay ',' ganguan ',' top ',' fast ',' delay ',' day ',' money ',' trimaksi ']</v>
      </c>
      <c r="D480" s="4">
        <v>5.0</v>
      </c>
    </row>
    <row r="481" ht="15.75" customHeight="1">
      <c r="A481" s="1">
        <v>544.0</v>
      </c>
      <c r="B481" s="4" t="s">
        <v>475</v>
      </c>
      <c r="C481" s="4" t="str">
        <f>IFERROR(__xludf.DUMMYFUNCTION("GOOGLETRANSLATE(B481,""id"",""en"")"),"['', 'BYR', 'INDIHOME', 'SAMPE', 'SKRG', 'Internet', 'BLM', 'Natural', 'HRS', 'BYR', 'LSG', 'automatos',' use ',' Internet ',' MLH ',' TLP ',' Sampe ',' skrg ',' blm ',' internet ',' mhn ',' work ',' tuk ',' indihome ',' byr ', 'expensive', 'service', 'ML"&amp;"H', 'Bener', 'pairs',' internet ',' child ',' college ',' school ',' online ',' mlh ',' slow ',' serve ', 'Thanks']")</f>
        <v>['', 'BYR', 'INDIHOME', 'SAMPE', 'SKRG', 'Internet', 'BLM', 'Natural', 'HRS', 'BYR', 'LSG', 'automatos',' use ',' Internet ',' MLH ',' TLP ',' Sampe ',' skrg ',' blm ',' internet ',' mhn ',' work ',' tuk ',' indihome ',' byr ', 'expensive', 'service', 'MLH', 'Bener', 'pairs',' internet ',' child ',' college ',' school ',' online ',' mlh ',' slow ',' serve ', 'Thanks']</v>
      </c>
      <c r="D481" s="4">
        <v>1.0</v>
      </c>
    </row>
    <row r="482" ht="15.75" customHeight="1">
      <c r="A482" s="1">
        <v>545.0</v>
      </c>
      <c r="B482" s="4" t="s">
        <v>476</v>
      </c>
      <c r="C482" s="4" t="str">
        <f>IFERROR(__xludf.DUMMYFUNCTION("GOOGLETRANSLATE(B482,""id"",""en"")"),"['Help', 'pay', 'less', 'detection', 'use', 'wifi']")</f>
        <v>['Help', 'pay', 'less', 'detection', 'use', 'wifi']</v>
      </c>
      <c r="D482" s="4">
        <v>4.0</v>
      </c>
    </row>
    <row r="483" ht="15.75" customHeight="1">
      <c r="A483" s="1">
        <v>546.0</v>
      </c>
      <c r="B483" s="4" t="s">
        <v>477</v>
      </c>
      <c r="C483" s="4" t="str">
        <f>IFERROR(__xludf.DUMMYFUNCTION("GOOGLETRANSLATE(B483,""id"",""en"")"),"['Original', 'Application', 'Myindihome', 'Season', 'Disturbs',' Strange ',' What ',' Forward ',' Application ',' Disturbs', 'Dipake', 'Severe', ' errors', 'login', 'disturb', 'times',' difficult ',' login ',' enter ',' application ',' myindihome ',' plea"&amp;"se ',' good ',' sdm ',' thank ' , 'Love', 'responds', '']")</f>
        <v>['Original', 'Application', 'Myindihome', 'Season', 'Disturbs',' Strange ',' What ',' Forward ',' Application ',' Disturbs', 'Dipake', 'Severe', ' errors', 'login', 'disturb', 'times',' difficult ',' login ',' enter ',' application ',' myindihome ',' please ',' good ',' sdm ',' thank ' , 'Love', 'responds', '']</v>
      </c>
      <c r="D483" s="4">
        <v>5.0</v>
      </c>
    </row>
    <row r="484" ht="15.75" customHeight="1">
      <c r="A484" s="1">
        <v>547.0</v>
      </c>
      <c r="B484" s="4" t="s">
        <v>478</v>
      </c>
      <c r="C484" s="4" t="str">
        <f>IFERROR(__xludf.DUMMYFUNCTION("GOOGLETRANSLATE(B484,""id"",""en"")"),"['Oengguna', 'Indihome', 'KSNI', 'strange', 'fast', 'internet', 'bad', 'Sometimes',' Los', 'times',' Report ',' fast ',' Mbps', 'fast', 'KSNI', 'expensive', 'use', 'Mbps',' Details', 'Pay', 'Application', 'Up', 'Costs',' Males', 'Use' , 'INDIHOME', 'Serve"&amp;"r', 'MSK', 'Mngkin', 'Direct', 'Move', 'Gin', '']")</f>
        <v>['Oengguna', 'Indihome', 'KSNI', 'strange', 'fast', 'internet', 'bad', 'Sometimes',' Los', 'times',' Report ',' fast ',' Mbps', 'fast', 'KSNI', 'expensive', 'use', 'Mbps',' Details', 'Pay', 'Application', 'Up', 'Costs',' Males', 'Use' , 'INDIHOME', 'Server', 'MSK', 'Mngkin', 'Direct', 'Move', 'Gin', '']</v>
      </c>
      <c r="D484" s="4">
        <v>1.0</v>
      </c>
    </row>
    <row r="485" ht="15.75" customHeight="1">
      <c r="A485" s="1">
        <v>548.0</v>
      </c>
      <c r="B485" s="4" t="s">
        <v>479</v>
      </c>
      <c r="C485" s="4" t="str">
        <f>IFERROR(__xludf.DUMMYFUNCTION("GOOGLETRANSLATE(B485,""id"",""en"")"),"['Help', 'Technical', 'Disgueness', 'Indihome', 'Contact', 'Technician', 'Indihome', 'Special', 'Tanggerang', 'South']")</f>
        <v>['Help', 'Technical', 'Disgueness', 'Indihome', 'Contact', 'Technician', 'Indihome', 'Special', 'Tanggerang', 'South']</v>
      </c>
      <c r="D485" s="4">
        <v>3.0</v>
      </c>
    </row>
    <row r="486" ht="15.75" customHeight="1">
      <c r="A486" s="1">
        <v>549.0</v>
      </c>
      <c r="B486" s="4" t="s">
        <v>480</v>
      </c>
      <c r="C486" s="4" t="str">
        <f>IFERROR(__xludf.DUMMYFUNCTION("GOOGLETRANSLATE(B486,""id"",""en"")"),"['Internet', 'BUMN', 'Bad', 'Dilapidated', 'Take', 'Tool', 'Indihome', 'Semena', 'Disappointed', 'Indihome']")</f>
        <v>['Internet', 'BUMN', 'Bad', 'Dilapidated', 'Take', 'Tool', 'Indihome', 'Semena', 'Disappointed', 'Indihome']</v>
      </c>
      <c r="D486" s="4">
        <v>1.0</v>
      </c>
    </row>
    <row r="487" ht="15.75" customHeight="1">
      <c r="A487" s="1">
        <v>550.0</v>
      </c>
      <c r="B487" s="4" t="s">
        <v>481</v>
      </c>
      <c r="C487" s="4" t="str">
        <f>IFERROR(__xludf.DUMMYFUNCTION("GOOGLETRANSLATE(B487,""id"",""en"")"),"['gooooodddd']")</f>
        <v>['gooooodddd']</v>
      </c>
      <c r="D487" s="4">
        <v>5.0</v>
      </c>
    </row>
    <row r="488" ht="15.75" customHeight="1">
      <c r="A488" s="1">
        <v>551.0</v>
      </c>
      <c r="B488" s="4" t="s">
        <v>482</v>
      </c>
      <c r="C488" s="4" t="str">
        <f>IFERROR(__xludf.DUMMYFUNCTION("GOOGLETRANSLATE(B488,""id"",""en"")"),"['level', 'kwlitas', 'net']")</f>
        <v>['level', 'kwlitas', 'net']</v>
      </c>
      <c r="D488" s="4">
        <v>1.0</v>
      </c>
    </row>
    <row r="489" ht="15.75" customHeight="1">
      <c r="A489" s="1">
        <v>553.0</v>
      </c>
      <c r="B489" s="4" t="s">
        <v>483</v>
      </c>
      <c r="C489" s="4" t="str">
        <f>IFERROR(__xludf.DUMMYFUNCTION("GOOGLETRANSLATE(B489,""id"",""en"")"),"['Help', 'Indihome', 'good', 'signal', 'Kya', 'Gin', 'broken', 'net', 'slow', 'gaming', 'difficult', 'rich', ' Subscribe to ',' year ',' tmbah ',' broken ',' jves', 'expensive', 'please', 'good', ""]")</f>
        <v>['Help', 'Indihome', 'good', 'signal', 'Kya', 'Gin', 'broken', 'net', 'slow', 'gaming', 'difficult', 'rich', ' Subscribe to ',' year ',' tmbah ',' broken ',' jves', 'expensive', 'please', 'good', "]</v>
      </c>
      <c r="D489" s="4">
        <v>1.0</v>
      </c>
    </row>
    <row r="490" ht="15.75" customHeight="1">
      <c r="A490" s="1">
        <v>554.0</v>
      </c>
      <c r="B490" s="4" t="s">
        <v>484</v>
      </c>
      <c r="C490" s="4" t="str">
        <f>IFERROR(__xludf.DUMMYFUNCTION("GOOGLETRANSLATE(B490,""id"",""en"")"),"['Login', 'kog', 'Ngg', 'enter', 'Please', 'point']")</f>
        <v>['Login', 'kog', 'Ngg', 'enter', 'Please', 'point']</v>
      </c>
      <c r="D490" s="4">
        <v>1.0</v>
      </c>
    </row>
    <row r="491" ht="15.75" customHeight="1">
      <c r="A491" s="1">
        <v>555.0</v>
      </c>
      <c r="B491" s="4" t="s">
        <v>485</v>
      </c>
      <c r="C491" s="4" t="str">
        <f>IFERROR(__xludf.DUMMYFUNCTION("GOOGLETRANSLATE(B491,""id"",""en"")"),"['help']")</f>
        <v>['help']</v>
      </c>
      <c r="D491" s="4">
        <v>5.0</v>
      </c>
    </row>
    <row r="492" ht="15.75" customHeight="1">
      <c r="A492" s="1">
        <v>557.0</v>
      </c>
      <c r="B492" s="4" t="s">
        <v>486</v>
      </c>
      <c r="C492" s="4" t="str">
        <f>IFERROR(__xludf.DUMMYFUNCTION("GOOGLETRANSLATE(B492,""id"",""en"")"),"['Subscribe', 'serve', 'bad', 'technicians',' like ',' responsibility ',' low ',' response ',' right ',' work ',' unclean ',' deh ',' Moga ',' connection ',' internet ',' smooth ',' play ',' game ',' lag ',' ping ', ""]")</f>
        <v>['Subscribe', 'serve', 'bad', 'technicians',' like ',' responsibility ',' low ',' response ',' right ',' work ',' unclean ',' deh ',' Moga ',' connection ',' internet ',' smooth ',' play ',' game ',' lag ',' ping ', "]</v>
      </c>
      <c r="D492" s="4">
        <v>1.0</v>
      </c>
    </row>
    <row r="493" ht="15.75" customHeight="1">
      <c r="A493" s="1">
        <v>558.0</v>
      </c>
      <c r="B493" s="4" t="s">
        <v>487</v>
      </c>
      <c r="C493" s="4" t="str">
        <f>IFERROR(__xludf.DUMMYFUNCTION("GOOGLETRANSLATE(B493,""id"",""en"")"),"['Internet', 'Indihome', 'home', 'broke', 'disturbing', 'work', 'times', 'technician', 'hubbling', 'response', 'confused', 'what' do ',' ']")</f>
        <v>['Internet', 'Indihome', 'home', 'broke', 'disturbing', 'work', 'times', 'technician', 'hubbling', 'response', 'confused', 'what' do ',' ']</v>
      </c>
      <c r="D493" s="4">
        <v>1.0</v>
      </c>
    </row>
    <row r="494" ht="15.75" customHeight="1">
      <c r="A494" s="1">
        <v>559.0</v>
      </c>
      <c r="B494" s="4" t="s">
        <v>488</v>
      </c>
      <c r="C494" s="4" t="str">
        <f>IFERROR(__xludf.DUMMYFUNCTION("GOOGLETRANSLATE(B494,""id"",""en"")"),"['Application', 'Pay', 'TAGIH', 'TERMAKAIII']")</f>
        <v>['Application', 'Pay', 'TAGIH', 'TERMAKAIII']</v>
      </c>
      <c r="D494" s="4">
        <v>5.0</v>
      </c>
    </row>
    <row r="495" ht="15.75" customHeight="1">
      <c r="A495" s="1">
        <v>560.0</v>
      </c>
      <c r="B495" s="4" t="s">
        <v>489</v>
      </c>
      <c r="C495" s="4" t="str">
        <f>IFERROR(__xludf.DUMMYFUNCTION("GOOGLETRANSLATE(B495,""id"",""en"")"),"['times', 'play', 'game', 'knp', 'signal', 'ugly']")</f>
        <v>['times', 'play', 'game', 'knp', 'signal', 'ugly']</v>
      </c>
      <c r="D495" s="4">
        <v>1.0</v>
      </c>
    </row>
    <row r="496" ht="15.75" customHeight="1">
      <c r="A496" s="1">
        <v>561.0</v>
      </c>
      <c r="B496" s="4" t="s">
        <v>490</v>
      </c>
      <c r="C496" s="4" t="str">
        <f>IFERROR(__xludf.DUMMYFUNCTION("GOOGLETRANSLATE(B496,""id"",""en"")"),"['please', 'internet', 'see', 'youtube', 'ngak', 'leg', 'knp', 'pass', 'play', 'leg', 'pleaseggg', 'good' PAKK ',' good ',' internet ',' Pay ',' expensive ',' expensive ',' oky ']")</f>
        <v>['please', 'internet', 'see', 'youtube', 'ngak', 'leg', 'knp', 'pass', 'play', 'leg', 'pleaseggg', 'good' PAKK ',' good ',' internet ',' Pay ',' expensive ',' expensive ',' oky ']</v>
      </c>
      <c r="D496" s="4">
        <v>1.0</v>
      </c>
    </row>
    <row r="497" ht="15.75" customHeight="1">
      <c r="A497" s="1">
        <v>562.0</v>
      </c>
      <c r="B497" s="4" t="s">
        <v>491</v>
      </c>
      <c r="C497" s="4" t="str">
        <f>IFERROR(__xludf.DUMMYFUNCTION("GOOGLETRANSLATE(B497,""id"",""en"")"),"['', 'Mbps',' use ',' data ',' status', 'wifi', 'internet', 'deposit', 'internet', 'flame', 'tip', 'hotspot', 'work ',' price ',' appeal ',' quality ',' ']")</f>
        <v>['', 'Mbps',' use ',' data ',' status', 'wifi', 'internet', 'deposit', 'internet', 'flame', 'tip', 'hotspot', 'work ',' price ',' appeal ',' quality ',' ']</v>
      </c>
      <c r="D497" s="4">
        <v>1.0</v>
      </c>
    </row>
    <row r="498" ht="15.75" customHeight="1">
      <c r="A498" s="1">
        <v>563.0</v>
      </c>
      <c r="B498" s="4" t="s">
        <v>492</v>
      </c>
      <c r="C498" s="4" t="str">
        <f>IFERROR(__xludf.DUMMYFUNCTION("GOOGLETRANSLATE(B498,""id"",""en"")"),"['lag', 'bangett']")</f>
        <v>['lag', 'bangett']</v>
      </c>
      <c r="D498" s="4">
        <v>1.0</v>
      </c>
    </row>
    <row r="499" ht="15.75" customHeight="1">
      <c r="A499" s="1">
        <v>564.0</v>
      </c>
      <c r="B499" s="4" t="s">
        <v>493</v>
      </c>
      <c r="C499" s="4" t="str">
        <f>IFERROR(__xludf.DUMMYFUNCTION("GOOGLETRANSLATE(B499,""id"",""en"")"),"['application', 'complicated', 'verification']")</f>
        <v>['application', 'complicated', 'verification']</v>
      </c>
      <c r="D499" s="4">
        <v>5.0</v>
      </c>
    </row>
    <row r="500" ht="15.75" customHeight="1">
      <c r="A500" s="1">
        <v>565.0</v>
      </c>
      <c r="B500" s="4" t="s">
        <v>494</v>
      </c>
      <c r="C500" s="4" t="str">
        <f>IFERROR(__xludf.DUMMYFUNCTION("GOOGLETRANSLATE(B500,""id"",""en"")"),"['Provider', 'ugly', 'signal', 'bad', 'pay', 'expensive', 'gin']")</f>
        <v>['Provider', 'ugly', 'signal', 'bad', 'pay', 'expensive', 'gin']</v>
      </c>
      <c r="D500" s="4">
        <v>1.0</v>
      </c>
    </row>
    <row r="501" ht="15.75" customHeight="1">
      <c r="A501" s="1">
        <v>566.0</v>
      </c>
      <c r="B501" s="4" t="s">
        <v>495</v>
      </c>
      <c r="C501" s="4" t="str">
        <f>IFERROR(__xludf.DUMMYFUNCTION("GOOGLETRANSLATE(B501,""id"",""en"")"),"['', 'new', '']")</f>
        <v>['', 'new', '']</v>
      </c>
      <c r="D501" s="4">
        <v>1.0</v>
      </c>
    </row>
    <row r="502" ht="15.75" customHeight="1">
      <c r="A502" s="1">
        <v>567.0</v>
      </c>
      <c r="B502" s="4" t="s">
        <v>496</v>
      </c>
      <c r="C502" s="4" t="str">
        <f>IFERROR(__xludf.DUMMYFUNCTION("GOOGLETRANSLATE(B502,""id"",""en"")"),"['name', 'update', 'mulu', 'change', 'mulu', 'rich', 'work', 'devnya']")</f>
        <v>['name', 'update', 'mulu', 'change', 'mulu', 'rich', 'work', 'devnya']</v>
      </c>
      <c r="D502" s="4">
        <v>1.0</v>
      </c>
    </row>
    <row r="503" ht="15.75" customHeight="1">
      <c r="A503" s="1">
        <v>568.0</v>
      </c>
      <c r="B503" s="4" t="s">
        <v>497</v>
      </c>
      <c r="C503" s="4" t="str">
        <f>IFERROR(__xludf.DUMMYFUNCTION("GOOGLETRANSLATE(B503,""id"",""en"")"),"['trouble']")</f>
        <v>['trouble']</v>
      </c>
      <c r="D503" s="4">
        <v>3.0</v>
      </c>
    </row>
    <row r="504" ht="15.75" customHeight="1">
      <c r="A504" s="1">
        <v>569.0</v>
      </c>
      <c r="B504" s="4" t="s">
        <v>498</v>
      </c>
      <c r="C504" s="4" t="str">
        <f>IFERROR(__xludf.DUMMYFUNCTION("GOOGLETRANSLATE(B504,""id"",""en"")"),"['just', 'gave', 'already', 'subscribe', 'indihome', 'good', 'here', 'ugly', 'right', 'complain', 'said', 'restart', ' already ',' restart ',' times', 'ngelag', 'disappointed', 'service', 'rich', 'gin', ""]")</f>
        <v>['just', 'gave', 'already', 'subscribe', 'indihome', 'good', 'here', 'ugly', 'right', 'complain', 'said', 'restart', ' already ',' restart ',' times', 'ngelag', 'disappointed', 'service', 'rich', 'gin', "]</v>
      </c>
      <c r="D504" s="4">
        <v>1.0</v>
      </c>
    </row>
    <row r="505" ht="15.75" customHeight="1">
      <c r="A505" s="1">
        <v>572.0</v>
      </c>
      <c r="B505" s="4" t="s">
        <v>499</v>
      </c>
      <c r="C505" s="4" t="str">
        <f>IFERROR(__xludf.DUMMYFUNCTION("GOOGLETRANSLATE(B505,""id"",""en"")"),"['internet', 'slow', 'really', 'service', 'Mbps', 'feels', 'Mbps', 'download', 'upload', 'play', 'game', 'slow']")</f>
        <v>['internet', 'slow', 'really', 'service', 'Mbps', 'feels', 'Mbps', 'download', 'upload', 'play', 'game', 'slow']</v>
      </c>
      <c r="D505" s="4">
        <v>1.0</v>
      </c>
    </row>
    <row r="506" ht="15.75" customHeight="1">
      <c r="A506" s="1">
        <v>575.0</v>
      </c>
      <c r="B506" s="4" t="s">
        <v>500</v>
      </c>
      <c r="C506" s="4" t="str">
        <f>IFERROR(__xludf.DUMMYFUNCTION("GOOGLETRANSLATE(B506,""id"",""en"")"),"['check', 'use', 'data', '']")</f>
        <v>['check', 'use', 'data', '']</v>
      </c>
      <c r="D506" s="4">
        <v>3.0</v>
      </c>
    </row>
    <row r="507" ht="15.75" customHeight="1">
      <c r="A507" s="1">
        <v>576.0</v>
      </c>
      <c r="B507" s="4" t="s">
        <v>501</v>
      </c>
      <c r="C507" s="4" t="str">
        <f>IFERROR(__xludf.DUMMYFUNCTION("GOOGLETRANSLATE(B507,""id"",""en"")"),"['Nice', 'Shot', '']")</f>
        <v>['Nice', 'Shot', '']</v>
      </c>
      <c r="D507" s="4">
        <v>4.0</v>
      </c>
    </row>
    <row r="508" ht="15.75" customHeight="1">
      <c r="A508" s="1">
        <v>578.0</v>
      </c>
      <c r="B508" s="4" t="s">
        <v>502</v>
      </c>
      <c r="C508" s="4" t="str">
        <f>IFERROR(__xludf.DUMMYFUNCTION("GOOGLETRANSLATE(B508,""id"",""en"")"),"['Kalok', 'update', 'app', 'nge "",' fast ',' wifinya ',' told ',' update ',' makasa ',' kalok ',' open ',' application ']")</f>
        <v>['Kalok', 'update', 'app', 'nge ",' fast ',' wifinya ',' told ',' update ',' makasa ',' kalok ',' open ',' application ']</v>
      </c>
      <c r="D508" s="4">
        <v>1.0</v>
      </c>
    </row>
    <row r="509" ht="15.75" customHeight="1">
      <c r="A509" s="1">
        <v>579.0</v>
      </c>
      <c r="B509" s="4" t="s">
        <v>503</v>
      </c>
      <c r="C509" s="4" t="str">
        <f>IFERROR(__xludf.DUMMYFUNCTION("GOOGLETRANSLATE(B509,""id"",""en"")"),"['Net', 'Disturbs', 'Rain', 'Kapok']")</f>
        <v>['Net', 'Disturbs', 'Rain', 'Kapok']</v>
      </c>
      <c r="D509" s="4">
        <v>1.0</v>
      </c>
    </row>
    <row r="510" ht="15.75" customHeight="1">
      <c r="A510" s="1">
        <v>581.0</v>
      </c>
      <c r="B510" s="4" t="s">
        <v>504</v>
      </c>
      <c r="C510" s="4" t="str">
        <f>IFERROR(__xludf.DUMMYFUNCTION("GOOGLETRANSLATE(B510,""id"",""en"")"),"['Application', 'help', 'information', 'tags', 'pay']")</f>
        <v>['Application', 'help', 'information', 'tags', 'pay']</v>
      </c>
      <c r="D510" s="4">
        <v>5.0</v>
      </c>
    </row>
    <row r="511" ht="15.75" customHeight="1">
      <c r="A511" s="1">
        <v>582.0</v>
      </c>
      <c r="B511" s="4" t="s">
        <v>505</v>
      </c>
      <c r="C511" s="4" t="str">
        <f>IFERROR(__xludf.DUMMYFUNCTION("GOOGLETRANSLATE(B511,""id"",""en"")"),"['boss',' serve ',' report ',' cable ',' overwriting ',' trees', 'Tangni', 'latitude', 'road', 'danger', 'for', 'road', ' Raya ',' Kida ',' FAIRANG ',' KOPOKEN ']")</f>
        <v>['boss',' serve ',' report ',' cable ',' overwriting ',' trees', 'Tangni', 'latitude', 'road', 'danger', 'for', 'road', ' Raya ',' Kida ',' FAIRANG ',' KOPOKEN ']</v>
      </c>
      <c r="D511" s="4">
        <v>1.0</v>
      </c>
    </row>
    <row r="512" ht="15.75" customHeight="1">
      <c r="A512" s="1">
        <v>583.0</v>
      </c>
      <c r="B512" s="4" t="s">
        <v>506</v>
      </c>
      <c r="C512" s="4" t="str">
        <f>IFERROR(__xludf.DUMMYFUNCTION("GOOGLETRANSLATE(B512,""id"",""en"")"),"['Login', 'Application', 'Myindihome', 'Card', 'GSM', 'Blocking', 'Please', 'Solution']")</f>
        <v>['Login', 'Application', 'Myindihome', 'Card', 'GSM', 'Blocking', 'Please', 'Solution']</v>
      </c>
      <c r="D512" s="4">
        <v>4.0</v>
      </c>
    </row>
    <row r="513" ht="15.75" customHeight="1">
      <c r="A513" s="1">
        <v>584.0</v>
      </c>
      <c r="B513" s="4" t="s">
        <v>507</v>
      </c>
      <c r="C513" s="4" t="str">
        <f>IFERROR(__xludf.DUMMYFUNCTION("GOOGLETRANSLATE(B513,""id"",""en"")"),"['Application', 'Benefully', 'Guna', 'Indihome', 'Caskek', 'Did', 'Use', 'Internet', 'Direct', 'Application']")</f>
        <v>['Application', 'Benefully', 'Guna', 'Indihome', 'Caskek', 'Did', 'Use', 'Internet', 'Direct', 'Application']</v>
      </c>
      <c r="D513" s="4">
        <v>5.0</v>
      </c>
    </row>
    <row r="514" ht="15.75" customHeight="1">
      <c r="A514" s="1">
        <v>585.0</v>
      </c>
      <c r="B514" s="4" t="s">
        <v>508</v>
      </c>
      <c r="C514" s="4" t="str">
        <f>IFERROR(__xludf.DUMMYFUNCTION("GOOGLETRANSLATE(B514,""id"",""en"")"),"['Application', 'Often', 'Error', 'Speed', 'Demand', 'Difficult', 'Renew', 'Gin', 'Subscribe', 'Disappointed', 'Move', 'Provider', ' ']")</f>
        <v>['Application', 'Often', 'Error', 'Speed', 'Demand', 'Difficult', 'Renew', 'Gin', 'Subscribe', 'Disappointed', 'Move', 'Provider', ' ']</v>
      </c>
      <c r="D514" s="4">
        <v>1.0</v>
      </c>
    </row>
    <row r="515" ht="15.75" customHeight="1">
      <c r="A515" s="1">
        <v>586.0</v>
      </c>
      <c r="B515" s="4" t="s">
        <v>509</v>
      </c>
      <c r="C515" s="4" t="str">
        <f>IFERROR(__xludf.DUMMYFUNCTION("GOOGLETRANSLATE(B515,""id"",""en"")"),"['very', 'good']")</f>
        <v>['very', 'good']</v>
      </c>
      <c r="D515" s="4">
        <v>5.0</v>
      </c>
    </row>
    <row r="516" ht="15.75" customHeight="1">
      <c r="A516" s="1">
        <v>588.0</v>
      </c>
      <c r="B516" s="4" t="s">
        <v>510</v>
      </c>
      <c r="C516" s="4" t="str">
        <f>IFERROR(__xludf.DUMMYFUNCTION("GOOGLETRANSLATE(B516,""id"",""en"")"),"['Good', 'like', 'benefits']")</f>
        <v>['Good', 'like', 'benefits']</v>
      </c>
      <c r="D516" s="4">
        <v>5.0</v>
      </c>
    </row>
    <row r="517" ht="15.75" customHeight="1">
      <c r="A517" s="1">
        <v>589.0</v>
      </c>
      <c r="B517" s="4" t="s">
        <v>511</v>
      </c>
      <c r="C517" s="4" t="str">
        <f>IFERROR(__xludf.DUMMYFUNCTION("GOOGLETRANSLATE(B517,""id"",""en"")"),"['Mmudahkan', 'check', 'billing', 'tagging', 'tags', 'pay']")</f>
        <v>['Mmudahkan', 'check', 'billing', 'tagging', 'tags', 'pay']</v>
      </c>
      <c r="D517" s="4">
        <v>5.0</v>
      </c>
    </row>
    <row r="518" ht="15.75" customHeight="1">
      <c r="A518" s="1">
        <v>591.0</v>
      </c>
      <c r="B518" s="4" t="s">
        <v>512</v>
      </c>
      <c r="C518" s="4" t="str">
        <f>IFERROR(__xludf.DUMMYFUNCTION("GOOGLETRANSLATE(B518,""id"",""en"")"),"['application', 'ugly', 'renew', 'speed', 'sod', 'sometimes', 'sometimes', 'kayak', 'difficult', 'over', 'ISP', '']")</f>
        <v>['application', 'ugly', 'renew', 'speed', 'sod', 'sometimes', 'sometimes', 'kayak', 'difficult', 'over', 'ISP', '']</v>
      </c>
      <c r="D518" s="4">
        <v>1.0</v>
      </c>
    </row>
    <row r="519" ht="15.75" customHeight="1">
      <c r="A519" s="1">
        <v>594.0</v>
      </c>
      <c r="B519" s="4" t="s">
        <v>513</v>
      </c>
      <c r="C519" s="4" t="str">
        <f>IFERROR(__xludf.DUMMYFUNCTION("GOOGLETRANSLATE(B519,""id"",""en"")"),"['Response', 'complained', 'hopefully', 'forward']")</f>
        <v>['Response', 'complained', 'hopefully', 'forward']</v>
      </c>
      <c r="D519" s="4">
        <v>4.0</v>
      </c>
    </row>
    <row r="520" ht="15.75" customHeight="1">
      <c r="A520" s="1">
        <v>595.0</v>
      </c>
      <c r="B520" s="4" t="s">
        <v>514</v>
      </c>
      <c r="C520" s="4" t="str">
        <f>IFERROR(__xludf.DUMMYFUNCTION("GOOGLETRANSLATE(B520,""id"",""en"")"),"['appears', 'good', 'application', 'heavy', 'open', 'please', 'bik', 'kak', ""]")</f>
        <v>['appears', 'good', 'application', 'heavy', 'open', 'please', 'bik', 'kak', "]</v>
      </c>
      <c r="D520" s="4">
        <v>3.0</v>
      </c>
    </row>
    <row r="521" ht="15.75" customHeight="1">
      <c r="A521" s="1">
        <v>596.0</v>
      </c>
      <c r="B521" s="4" t="s">
        <v>515</v>
      </c>
      <c r="C521" s="4" t="str">
        <f>IFERROR(__xludf.DUMMYFUNCTION("GOOGLETRANSLATE(B521,""id"",""en"")"),"['Doang', 'networked', 'service', 'exchange', 'Points',' Many ',' Kebake ',' Layan ',' Airport ',' Accept ',' Access', 'Lounge', ' really love']")</f>
        <v>['Doang', 'networked', 'service', 'exchange', 'Points',' Many ',' Kebake ',' Layan ',' Airport ',' Accept ',' Access', 'Lounge', ' really love']</v>
      </c>
      <c r="D521" s="4">
        <v>1.0</v>
      </c>
    </row>
    <row r="522" ht="15.75" customHeight="1">
      <c r="A522" s="1">
        <v>597.0</v>
      </c>
      <c r="B522" s="4" t="s">
        <v>516</v>
      </c>
      <c r="C522" s="4" t="str">
        <f>IFERROR(__xludf.DUMMYFUNCTION("GOOGLETRANSLATE(B522,""id"",""en"")"),"['Net', 'Indihome', 'Good']")</f>
        <v>['Net', 'Indihome', 'Good']</v>
      </c>
      <c r="D522" s="4">
        <v>1.0</v>
      </c>
    </row>
    <row r="523" ht="15.75" customHeight="1">
      <c r="A523" s="1">
        <v>598.0</v>
      </c>
      <c r="B523" s="4" t="s">
        <v>517</v>
      </c>
      <c r="C523" s="4" t="str">
        <f>IFERROR(__xludf.DUMMYFUNCTION("GOOGLETRANSLATE(B523,""id"",""en"")"),"['Subscribe', 'Indihome', 'heart', 'patient', 'patient', 'prayer', 'get', 'sustenance', 'change', 'provider', 'laen', 'star', ' read ',' ama ',' laen ',' month ',' times', 'error', 'lights',' dop ',' red ',' lined ',' brp ',' loss', 'buy' , 'Credit', 'Pac"&amp;"kage', 'Family', 'Sabr', 'Sabr', 'Sabr']")</f>
        <v>['Subscribe', 'Indihome', 'heart', 'patient', 'patient', 'prayer', 'get', 'sustenance', 'change', 'provider', 'laen', 'star', ' read ',' ama ',' laen ',' month ',' times', 'error', 'lights',' dop ',' red ',' lined ',' brp ',' loss', 'buy' , 'Credit', 'Package', 'Family', 'Sabr', 'Sabr', 'Sabr']</v>
      </c>
      <c r="D523" s="4">
        <v>5.0</v>
      </c>
    </row>
    <row r="524" ht="15.75" customHeight="1">
      <c r="A524" s="1">
        <v>599.0</v>
      </c>
      <c r="B524" s="4" t="s">
        <v>518</v>
      </c>
      <c r="C524" s="4" t="str">
        <f>IFERROR(__xludf.DUMMYFUNCTION("GOOGLETRANSLATE(B524,""id"",""en"")"),"['Kapok', 'sweet', 'early', 'bitter']")</f>
        <v>['Kapok', 'sweet', 'early', 'bitter']</v>
      </c>
      <c r="D524" s="4">
        <v>1.0</v>
      </c>
    </row>
    <row r="525" ht="15.75" customHeight="1">
      <c r="A525" s="1">
        <v>600.0</v>
      </c>
      <c r="B525" s="4" t="s">
        <v>519</v>
      </c>
      <c r="C525" s="4" t="str">
        <f>IFERROR(__xludf.DUMMYFUNCTION("GOOGLETRANSLATE(B525,""id"",""en"")"),"['Disturbs', 'Adu', 'alternating', 'beam', 'responsive', 'told', 'Tungu', 'Wait', 'Wait', ""]")</f>
        <v>['Disturbs', 'Adu', 'alternating', 'beam', 'responsive', 'told', 'Tungu', 'Wait', 'Wait', "]</v>
      </c>
      <c r="D525" s="4">
        <v>1.0</v>
      </c>
    </row>
    <row r="526" ht="15.75" customHeight="1">
      <c r="A526" s="1">
        <v>601.0</v>
      </c>
      <c r="B526" s="4" t="s">
        <v>520</v>
      </c>
      <c r="C526" s="4" t="str">
        <f>IFERROR(__xludf.DUMMYFUNCTION("GOOGLETRANSLATE(B526,""id"",""en"")"),"['Ampas']")</f>
        <v>['Ampas']</v>
      </c>
      <c r="D526" s="4">
        <v>1.0</v>
      </c>
    </row>
    <row r="527" ht="15.75" customHeight="1">
      <c r="A527" s="1">
        <v>603.0</v>
      </c>
      <c r="B527" s="4" t="s">
        <v>521</v>
      </c>
      <c r="C527" s="4" t="str">
        <f>IFERROR(__xludf.DUMMYFUNCTION("GOOGLETRANSLATE(B527,""id"",""en"")"),"['Update', 'ugly']")</f>
        <v>['Update', 'ugly']</v>
      </c>
      <c r="D527" s="4">
        <v>1.0</v>
      </c>
    </row>
    <row r="528" ht="15.75" customHeight="1">
      <c r="A528" s="1">
        <v>606.0</v>
      </c>
      <c r="B528" s="4" t="s">
        <v>522</v>
      </c>
      <c r="C528" s="4" t="str">
        <f>IFERROR(__xludf.DUMMYFUNCTION("GOOGLETRANSLATE(B528,""id"",""en"")"),"['Like', 'Features',' New ',' Features', 'Download', 'Receipt', 'Tagih', 'Lost', 'Please', 'Add', 'Download', 'Receipt', ' Application ',' INDIHOME ']")</f>
        <v>['Like', 'Features',' New ',' Features', 'Download', 'Receipt', 'Tagih', 'Lost', 'Please', 'Add', 'Download', 'Receipt', ' Application ',' INDIHOME ']</v>
      </c>
      <c r="D528" s="4">
        <v>3.0</v>
      </c>
    </row>
    <row r="529" ht="15.75" customHeight="1">
      <c r="A529" s="1">
        <v>607.0</v>
      </c>
      <c r="B529" s="4" t="s">
        <v>523</v>
      </c>
      <c r="C529" s="4" t="str">
        <f>IFERROR(__xludf.DUMMYFUNCTION("GOOGLETRANSLATE(B529,""id"",""en"")"),"['ugly', 'lot', 'application', 'net', 'good']")</f>
        <v>['ugly', 'lot', 'application', 'net', 'good']</v>
      </c>
      <c r="D529" s="4">
        <v>1.0</v>
      </c>
    </row>
    <row r="530" ht="15.75" customHeight="1">
      <c r="A530" s="1">
        <v>608.0</v>
      </c>
      <c r="B530" s="4" t="s">
        <v>524</v>
      </c>
      <c r="C530" s="4" t="str">
        <f>IFERROR(__xludf.DUMMYFUNCTION("GOOGLETRANSLATE(B530,""id"",""en"")"),"['Renew', 'Speed', 'quota', 'run out', 'getting', 'FUP', 'Speed', 'slow', 'renew', 'renew', 'system', 'delete', ' Please ',' Help ',' Min ']")</f>
        <v>['Renew', 'Speed', 'quota', 'run out', 'getting', 'FUP', 'Speed', 'slow', 'renew', 'renew', 'system', 'delete', ' Please ',' Help ',' Min ']</v>
      </c>
      <c r="D530" s="4">
        <v>2.0</v>
      </c>
    </row>
    <row r="531" ht="15.75" customHeight="1">
      <c r="A531" s="1">
        <v>609.0</v>
      </c>
      <c r="B531" s="4" t="s">
        <v>525</v>
      </c>
      <c r="C531" s="4" t="str">
        <f>IFERROR(__xludf.DUMMYFUNCTION("GOOGLETRANSLATE(B531,""id"",""en"")"),"['well', 'woi', 'net', 'right', 'play', 'lag']")</f>
        <v>['well', 'woi', 'net', 'right', 'play', 'lag']</v>
      </c>
      <c r="D531" s="4">
        <v>1.0</v>
      </c>
    </row>
    <row r="532" ht="15.75" customHeight="1">
      <c r="A532" s="1">
        <v>611.0</v>
      </c>
      <c r="B532" s="4" t="s">
        <v>526</v>
      </c>
      <c r="C532" s="4" t="str">
        <f>IFERROR(__xludf.DUMMYFUNCTION("GOOGLETRANSLATE(B532,""id"",""en"")"),"['Okay', 'Bangus', 'really', '']")</f>
        <v>['Okay', 'Bangus', 'really', '']</v>
      </c>
      <c r="D532" s="4">
        <v>5.0</v>
      </c>
    </row>
    <row r="533" ht="15.75" customHeight="1">
      <c r="A533" s="1">
        <v>612.0</v>
      </c>
      <c r="B533" s="4" t="s">
        <v>527</v>
      </c>
      <c r="C533" s="4" t="str">
        <f>IFERROR(__xludf.DUMMYFUNCTION("GOOGLETRANSLATE(B533,""id"",""en"")"),"['Indihome', 'Signal', 'Kayak', 'Gin', 'Daddy', 'Already', 'Pay', 'Balance', 'Ngelag']")</f>
        <v>['Indihome', 'Signal', 'Kayak', 'Gin', 'Daddy', 'Already', 'Pay', 'Balance', 'Ngelag']</v>
      </c>
      <c r="D533" s="4">
        <v>1.0</v>
      </c>
    </row>
    <row r="534" ht="15.75" customHeight="1">
      <c r="A534" s="1">
        <v>613.0</v>
      </c>
      <c r="B534" s="4" t="s">
        <v>528</v>
      </c>
      <c r="C534" s="4" t="str">
        <f>IFERROR(__xludf.DUMMYFUNCTION("GOOGLETRANSLATE(B534,""id"",""en"")"),"['Net', 'bad', 'lot']")</f>
        <v>['Net', 'bad', 'lot']</v>
      </c>
      <c r="D534" s="4">
        <v>1.0</v>
      </c>
    </row>
    <row r="535" ht="15.75" customHeight="1">
      <c r="A535" s="1">
        <v>614.0</v>
      </c>
      <c r="B535" s="4" t="s">
        <v>529</v>
      </c>
      <c r="C535" s="4" t="str">
        <f>IFERROR(__xludf.DUMMYFUNCTION("GOOGLETRANSLATE(B535,""id"",""en"")"),"['Mksh', 'Indihome', 'Playana', 'Try', 'Signal', 'Good', 'Down']")</f>
        <v>['Mksh', 'Indihome', 'Playana', 'Try', 'Signal', 'Good', 'Down']</v>
      </c>
      <c r="D535" s="4">
        <v>5.0</v>
      </c>
    </row>
    <row r="536" ht="15.75" customHeight="1">
      <c r="A536" s="1">
        <v>615.0</v>
      </c>
      <c r="B536" s="4" t="s">
        <v>530</v>
      </c>
      <c r="C536" s="4" t="str">
        <f>IFERROR(__xludf.DUMMYFUNCTION("GOOGLETRANSLATE(B536,""id"",""en"")"),"['really', 'isolir', 'pay', 'already', 'times',' isoir ',' how ',' week ',' use ',' it ',' sometimes', 'die', ' isolir ',' haduhh ']")</f>
        <v>['really', 'isolir', 'pay', 'already', 'times',' isoir ',' how ',' week ',' use ',' it ',' sometimes', 'die', ' isolir ',' haduhh ']</v>
      </c>
      <c r="D536" s="4">
        <v>1.0</v>
      </c>
    </row>
    <row r="537" ht="15.75" customHeight="1">
      <c r="A537" s="1">
        <v>617.0</v>
      </c>
      <c r="B537" s="4" t="s">
        <v>531</v>
      </c>
      <c r="C537" s="4" t="str">
        <f>IFERROR(__xludf.DUMMYFUNCTION("GOOGLETRANSLATE(B537,""id"",""en"")"),"['Change', 'Email', 'Application', 'GMN', '']")</f>
        <v>['Change', 'Email', 'Application', 'GMN', '']</v>
      </c>
      <c r="D537" s="4">
        <v>4.0</v>
      </c>
    </row>
    <row r="538" ht="15.75" customHeight="1">
      <c r="A538" s="1">
        <v>618.0</v>
      </c>
      <c r="B538" s="4" t="s">
        <v>532</v>
      </c>
      <c r="C538" s="4" t="str">
        <f>IFERROR(__xludf.DUMMYFUNCTION("GOOGLETRANSLATE(B538,""id"",""en"")"),"['Try', 'SOD', 'Transfer', 'Indihome', 'Bright', 'Application', 'Failed', 'Drefund', 'Wallet', 'Application', 'Real', 'Zonk', ' Try ',' renew ',' failed ',' effort ',' zzzztttt ',' Ahhhh ',' sincere ',' money ', ""]")</f>
        <v>['Try', 'SOD', 'Transfer', 'Indihome', 'Bright', 'Application', 'Failed', 'Drefund', 'Wallet', 'Application', 'Real', 'Zonk', ' Try ',' renew ',' failed ',' effort ',' zzzztttt ',' Ahhhh ',' sincere ',' money ', "]</v>
      </c>
      <c r="D538" s="4">
        <v>1.0</v>
      </c>
    </row>
    <row r="539" ht="15.75" customHeight="1">
      <c r="A539" s="1">
        <v>619.0</v>
      </c>
      <c r="B539" s="4" t="s">
        <v>533</v>
      </c>
      <c r="C539" s="4" t="str">
        <f>IFERROR(__xludf.DUMMYFUNCTION("GOOGLETRANSLATE(B539,""id"",""en"")"),"['Level', 'service', 'Maintenance', 'Didik', 'Subscribe']")</f>
        <v>['Level', 'service', 'Maintenance', 'Didik', 'Subscribe']</v>
      </c>
      <c r="D539" s="4">
        <v>4.0</v>
      </c>
    </row>
    <row r="540" ht="15.75" customHeight="1">
      <c r="A540" s="1">
        <v>620.0</v>
      </c>
      <c r="B540" s="4" t="s">
        <v>534</v>
      </c>
      <c r="C540" s="4" t="str">
        <f>IFERROR(__xludf.DUMMYFUNCTION("GOOGLETRANSLATE(B540,""id"",""en"")"),"['Mantul', 'Application', 'Myindihome', 'Kece', 'Good']")</f>
        <v>['Mantul', 'Application', 'Myindihome', 'Kece', 'Good']</v>
      </c>
      <c r="D540" s="4">
        <v>5.0</v>
      </c>
    </row>
    <row r="541" ht="15.75" customHeight="1">
      <c r="A541" s="1">
        <v>621.0</v>
      </c>
      <c r="B541" s="4" t="s">
        <v>535</v>
      </c>
      <c r="C541" s="4" t="str">
        <f>IFERROR(__xludf.DUMMYFUNCTION("GOOGLETRANSLATE(B541,""id"",""en"")"),"['Please', 'correction', 'application', 'Myindihome', 'Guna', 'internet', 'no', 'road', 'no', 'Change', ""]")</f>
        <v>['Please', 'correction', 'application', 'Myindihome', 'Guna', 'internet', 'no', 'road', 'no', 'Change', "]</v>
      </c>
      <c r="D541" s="4">
        <v>5.0</v>
      </c>
    </row>
    <row r="542" ht="15.75" customHeight="1">
      <c r="A542" s="1">
        <v>622.0</v>
      </c>
      <c r="B542" s="4" t="s">
        <v>536</v>
      </c>
      <c r="C542" s="4" t="str">
        <f>IFERROR(__xludf.DUMMYFUNCTION("GOOGLETRANSLATE(B542,""id"",""en"")"),"['wifinya', 'fast', 'so fast', 'toned', 'ngelag', 'broken', 'broken', 'thank', 'love', 'indihome']")</f>
        <v>['wifinya', 'fast', 'so fast', 'toned', 'ngelag', 'broken', 'broken', 'thank', 'love', 'indihome']</v>
      </c>
      <c r="D542" s="4">
        <v>1.0</v>
      </c>
    </row>
    <row r="543" ht="15.75" customHeight="1">
      <c r="A543" s="1">
        <v>623.0</v>
      </c>
      <c r="B543" s="4" t="s">
        <v>537</v>
      </c>
      <c r="C543" s="4" t="str">
        <f>IFERROR(__xludf.DUMMYFUNCTION("GOOGLETRANSLATE(B543,""id"",""en"")"),"['Alhamdulillah', 'already', 'good', 'success']")</f>
        <v>['Alhamdulillah', 'already', 'good', 'success']</v>
      </c>
      <c r="D543" s="4">
        <v>5.0</v>
      </c>
    </row>
    <row r="544" ht="15.75" customHeight="1">
      <c r="A544" s="1">
        <v>625.0</v>
      </c>
      <c r="B544" s="4" t="s">
        <v>538</v>
      </c>
      <c r="C544" s="4" t="str">
        <f>IFERROR(__xludf.DUMMYFUNCTION("GOOGLETRANSLATE(B544,""id"",""en"")"),"['SNGAT', 'Recommendation', 'Signal', 'Severe', 'Lag', 'Terossss']")</f>
        <v>['SNGAT', 'Recommendation', 'Signal', 'Severe', 'Lag', 'Terossss']</v>
      </c>
      <c r="D544" s="4">
        <v>1.0</v>
      </c>
    </row>
    <row r="545" ht="15.75" customHeight="1">
      <c r="A545" s="1">
        <v>626.0</v>
      </c>
      <c r="B545" s="4" t="s">
        <v>539</v>
      </c>
      <c r="C545" s="4" t="str">
        <f>IFERROR(__xludf.DUMMYFUNCTION("GOOGLETRANSLATE(B545,""id"",""en"")"),"['Please', 'Indihome', 'tags', 'rb', 'dlm', 'term', 'wkt', 'please', 'info']")</f>
        <v>['Please', 'Indihome', 'tags', 'rb', 'dlm', 'term', 'wkt', 'please', 'info']</v>
      </c>
      <c r="D545" s="4">
        <v>1.0</v>
      </c>
    </row>
    <row r="546" ht="15.75" customHeight="1">
      <c r="A546" s="1">
        <v>627.0</v>
      </c>
      <c r="B546" s="4" t="s">
        <v>540</v>
      </c>
      <c r="C546" s="4" t="str">
        <f>IFERROR(__xludf.DUMMYFUNCTION("GOOGLETRANSLATE(B546,""id"",""en"")"),"['application', 'help', 'subscribe', 'indihome', 'transaction', 'thank', 'love', '']")</f>
        <v>['application', 'help', 'subscribe', 'indihome', 'transaction', 'thank', 'love', '']</v>
      </c>
      <c r="D546" s="4">
        <v>5.0</v>
      </c>
    </row>
    <row r="547" ht="15.75" customHeight="1">
      <c r="A547" s="1">
        <v>628.0</v>
      </c>
      <c r="B547" s="4" t="s">
        <v>541</v>
      </c>
      <c r="C547" s="4" t="str">
        <f>IFERROR(__xludf.DUMMYFUNCTION("GOOGLETRANSLATE(B547,""id"",""en"")"),"['Ken', 'promo', 'sod', 'brooo', 'hahaaa']")</f>
        <v>['Ken', 'promo', 'sod', 'brooo', 'hahaaa']</v>
      </c>
      <c r="D547" s="4">
        <v>5.0</v>
      </c>
    </row>
    <row r="548" ht="15.75" customHeight="1">
      <c r="A548" s="1">
        <v>629.0</v>
      </c>
      <c r="B548" s="4" t="s">
        <v>542</v>
      </c>
      <c r="C548" s="4" t="str">
        <f>IFERROR(__xludf.DUMMYFUNCTION("GOOGLETRANSLATE(B548,""id"",""en"")"),"['Help', 'Appear', 'Easy', 'Erti', 'Ribet']")</f>
        <v>['Help', 'Appear', 'Easy', 'Erti', 'Ribet']</v>
      </c>
      <c r="D548" s="4">
        <v>5.0</v>
      </c>
    </row>
    <row r="549" ht="15.75" customHeight="1">
      <c r="A549" s="1">
        <v>630.0</v>
      </c>
      <c r="B549" s="4" t="s">
        <v>543</v>
      </c>
      <c r="C549" s="4" t="str">
        <f>IFERROR(__xludf.DUMMYFUNCTION("GOOGLETRANSLATE(B549,""id"",""en"")"),"['Easy', 'add', 'add', '']")</f>
        <v>['Easy', 'add', 'add', '']</v>
      </c>
      <c r="D549" s="4">
        <v>5.0</v>
      </c>
    </row>
    <row r="550" ht="15.75" customHeight="1">
      <c r="A550" s="1">
        <v>631.0</v>
      </c>
      <c r="B550" s="4" t="s">
        <v>544</v>
      </c>
      <c r="C550" s="4" t="str">
        <f>IFERROR(__xludf.DUMMYFUNCTION("GOOGLETRANSLATE(B550,""id"",""en"")"),"['Great', 'apps']")</f>
        <v>['Great', 'apps']</v>
      </c>
      <c r="D550" s="4">
        <v>5.0</v>
      </c>
    </row>
    <row r="551" ht="15.75" customHeight="1">
      <c r="A551" s="1">
        <v>632.0</v>
      </c>
      <c r="B551" s="4" t="s">
        <v>545</v>
      </c>
      <c r="C551" s="4" t="str">
        <f>IFERROR(__xludf.DUMMYFUNCTION("GOOGLETRANSLATE(B551,""id"",""en"")"),"['Severe', 'signal', 'price', 'expensive', 'net', 'ugly', 'brand', 'pairs']")</f>
        <v>['Severe', 'signal', 'price', 'expensive', 'net', 'ugly', 'brand', 'pairs']</v>
      </c>
      <c r="D551" s="4">
        <v>1.0</v>
      </c>
    </row>
    <row r="552" ht="15.75" customHeight="1">
      <c r="A552" s="1">
        <v>633.0</v>
      </c>
      <c r="B552" s="4" t="s">
        <v>546</v>
      </c>
      <c r="C552" s="4" t="str">
        <f>IFERROR(__xludf.DUMMYFUNCTION("GOOGLETRANSLATE(B552,""id"",""en"")"),"['disturb', '']")</f>
        <v>['disturb', '']</v>
      </c>
      <c r="D552" s="4">
        <v>1.0</v>
      </c>
    </row>
    <row r="553" ht="15.75" customHeight="1">
      <c r="A553" s="1">
        <v>635.0</v>
      </c>
      <c r="B553" s="4" t="s">
        <v>547</v>
      </c>
      <c r="C553" s="4" t="str">
        <f>IFERROR(__xludf.DUMMYFUNCTION("GOOGLETRANSLATE(B553,""id"",""en"")"),"['complaint', 'answer']")</f>
        <v>['complaint', 'answer']</v>
      </c>
      <c r="D553" s="4">
        <v>5.0</v>
      </c>
    </row>
    <row r="554" ht="15.75" customHeight="1">
      <c r="A554" s="1">
        <v>636.0</v>
      </c>
      <c r="B554" s="4" t="s">
        <v>548</v>
      </c>
      <c r="C554" s="4" t="str">
        <f>IFERROR(__xludf.DUMMYFUNCTION("GOOGLETRANSLATE(B554,""id"",""en"")"),"['Loading', 'ndak', 'script', 'ngelag', 'loading']")</f>
        <v>['Loading', 'ndak', 'script', 'ngelag', 'loading']</v>
      </c>
      <c r="D554" s="4">
        <v>1.0</v>
      </c>
    </row>
    <row r="555" ht="15.75" customHeight="1">
      <c r="A555" s="1">
        <v>637.0</v>
      </c>
      <c r="B555" s="4" t="s">
        <v>549</v>
      </c>
      <c r="C555" s="4" t="str">
        <f>IFERROR(__xludf.DUMMYFUNCTION("GOOGLETRANSLATE(B555,""id"",""en"")"),"['Okeeeeee']")</f>
        <v>['Okeeeeee']</v>
      </c>
      <c r="D555" s="4">
        <v>5.0</v>
      </c>
    </row>
    <row r="556" ht="15.75" customHeight="1">
      <c r="A556" s="1">
        <v>638.0</v>
      </c>
      <c r="B556" s="4" t="s">
        <v>550</v>
      </c>
      <c r="C556" s="4" t="str">
        <f>IFERROR(__xludf.DUMMYFUNCTION("GOOGLETRANSLATE(B556,""id"",""en"")"),"['Layan', 'Subscribe', 'Satisfied']")</f>
        <v>['Layan', 'Subscribe', 'Satisfied']</v>
      </c>
      <c r="D556" s="4">
        <v>5.0</v>
      </c>
    </row>
    <row r="557" ht="15.75" customHeight="1">
      <c r="A557" s="1">
        <v>639.0</v>
      </c>
      <c r="B557" s="4" t="s">
        <v>198</v>
      </c>
      <c r="C557" s="4" t="str">
        <f>IFERROR(__xludf.DUMMYFUNCTION("GOOGLETRANSLATE(B557,""id"",""en"")"),"['Good', 'App']")</f>
        <v>['Good', 'App']</v>
      </c>
      <c r="D557" s="4">
        <v>5.0</v>
      </c>
    </row>
    <row r="558" ht="15.75" customHeight="1">
      <c r="A558" s="1">
        <v>640.0</v>
      </c>
      <c r="B558" s="4" t="s">
        <v>130</v>
      </c>
      <c r="C558" s="4" t="str">
        <f>IFERROR(__xludf.DUMMYFUNCTION("GOOGLETRANSLATE(B558,""id"",""en"")"),"Of course")</f>
        <v>Of course</v>
      </c>
      <c r="D558" s="4">
        <v>5.0</v>
      </c>
    </row>
    <row r="559" ht="15.75" customHeight="1">
      <c r="A559" s="1">
        <v>642.0</v>
      </c>
      <c r="B559" s="4" t="s">
        <v>551</v>
      </c>
      <c r="C559" s="4" t="str">
        <f>IFERROR(__xludf.DUMMYFUNCTION("GOOGLETRANSLATE(B559,""id"",""en"")"),"['Please', 'Sorry', 'Indihome', 'Adu', 'Connection', 'Nets',' Disturbs', 'Fast', 'Access',' Internet ',' Slow ',' You ',' Tube ',' Main ',' Game ',' Ngelag ',' Thank you ']")</f>
        <v>['Please', 'Sorry', 'Indihome', 'Adu', 'Connection', 'Nets',' Disturbs', 'Fast', 'Access',' Internet ',' Slow ',' You ',' Tube ',' Main ',' Game ',' Ngelag ',' Thank you ']</v>
      </c>
      <c r="D559" s="4">
        <v>1.0</v>
      </c>
    </row>
    <row r="560" ht="15.75" customHeight="1">
      <c r="A560" s="1">
        <v>643.0</v>
      </c>
      <c r="B560" s="4" t="s">
        <v>552</v>
      </c>
      <c r="C560" s="4" t="str">
        <f>IFERROR(__xludf.DUMMYFUNCTION("GOOGLETRANSLATE(B560,""id"",""en"")"),"['Not', 'Recommended', 'Mending', 'Thinking', 'Pairs', 'Bad', 'Stock', 'Gaming', 'Mending', 'Masang', 'Raying', ""]")</f>
        <v>['Not', 'Recommended', 'Mending', 'Thinking', 'Pairs', 'Bad', 'Stock', 'Gaming', 'Mending', 'Masang', 'Raying', "]</v>
      </c>
      <c r="D560" s="4">
        <v>1.0</v>
      </c>
    </row>
    <row r="561" ht="15.75" customHeight="1">
      <c r="A561" s="1">
        <v>644.0</v>
      </c>
      <c r="B561" s="4" t="s">
        <v>553</v>
      </c>
      <c r="C561" s="4" t="str">
        <f>IFERROR(__xludf.DUMMYFUNCTION("GOOGLETRANSLATE(B561,""id"",""en"")"),"['Woy', 'price', 'expensive', 'according to', 'nets', 'ngepain', 'ugly', 'really']")</f>
        <v>['Woy', 'price', 'expensive', 'according to', 'nets', 'ngepain', 'ugly', 'really']</v>
      </c>
      <c r="D561" s="4">
        <v>1.0</v>
      </c>
    </row>
    <row r="562" ht="15.75" customHeight="1">
      <c r="A562" s="1">
        <v>645.0</v>
      </c>
      <c r="B562" s="4" t="s">
        <v>554</v>
      </c>
      <c r="C562" s="4" t="str">
        <f>IFERROR(__xludf.DUMMYFUNCTION("GOOGLETRANSLATE(B562,""id"",""en"")"),"['Please', 'enter', 'number', 'indihome', 'valid', 'contents', 'number', 'indihome']")</f>
        <v>['Please', 'enter', 'number', 'indihome', 'valid', 'contents', 'number', 'indihome']</v>
      </c>
      <c r="D562" s="4">
        <v>1.0</v>
      </c>
    </row>
    <row r="563" ht="15.75" customHeight="1">
      <c r="A563" s="1">
        <v>647.0</v>
      </c>
      <c r="B563" s="4" t="s">
        <v>555</v>
      </c>
      <c r="C563" s="4" t="str">
        <f>IFERROR(__xludf.DUMMYFUNCTION("GOOGLETRANSLATE(B563,""id"",""en"")"),"['', 'intention', 'application']")</f>
        <v>['', 'intention', 'application']</v>
      </c>
      <c r="D563" s="4">
        <v>1.0</v>
      </c>
    </row>
    <row r="564" ht="15.75" customHeight="1">
      <c r="A564" s="1">
        <v>648.0</v>
      </c>
      <c r="B564" s="4" t="s">
        <v>556</v>
      </c>
      <c r="C564" s="4" t="str">
        <f>IFERROR(__xludf.DUMMYFUNCTION("GOOGLETRANSLATE(B564,""id"",""en"")"),"['disappointed']")</f>
        <v>['disappointed']</v>
      </c>
      <c r="D564" s="4">
        <v>1.0</v>
      </c>
    </row>
    <row r="565" ht="15.75" customHeight="1">
      <c r="A565" s="1">
        <v>650.0</v>
      </c>
      <c r="B565" s="4" t="s">
        <v>557</v>
      </c>
      <c r="C565" s="4" t="str">
        <f>IFERROR(__xludf.DUMMYFUNCTION("GOOGLETRANSLATE(B565,""id"",""en"")"),"['finished']")</f>
        <v>['finished']</v>
      </c>
      <c r="D565" s="4">
        <v>1.0</v>
      </c>
    </row>
    <row r="566" ht="15.75" customHeight="1">
      <c r="A566" s="1">
        <v>652.0</v>
      </c>
      <c r="B566" s="4" t="s">
        <v>558</v>
      </c>
      <c r="C566" s="4" t="str">
        <f>IFERROR(__xludf.DUMMYFUNCTION("GOOGLETRANSLATE(B566,""id"",""en"")"),"['Hadewww', 'net', 'Koq', 'really', 'slow', 'that way', 'capable', 'indihome', 'lho', 'banyar']")</f>
        <v>['Hadewww', 'net', 'Koq', 'really', 'slow', 'that way', 'capable', 'indihome', 'lho', 'banyar']</v>
      </c>
      <c r="D566" s="4">
        <v>1.0</v>
      </c>
    </row>
    <row r="567" ht="15.75" customHeight="1">
      <c r="A567" s="1">
        <v>653.0</v>
      </c>
      <c r="B567" s="4" t="s">
        <v>559</v>
      </c>
      <c r="C567" s="4" t="str">
        <f>IFERROR(__xludf.DUMMYFUNCTION("GOOGLETRANSLATE(B567,""id"",""en"")"),"['Tide', 'WiFi', 'Indihome', 'Pay', 'Tide', 'Date', 'February', 'Trobe', 'Gara', 'Modem', 'Nokia', 'Yng', ' Hands', 'Gara', 'Wait', 'Modem', 'Use', 'Easy', 'Damaged', 'Please', 'Serve', 'Good', ""]")</f>
        <v>['Tide', 'WiFi', 'Indihome', 'Pay', 'Tide', 'Date', 'February', 'Trobe', 'Gara', 'Modem', 'Nokia', 'Yng', ' Hands', 'Gara', 'Wait', 'Modem', 'Use', 'Easy', 'Damaged', 'Please', 'Serve', 'Good', "]</v>
      </c>
      <c r="D567" s="4">
        <v>1.0</v>
      </c>
    </row>
    <row r="568" ht="15.75" customHeight="1">
      <c r="A568" s="1">
        <v>654.0</v>
      </c>
      <c r="B568" s="4" t="s">
        <v>560</v>
      </c>
      <c r="C568" s="4" t="str">
        <f>IFERROR(__xludf.DUMMYFUNCTION("GOOGLETRANSLATE(B568,""id"",""en"")"),"['back', 'application', 'update', 'hank', 'open', 'detail', 'forgiveness', 'lamaa', 'good', 'service', ""]")</f>
        <v>['back', 'application', 'update', 'hank', 'open', 'detail', 'forgiveness', 'lamaa', 'good', 'service', "]</v>
      </c>
      <c r="D568" s="4">
        <v>2.0</v>
      </c>
    </row>
    <row r="569" ht="15.75" customHeight="1">
      <c r="A569" s="1">
        <v>655.0</v>
      </c>
      <c r="B569" s="4" t="s">
        <v>561</v>
      </c>
      <c r="C569" s="4" t="str">
        <f>IFERROR(__xludf.DUMMYFUNCTION("GOOGLETRANSLATE(B569,""id"",""en"")"),"['WiFi', 'smooth', 'really', '']")</f>
        <v>['WiFi', 'smooth', 'really', '']</v>
      </c>
      <c r="D569" s="4">
        <v>5.0</v>
      </c>
    </row>
    <row r="570" ht="15.75" customHeight="1">
      <c r="A570" s="1">
        <v>656.0</v>
      </c>
      <c r="B570" s="4" t="s">
        <v>562</v>
      </c>
      <c r="C570" s="4" t="str">
        <f>IFERROR(__xludf.DUMMYFUNCTION("GOOGLETRANSLATE(B570,""id"",""en"")"),"['wifi', 'kahhh', '']")</f>
        <v>['wifi', 'kahhh', '']</v>
      </c>
      <c r="D570" s="4">
        <v>5.0</v>
      </c>
    </row>
    <row r="571" ht="15.75" customHeight="1">
      <c r="A571" s="1">
        <v>657.0</v>
      </c>
      <c r="B571" s="4" t="s">
        <v>563</v>
      </c>
      <c r="C571" s="4" t="str">
        <f>IFERROR(__xludf.DUMMYFUNCTION("GOOGLETRANSLATE(B571,""id"",""en"")"),"['very well']")</f>
        <v>['very well']</v>
      </c>
      <c r="D571" s="4">
        <v>5.0</v>
      </c>
    </row>
    <row r="572" ht="15.75" customHeight="1">
      <c r="A572" s="1">
        <v>659.0</v>
      </c>
      <c r="B572" s="4" t="s">
        <v>546</v>
      </c>
      <c r="C572" s="4" t="str">
        <f>IFERROR(__xludf.DUMMYFUNCTION("GOOGLETRANSLATE(B572,""id"",""en"")"),"['disturb', '']")</f>
        <v>['disturb', '']</v>
      </c>
      <c r="D572" s="4">
        <v>1.0</v>
      </c>
    </row>
    <row r="573" ht="15.75" customHeight="1">
      <c r="A573" s="1">
        <v>661.0</v>
      </c>
      <c r="B573" s="4" t="s">
        <v>564</v>
      </c>
      <c r="C573" s="4" t="str">
        <f>IFERROR(__xludf.DUMMYFUNCTION("GOOGLETRANSLATE(B573,""id"",""en"")"),"['internet', 'disturbing', 'love', 'star']")</f>
        <v>['internet', 'disturbing', 'love', 'star']</v>
      </c>
      <c r="D573" s="4">
        <v>3.0</v>
      </c>
    </row>
    <row r="574" ht="15.75" customHeight="1">
      <c r="A574" s="1">
        <v>662.0</v>
      </c>
      <c r="B574" s="4" t="s">
        <v>565</v>
      </c>
      <c r="C574" s="4" t="str">
        <f>IFERROR(__xludf.DUMMYFUNCTION("GOOGLETRANSLATE(B574,""id"",""en"")"),"['crazy', 'pairs',' smooth ',' Jos', 'lag', 'right', 'ngellag', 'severe', 'pay', 'serng', 'disturb', 'internet', ' Lot ',' cave ',' disappointed ',' pay ',' expensive ',' ngelag ']")</f>
        <v>['crazy', 'pairs',' smooth ',' Jos', 'lag', 'right', 'ngellag', 'severe', 'pay', 'serng', 'disturb', 'internet', ' Lot ',' cave ',' disappointed ',' pay ',' expensive ',' ngelag ']</v>
      </c>
      <c r="D574" s="4">
        <v>1.0</v>
      </c>
    </row>
    <row r="575" ht="15.75" customHeight="1">
      <c r="A575" s="1">
        <v>663.0</v>
      </c>
      <c r="B575" s="4" t="s">
        <v>566</v>
      </c>
      <c r="C575" s="4" t="str">
        <f>IFERROR(__xludf.DUMMYFUNCTION("GOOGLETRANSLATE(B575,""id"",""en"")"),"['Disturbs', 'Mulu']")</f>
        <v>['Disturbs', 'Mulu']</v>
      </c>
      <c r="D575" s="4">
        <v>1.0</v>
      </c>
    </row>
    <row r="576" ht="15.75" customHeight="1">
      <c r="A576" s="1">
        <v>665.0</v>
      </c>
      <c r="B576" s="4" t="s">
        <v>567</v>
      </c>
      <c r="C576" s="4" t="str">
        <f>IFERROR(__xludf.DUMMYFUNCTION("GOOGLETRANSLATE(B576,""id"",""en"")"),"['Okay']")</f>
        <v>['Okay']</v>
      </c>
      <c r="D576" s="4">
        <v>5.0</v>
      </c>
    </row>
    <row r="577" ht="15.75" customHeight="1">
      <c r="A577" s="1">
        <v>666.0</v>
      </c>
      <c r="B577" s="4" t="s">
        <v>568</v>
      </c>
      <c r="C577" s="4" t="str">
        <f>IFERROR(__xludf.DUMMYFUNCTION("GOOGLETRANSLATE(B577,""id"",""en"")"),"['net', 'nets', 'bad', 'Indonesia', 'mentang', 'bsa', 'access', 'dmana', 'love', 'price', 'speed', 'low' Draw ',' Price ',' Rich ',' Rampok ',' Gamers', 'Indonesia', 'Recommendations',' Use ',' Net ',' Package ',' Phoenix ',' Etc. ',' teased ',' teased ' "&amp;", 'Package', 'Indihome', 'blang', 'thank', 'love', 'feedback', 'good', 'nets', 'ratting', 'low', 'normal', ""]")</f>
        <v>['net', 'nets', 'bad', 'Indonesia', 'mentang', 'bsa', 'access', 'dmana', 'love', 'price', 'speed', 'low' Draw ',' Price ',' Rich ',' Rampok ',' Gamers', 'Indonesia', 'Recommendations',' Use ',' Net ',' Package ',' Phoenix ',' Etc. ',' teased ',' teased ' , 'Package', 'Indihome', 'blang', 'thank', 'love', 'feedback', 'good', 'nets', 'ratting', 'low', 'normal', "]</v>
      </c>
      <c r="D577" s="4">
        <v>1.0</v>
      </c>
    </row>
    <row r="578" ht="15.75" customHeight="1">
      <c r="A578" s="1">
        <v>668.0</v>
      </c>
      <c r="B578" s="4" t="s">
        <v>569</v>
      </c>
      <c r="C578" s="4" t="str">
        <f>IFERROR(__xludf.DUMMYFUNCTION("GOOGLETRANSLATE(B578,""id"",""en"")"),"['please', 'good', 'net', 'customer', 'disappointed', 'take', 'MB', 'home', 'kenceng', 'net', 'muter', 'smooth', ' hours', 'night', 'clock', 'morning', 'emotion', 'according to', 'late', 'pay', 'hit', 'fine', 'service', 'rich', 'gin' , 'home', 'village', "&amp;"'taste', 'please', 'meaning', 'mending', 'move', 'subscribe', '']")</f>
        <v>['please', 'good', 'net', 'customer', 'disappointed', 'take', 'MB', 'home', 'kenceng', 'net', 'muter', 'smooth', ' hours', 'night', 'clock', 'morning', 'emotion', 'according to', 'late', 'pay', 'hit', 'fine', 'service', 'rich', 'gin' , 'home', 'village', 'taste', 'please', 'meaning', 'mending', 'move', 'subscribe', '']</v>
      </c>
      <c r="D578" s="4">
        <v>1.0</v>
      </c>
    </row>
    <row r="579" ht="15.75" customHeight="1">
      <c r="A579" s="1">
        <v>669.0</v>
      </c>
      <c r="B579" s="4" t="s">
        <v>570</v>
      </c>
      <c r="C579" s="4" t="str">
        <f>IFERROR(__xludf.DUMMYFUNCTION("GOOGLETRANSLATE(B579,""id"",""en"")"),"['transaction', 'sod', 'failed', 'transfer']")</f>
        <v>['transaction', 'sod', 'failed', 'transfer']</v>
      </c>
      <c r="D579" s="4">
        <v>1.0</v>
      </c>
    </row>
    <row r="580" ht="15.75" customHeight="1">
      <c r="A580" s="1">
        <v>671.0</v>
      </c>
      <c r="B580" s="4" t="s">
        <v>571</v>
      </c>
      <c r="C580" s="4" t="str">
        <f>IFERROR(__xludf.DUMMYFUNCTION("GOOGLETRANSLATE(B580,""id"",""en"")"),"['service', 'fast', 'responsive']")</f>
        <v>['service', 'fast', 'responsive']</v>
      </c>
      <c r="D580" s="4">
        <v>5.0</v>
      </c>
    </row>
    <row r="581" ht="15.75" customHeight="1">
      <c r="A581" s="1">
        <v>672.0</v>
      </c>
      <c r="B581" s="4" t="s">
        <v>572</v>
      </c>
      <c r="C581" s="4" t="str">
        <f>IFERROR(__xludf.DUMMYFUNCTION("GOOGLETRANSLATE(B581,""id"",""en"")"),"['really good']")</f>
        <v>['really good']</v>
      </c>
      <c r="D581" s="4">
        <v>5.0</v>
      </c>
    </row>
    <row r="582" ht="15.75" customHeight="1">
      <c r="A582" s="1">
        <v>673.0</v>
      </c>
      <c r="B582" s="4" t="s">
        <v>573</v>
      </c>
      <c r="C582" s="4" t="str">
        <f>IFERROR(__xludf.DUMMYFUNCTION("GOOGLETRANSLATE(B582,""id"",""en"")"),"['Application', 'dog', '']")</f>
        <v>['Application', 'dog', '']</v>
      </c>
      <c r="D582" s="4">
        <v>1.0</v>
      </c>
    </row>
    <row r="583" ht="15.75" customHeight="1">
      <c r="A583" s="1">
        <v>674.0</v>
      </c>
      <c r="B583" s="4" t="s">
        <v>574</v>
      </c>
      <c r="C583" s="4" t="str">
        <f>IFERROR(__xludf.DUMMYFUNCTION("GOOGLETRANSLATE(B583,""id"",""en"")"),"['Akwoakwok', 'otw', 'save', 'move', 'split', '']")</f>
        <v>['Akwoakwok', 'otw', 'save', 'move', 'split', '']</v>
      </c>
      <c r="D583" s="4">
        <v>1.0</v>
      </c>
    </row>
    <row r="584" ht="15.75" customHeight="1">
      <c r="A584" s="1">
        <v>675.0</v>
      </c>
      <c r="B584" s="4" t="s">
        <v>575</v>
      </c>
      <c r="C584" s="4" t="str">
        <f>IFERROR(__xludf.DUMMYFUNCTION("GOOGLETRANSLATE(B584,""id"",""en"")"),"['Indihome', 'loding', '']")</f>
        <v>['Indihome', 'loding', '']</v>
      </c>
      <c r="D584" s="4">
        <v>2.0</v>
      </c>
    </row>
    <row r="585" ht="15.75" customHeight="1">
      <c r="A585" s="1">
        <v>676.0</v>
      </c>
      <c r="B585" s="4" t="s">
        <v>576</v>
      </c>
      <c r="C585" s="4" t="str">
        <f>IFERROR(__xludf.DUMMYFUNCTION("GOOGLETRANSLATE(B585,""id"",""en"")"),"['Please', 'Add', 'Login', 'Via', 'Email', 'Password', 'OTP', 'Number', 'Lost', 'woi']")</f>
        <v>['Please', 'Add', 'Login', 'Via', 'Email', 'Password', 'OTP', 'Number', 'Lost', 'woi']</v>
      </c>
      <c r="D585" s="4">
        <v>1.0</v>
      </c>
    </row>
    <row r="586" ht="15.75" customHeight="1">
      <c r="A586" s="1">
        <v>677.0</v>
      </c>
      <c r="B586" s="4" t="s">
        <v>577</v>
      </c>
      <c r="C586" s="4" t="str">
        <f>IFERROR(__xludf.DUMMYFUNCTION("GOOGLETRANSLATE(B586,""id"",""en"")"),"['Indihome', 'Dsini', 'Change', 'Disturbs',' Signal ',' Motor ',' Disguard ',' Disguard ',' Jump ',' Dtratis', 'Comfortable', ' Thn ',' ']")</f>
        <v>['Indihome', 'Dsini', 'Change', 'Disturbs',' Signal ',' Motor ',' Disguard ',' Disguard ',' Jump ',' Dtratis', 'Comfortable', ' Thn ',' ']</v>
      </c>
      <c r="D586" s="4">
        <v>1.0</v>
      </c>
    </row>
    <row r="587" ht="15.75" customHeight="1">
      <c r="A587" s="1">
        <v>678.0</v>
      </c>
      <c r="B587" s="4" t="s">
        <v>578</v>
      </c>
      <c r="C587" s="4" t="str">
        <f>IFERROR(__xludf.DUMMYFUNCTION("GOOGLETRANSLATE(B587,""id"",""en"")"),"['', 'guys', 'easy']")</f>
        <v>['', 'guys', 'easy']</v>
      </c>
      <c r="D587" s="4">
        <v>4.0</v>
      </c>
    </row>
    <row r="588" ht="15.75" customHeight="1">
      <c r="A588" s="1">
        <v>679.0</v>
      </c>
      <c r="B588" s="4" t="s">
        <v>579</v>
      </c>
      <c r="C588" s="4" t="str">
        <f>IFERROR(__xludf.DUMMYFUNCTION("GOOGLETRANSLATE(B588,""id"",""en"")"),"['Indihome', 'idiot', 'pay', 'doang', 'expensive', 'wifi', 'lot']")</f>
        <v>['Indihome', 'idiot', 'pay', 'doang', 'expensive', 'wifi', 'lot']</v>
      </c>
      <c r="D588" s="4">
        <v>1.0</v>
      </c>
    </row>
    <row r="589" ht="15.75" customHeight="1">
      <c r="A589" s="1">
        <v>680.0</v>
      </c>
      <c r="B589" s="4" t="s">
        <v>580</v>
      </c>
      <c r="C589" s="4" t="str">
        <f>IFERROR(__xludf.DUMMYFUNCTION("GOOGLETRANSLATE(B589,""id"",""en"")"),"['okay', '']")</f>
        <v>['okay', '']</v>
      </c>
      <c r="D589" s="4">
        <v>5.0</v>
      </c>
    </row>
    <row r="590" ht="15.75" customHeight="1">
      <c r="A590" s="1">
        <v>683.0</v>
      </c>
      <c r="B590" s="4" t="s">
        <v>581</v>
      </c>
      <c r="C590" s="4" t="str">
        <f>IFERROR(__xludf.DUMMYFUNCTION("GOOGLETRANSLATE(B590,""id"",""en"")"),"['Level', 'service']")</f>
        <v>['Level', 'service']</v>
      </c>
      <c r="D590" s="4">
        <v>2.0</v>
      </c>
    </row>
    <row r="591" ht="15.75" customHeight="1">
      <c r="A591" s="1">
        <v>684.0</v>
      </c>
      <c r="B591" s="4" t="s">
        <v>582</v>
      </c>
      <c r="C591" s="4" t="str">
        <f>IFERROR(__xludf.DUMMYFUNCTION("GOOGLETRANSLATE(B591,""id"",""en"")"),"['Nice', 'really', 'mah']")</f>
        <v>['Nice', 'really', 'mah']</v>
      </c>
      <c r="D591" s="4">
        <v>5.0</v>
      </c>
    </row>
    <row r="592" ht="15.75" customHeight="1">
      <c r="A592" s="1">
        <v>685.0</v>
      </c>
      <c r="B592" s="4" t="s">
        <v>583</v>
      </c>
      <c r="C592" s="4" t="str">
        <f>IFERROR(__xludf.DUMMYFUNCTION("GOOGLETRANSLATE(B592,""id"",""en"")"),"['Mantab', 'Install']")</f>
        <v>['Mantab', 'Install']</v>
      </c>
      <c r="D592" s="4">
        <v>5.0</v>
      </c>
    </row>
    <row r="593" ht="15.75" customHeight="1">
      <c r="A593" s="1">
        <v>686.0</v>
      </c>
      <c r="B593" s="4" t="s">
        <v>584</v>
      </c>
      <c r="C593" s="4" t="str">
        <f>IFERROR(__xludf.DUMMYFUNCTION("GOOGLETRANSLATE(B593,""id"",""en"")"),"['wifi', 'times', 'week', 'hyphen', 'internet', '']")</f>
        <v>['wifi', 'times', 'week', 'hyphen', 'internet', '']</v>
      </c>
      <c r="D593" s="4">
        <v>3.0</v>
      </c>
    </row>
    <row r="594" ht="15.75" customHeight="1">
      <c r="A594" s="1">
        <v>687.0</v>
      </c>
      <c r="B594" s="4" t="s">
        <v>585</v>
      </c>
      <c r="C594" s="4" t="str">
        <f>IFERROR(__xludf.DUMMYFUNCTION("GOOGLETRANSLATE(B594,""id"",""en"")"),"['Thank you', 'Indihome', ""]")</f>
        <v>['Thank you', 'Indihome', "]</v>
      </c>
      <c r="D594" s="4">
        <v>5.0</v>
      </c>
    </row>
    <row r="595" ht="15.75" customHeight="1">
      <c r="A595" s="1">
        <v>689.0</v>
      </c>
      <c r="B595" s="4" t="s">
        <v>586</v>
      </c>
      <c r="C595" s="4" t="str">
        <f>IFERROR(__xludf.DUMMYFUNCTION("GOOGLETRANSLATE(B595,""id"",""en"")"),"['AJU', 'broke', 'already', 'pay', 'fine', 'device', 'take', 'take', 'schedule']")</f>
        <v>['AJU', 'broke', 'already', 'pay', 'fine', 'device', 'take', 'take', 'schedule']</v>
      </c>
      <c r="D595" s="4">
        <v>1.0</v>
      </c>
    </row>
    <row r="596" ht="15.75" customHeight="1">
      <c r="A596" s="1">
        <v>690.0</v>
      </c>
      <c r="B596" s="4" t="s">
        <v>587</v>
      </c>
      <c r="C596" s="4" t="str">
        <f>IFERROR(__xludf.DUMMYFUNCTION("GOOGLETRANSLATE(B596,""id"",""en"")"),"['Place', 'Pay', 'Rb', 'Disturbs', 'Competitors', 'Forced', 'Use', 'Indihome', 'Competitors', 'Move', 'Layan', ""]")</f>
        <v>['Place', 'Pay', 'Rb', 'Disturbs', 'Competitors', 'Forced', 'Use', 'Indihome', 'Competitors', 'Move', 'Layan', "]</v>
      </c>
      <c r="D596" s="4">
        <v>1.0</v>
      </c>
    </row>
    <row r="597" ht="15.75" customHeight="1">
      <c r="A597" s="1">
        <v>691.0</v>
      </c>
      <c r="B597" s="4" t="s">
        <v>588</v>
      </c>
      <c r="C597" s="4" t="str">
        <f>IFERROR(__xludf.DUMMYFUNCTION("GOOGLETRANSLATE(B597,""id"",""en"")"),"['Open', 'menu', 'status', 'white', 'doang']")</f>
        <v>['Open', 'menu', 'status', 'white', 'doang']</v>
      </c>
      <c r="D597" s="4">
        <v>1.0</v>
      </c>
    </row>
    <row r="598" ht="15.75" customHeight="1">
      <c r="A598" s="1">
        <v>692.0</v>
      </c>
      <c r="B598" s="4" t="s">
        <v>589</v>
      </c>
      <c r="C598" s="4" t="str">
        <f>IFERROR(__xludf.DUMMYFUNCTION("GOOGLETRANSLATE(B598,""id"",""en"")"),"['Application', 'practical', 'buy', 'add', 'minipack', 'according to', 'need', 'mantapp']")</f>
        <v>['Application', 'practical', 'buy', 'add', 'minipack', 'according to', 'need', 'mantapp']</v>
      </c>
      <c r="D598" s="4">
        <v>5.0</v>
      </c>
    </row>
    <row r="599" ht="15.75" customHeight="1">
      <c r="A599" s="1">
        <v>693.0</v>
      </c>
      <c r="B599" s="4" t="s">
        <v>590</v>
      </c>
      <c r="C599" s="4" t="str">
        <f>IFERROR(__xludf.DUMMYFUNCTION("GOOGLETRANSLATE(B599,""id"",""en"")"),"['Direct', 'checked', 'tags', 'use', 'internet', 'application', 'practical', 'easy']")</f>
        <v>['Direct', 'checked', 'tags', 'use', 'internet', 'application', 'practical', 'easy']</v>
      </c>
      <c r="D599" s="4">
        <v>5.0</v>
      </c>
    </row>
    <row r="600" ht="15.75" customHeight="1">
      <c r="A600" s="1">
        <v>694.0</v>
      </c>
      <c r="B600" s="4" t="s">
        <v>591</v>
      </c>
      <c r="C600" s="4" t="str">
        <f>IFERROR(__xludf.DUMMYFUNCTION("GOOGLETRANSLATE(B600,""id"",""en"")"),"['Bad', 'Ngehang']")</f>
        <v>['Bad', 'Ngehang']</v>
      </c>
      <c r="D600" s="4">
        <v>1.0</v>
      </c>
    </row>
    <row r="601" ht="15.75" customHeight="1">
      <c r="A601" s="1">
        <v>695.0</v>
      </c>
      <c r="B601" s="4" t="s">
        <v>592</v>
      </c>
      <c r="C601" s="4" t="str">
        <f>IFERROR(__xludf.DUMMYFUNCTION("GOOGLETRANSLATE(B601,""id"",""en"")"),"['help', '']")</f>
        <v>['help', '']</v>
      </c>
      <c r="D601" s="4">
        <v>5.0</v>
      </c>
    </row>
    <row r="602" ht="15.75" customHeight="1">
      <c r="A602" s="1">
        <v>696.0</v>
      </c>
      <c r="B602" s="4" t="s">
        <v>593</v>
      </c>
      <c r="C602" s="4" t="str">
        <f>IFERROR(__xludf.DUMMYFUNCTION("GOOGLETRANSLATE(B602,""id"",""en"")"),"['Honey', 'really', 'Indihome', 'What's Easy', 'It's easy', 'really', 'Karna', 'application']")</f>
        <v>['Honey', 'really', 'Indihome', 'What's Easy', 'It's easy', 'really', 'Karna', 'application']</v>
      </c>
      <c r="D602" s="4">
        <v>5.0</v>
      </c>
    </row>
    <row r="603" ht="15.75" customHeight="1">
      <c r="A603" s="1">
        <v>697.0</v>
      </c>
      <c r="B603" s="4" t="s">
        <v>594</v>
      </c>
      <c r="C603" s="4" t="str">
        <f>IFERROR(__xludf.DUMMYFUNCTION("GOOGLETRANSLATE(B603,""id"",""en"")"),"['Pay', 'dapet', 'get', 'Points', 'mantappp']")</f>
        <v>['Pay', 'dapet', 'get', 'Points', 'mantappp']</v>
      </c>
      <c r="D603" s="4">
        <v>5.0</v>
      </c>
    </row>
    <row r="604" ht="15.75" customHeight="1">
      <c r="A604" s="1">
        <v>698.0</v>
      </c>
      <c r="B604" s="4" t="s">
        <v>595</v>
      </c>
      <c r="C604" s="4" t="str">
        <f>IFERROR(__xludf.DUMMYFUNCTION("GOOGLETRANSLATE(B604,""id"",""en"")"),"['application', 'already', 'okay', 'Addin', 'promo', 'promo', 'donggg']")</f>
        <v>['application', 'already', 'okay', 'Addin', 'promo', 'promo', 'donggg']</v>
      </c>
      <c r="D604" s="4">
        <v>5.0</v>
      </c>
    </row>
    <row r="605" ht="15.75" customHeight="1">
      <c r="A605" s="1">
        <v>699.0</v>
      </c>
      <c r="B605" s="4" t="s">
        <v>596</v>
      </c>
      <c r="C605" s="4" t="str">
        <f>IFERROR(__xludf.DUMMYFUNCTION("GOOGLETRANSLATE(B605,""id"",""en"")"),"['application', 'easy', 'really', 'deh', 'pay', 'tags', 'easy']")</f>
        <v>['application', 'easy', 'really', 'deh', 'pay', 'tags', 'easy']</v>
      </c>
      <c r="D605" s="4">
        <v>5.0</v>
      </c>
    </row>
    <row r="606" ht="15.75" customHeight="1">
      <c r="A606" s="1">
        <v>700.0</v>
      </c>
      <c r="B606" s="4" t="s">
        <v>597</v>
      </c>
      <c r="C606" s="4" t="str">
        <f>IFERROR(__xludf.DUMMYFUNCTION("GOOGLETRANSLATE(B606,""id"",""en"")"),"['Alert', 'FUP', 'Abis', 'fast', 'pay', 'tap', 'steady']")</f>
        <v>['Alert', 'FUP', 'Abis', 'fast', 'pay', 'tap', 'steady']</v>
      </c>
      <c r="D606" s="4">
        <v>5.0</v>
      </c>
    </row>
    <row r="607" ht="15.75" customHeight="1">
      <c r="A607" s="1">
        <v>701.0</v>
      </c>
      <c r="B607" s="4" t="s">
        <v>598</v>
      </c>
      <c r="C607" s="4" t="str">
        <f>IFERROR(__xludf.DUMMYFUNCTION("GOOGLETRANSLATE(B607,""id"",""en"")"),"['user', 'Friendly']")</f>
        <v>['user', 'Friendly']</v>
      </c>
      <c r="D607" s="4">
        <v>5.0</v>
      </c>
    </row>
    <row r="608" ht="15.75" customHeight="1">
      <c r="A608" s="1">
        <v>702.0</v>
      </c>
      <c r="B608" s="4" t="s">
        <v>599</v>
      </c>
      <c r="C608" s="4" t="str">
        <f>IFERROR(__xludf.DUMMYFUNCTION("GOOGLETRANSLATE(B608,""id"",""en"")"),"['Please', 'Bates',' Fup ',' Nurun ',' Yesterday ',' GB ',' DPT ',' Notif ',' Slow ',' GB ',' Udh ',' Can ',' motif ',' slow ',' strange ',' really ',' please ',' love ',' info ',' package ',' indihome ',' play ',' play ',' work ',' indihome ' , 'Class', "&amp;"'Online', 'Gara', 'Lot', 'Nauzubillah', ""]")</f>
        <v>['Please', 'Bates',' Fup ',' Nurun ',' Yesterday ',' GB ',' DPT ',' Notif ',' Slow ',' GB ',' Udh ',' Can ',' motif ',' slow ',' strange ',' really ',' please ',' love ',' info ',' package ',' indihome ',' play ',' play ',' work ',' indihome ' , 'Class', 'Online', 'Gara', 'Lot', 'Nauzubillah', "]</v>
      </c>
      <c r="D608" s="4">
        <v>1.0</v>
      </c>
    </row>
    <row r="609" ht="15.75" customHeight="1">
      <c r="A609" s="1">
        <v>703.0</v>
      </c>
      <c r="B609" s="4" t="s">
        <v>600</v>
      </c>
      <c r="C609" s="4" t="str">
        <f>IFERROR(__xludf.DUMMYFUNCTION("GOOGLETRANSLATE(B609,""id"",""en"")"),"['Gokil', 'application', 'Myindihome', 'Gaada', 'opponent', 'kerennn']")</f>
        <v>['Gokil', 'application', 'Myindihome', 'Gaada', 'opponent', 'kerennn']</v>
      </c>
      <c r="D609" s="4">
        <v>5.0</v>
      </c>
    </row>
    <row r="610" ht="15.75" customHeight="1">
      <c r="A610" s="1">
        <v>705.0</v>
      </c>
      <c r="B610" s="4" t="s">
        <v>601</v>
      </c>
      <c r="C610" s="4" t="str">
        <f>IFERROR(__xludf.DUMMYFUNCTION("GOOGLETRANSLATE(B610,""id"",""en"")"),"['service', 'bad', 'net', 'slow', 'indihome', 'garbage']")</f>
        <v>['service', 'bad', 'net', 'slow', 'indihome', 'garbage']</v>
      </c>
      <c r="D610" s="4">
        <v>1.0</v>
      </c>
    </row>
    <row r="611" ht="15.75" customHeight="1">
      <c r="A611" s="1">
        <v>706.0</v>
      </c>
      <c r="B611" s="4" t="s">
        <v>602</v>
      </c>
      <c r="C611" s="4" t="str">
        <f>IFERROR(__xludf.DUMMYFUNCTION("GOOGLETRANSLATE(B611,""id"",""en"")"),"['Good', 'benefits', '']")</f>
        <v>['Good', 'benefits', '']</v>
      </c>
      <c r="D611" s="4">
        <v>5.0</v>
      </c>
    </row>
    <row r="612" ht="15.75" customHeight="1">
      <c r="A612" s="1">
        <v>707.0</v>
      </c>
      <c r="B612" s="4" t="s">
        <v>603</v>
      </c>
      <c r="C612" s="4" t="str">
        <f>IFERROR(__xludf.DUMMYFUNCTION("GOOGLETRANSLATE(B612,""id"",""en"")"),"['service', 'numb', 'try', 'spacious', 'motion', 'fast']")</f>
        <v>['service', 'numb', 'try', 'spacious', 'motion', 'fast']</v>
      </c>
      <c r="D612" s="4">
        <v>1.0</v>
      </c>
    </row>
    <row r="613" ht="15.75" customHeight="1">
      <c r="A613" s="1">
        <v>708.0</v>
      </c>
      <c r="B613" s="4" t="s">
        <v>604</v>
      </c>
      <c r="C613" s="4" t="str">
        <f>IFERROR(__xludf.DUMMYFUNCTION("GOOGLETRANSLATE(B613,""id"",""en"")"),"['Indihome', 'respect', 'please', 'service', 'customer', 'level', 'net', 'slow', 'Telkomsel', ""]")</f>
        <v>['Indihome', 'respect', 'please', 'service', 'customer', 'level', 'net', 'slow', 'Telkomsel', "]</v>
      </c>
      <c r="D613" s="4">
        <v>1.0</v>
      </c>
    </row>
    <row r="614" ht="15.75" customHeight="1">
      <c r="A614" s="1">
        <v>709.0</v>
      </c>
      <c r="B614" s="4" t="s">
        <v>605</v>
      </c>
      <c r="C614" s="4" t="str">
        <f>IFERROR(__xludf.DUMMYFUNCTION("GOOGLETRANSLATE(B614,""id"",""en"")"),"['connection', 'ugly', 'install', 'Indihome', 'home', 'device', 'lagg', 'upgrede', 'lagg', 'astray', 'use', 'card', ' nets', 'cellular', 'connection', 'wifi', 'indihome', 'upgrede', 'yesterday', 'lot']")</f>
        <v>['connection', 'ugly', 'install', 'Indihome', 'home', 'device', 'lagg', 'upgrede', 'lagg', 'astray', 'use', 'card', ' nets', 'cellular', 'connection', 'wifi', 'indihome', 'upgrede', 'yesterday', 'lot']</v>
      </c>
      <c r="D614" s="4">
        <v>1.0</v>
      </c>
    </row>
    <row r="615" ht="15.75" customHeight="1">
      <c r="A615" s="1">
        <v>710.0</v>
      </c>
      <c r="B615" s="4" t="s">
        <v>606</v>
      </c>
      <c r="C615" s="4" t="str">
        <f>IFERROR(__xludf.DUMMYFUNCTION("GOOGLETRANSLATE(B615,""id"",""en"")"),"['', 'Incredible', 'Brooo', 'gokil', 'servicenya', '']")</f>
        <v>['', 'Incredible', 'Brooo', 'gokil', 'servicenya', '']</v>
      </c>
      <c r="D615" s="4">
        <v>5.0</v>
      </c>
    </row>
    <row r="616" ht="15.75" customHeight="1">
      <c r="A616" s="1">
        <v>711.0</v>
      </c>
      <c r="B616" s="4" t="s">
        <v>607</v>
      </c>
      <c r="C616" s="4" t="str">
        <f>IFERROR(__xludf.DUMMYFUNCTION("GOOGLETRANSLATE(B616,""id"",""en"")"),"['features', 'complete', 'easy', 'hahaaa']")</f>
        <v>['features', 'complete', 'easy', 'hahaaa']</v>
      </c>
      <c r="D616" s="4">
        <v>5.0</v>
      </c>
    </row>
    <row r="617" ht="15.75" customHeight="1">
      <c r="A617" s="1">
        <v>712.0</v>
      </c>
      <c r="B617" s="4" t="s">
        <v>608</v>
      </c>
      <c r="C617" s="4" t="str">
        <f>IFERROR(__xludf.DUMMYFUNCTION("GOOGLETRANSLATE(B617,""id"",""en"")"),"['Mantul', 'Dahh', 'Stay', 'Transfer', 'Application', 'SERES']")</f>
        <v>['Mantul', 'Dahh', 'Stay', 'Transfer', 'Application', 'SERES']</v>
      </c>
      <c r="D617" s="4">
        <v>5.0</v>
      </c>
    </row>
    <row r="618" ht="15.75" customHeight="1">
      <c r="A618" s="1">
        <v>713.0</v>
      </c>
      <c r="B618" s="4" t="s">
        <v>609</v>
      </c>
      <c r="C618" s="4" t="str">
        <f>IFERROR(__xludf.DUMMYFUNCTION("GOOGLETRANSLATE(B618,""id"",""en"")"),"['ohhh', 'gin', 'pakenya', 'easy', 'help', 'really', 'pay']")</f>
        <v>['ohhh', 'gin', 'pakenya', 'easy', 'help', 'really', 'pay']</v>
      </c>
      <c r="D618" s="4">
        <v>5.0</v>
      </c>
    </row>
    <row r="619" ht="15.75" customHeight="1">
      <c r="A619" s="1">
        <v>714.0</v>
      </c>
      <c r="B619" s="4" t="s">
        <v>610</v>
      </c>
      <c r="C619" s="4" t="str">
        <f>IFERROR(__xludf.DUMMYFUNCTION("GOOGLETRANSLATE(B619,""id"",""en"")"),"['send', 'verification', 'account', 'really', 'Lola', 'kayak', 'net', 'internet', ""]")</f>
        <v>['send', 'verification', 'account', 'really', 'Lola', 'kayak', 'net', 'internet', "]</v>
      </c>
      <c r="D619" s="4">
        <v>1.0</v>
      </c>
    </row>
    <row r="620" ht="15.75" customHeight="1">
      <c r="A620" s="1">
        <v>715.0</v>
      </c>
      <c r="B620" s="4" t="s">
        <v>611</v>
      </c>
      <c r="C620" s="4" t="str">
        <f>IFERROR(__xludf.DUMMYFUNCTION("GOOGLETRANSLATE(B620,""id"",""en"")"),"['Delicious', 'Report', 'Disturbs', 'Report', 'Application', 'Thank', 'Love']")</f>
        <v>['Delicious', 'Report', 'Disturbs', 'Report', 'Application', 'Thank', 'Love']</v>
      </c>
      <c r="D620" s="4">
        <v>5.0</v>
      </c>
    </row>
    <row r="621" ht="15.75" customHeight="1">
      <c r="A621" s="1">
        <v>716.0</v>
      </c>
      <c r="B621" s="4" t="s">
        <v>612</v>
      </c>
      <c r="C621" s="4" t="str">
        <f>IFERROR(__xludf.DUMMYFUNCTION("GOOGLETRANSLATE(B621,""id"",""en"")"),"['Neng', 'Myindihome', 'Easy', 'Subscribe', 'Indihome', ""]")</f>
        <v>['Neng', 'Myindihome', 'Easy', 'Subscribe', 'Indihome', "]</v>
      </c>
      <c r="D621" s="4">
        <v>5.0</v>
      </c>
    </row>
    <row r="622" ht="15.75" customHeight="1">
      <c r="A622" s="1">
        <v>717.0</v>
      </c>
      <c r="B622" s="4" t="s">
        <v>613</v>
      </c>
      <c r="C622" s="4" t="str">
        <f>IFERROR(__xludf.DUMMYFUNCTION("GOOGLETRANSLATE(B622,""id"",""en"")"),"['service', 'Indihome', 'numb', '']")</f>
        <v>['service', 'Indihome', 'numb', '']</v>
      </c>
      <c r="D622" s="4">
        <v>1.0</v>
      </c>
    </row>
    <row r="623" ht="15.75" customHeight="1">
      <c r="A623" s="1">
        <v>718.0</v>
      </c>
      <c r="B623" s="4" t="s">
        <v>614</v>
      </c>
      <c r="C623" s="4" t="str">
        <f>IFERROR(__xludf.DUMMYFUNCTION("GOOGLETRANSLATE(B623,""id"",""en"")"),"['service', 'bad']")</f>
        <v>['service', 'bad']</v>
      </c>
      <c r="D623" s="4">
        <v>1.0</v>
      </c>
    </row>
    <row r="624" ht="15.75" customHeight="1">
      <c r="A624" s="1">
        <v>719.0</v>
      </c>
      <c r="B624" s="4" t="s">
        <v>615</v>
      </c>
      <c r="C624" s="4" t="str">
        <f>IFERROR(__xludf.DUMMYFUNCTION("GOOGLETRANSLATE(B624,""id"",""en"")"),"['Duhhhh', 'Ribet']")</f>
        <v>['Duhhhh', 'Ribet']</v>
      </c>
      <c r="D624" s="4">
        <v>1.0</v>
      </c>
    </row>
    <row r="625" ht="15.75" customHeight="1">
      <c r="A625" s="1">
        <v>721.0</v>
      </c>
      <c r="B625" s="4" t="s">
        <v>616</v>
      </c>
      <c r="C625" s="4" t="str">
        <f>IFERROR(__xludf.DUMMYFUNCTION("GOOGLETRANSLATE(B625,""id"",""en"")"),"['Threat', 'Net', 'Severe', 'Raying', 'Products']")</f>
        <v>['Threat', 'Net', 'Severe', 'Raying', 'Products']</v>
      </c>
      <c r="D625" s="4">
        <v>1.0</v>
      </c>
    </row>
    <row r="626" ht="15.75" customHeight="1">
      <c r="A626" s="1">
        <v>722.0</v>
      </c>
      <c r="B626" s="4" t="s">
        <v>617</v>
      </c>
      <c r="C626" s="4" t="str">
        <f>IFERROR(__xludf.DUMMYFUNCTION("GOOGLETRANSLATE(B626,""id"",""en"")"),"['', 'stable', 'mas', 'nets', 'nya', 'down', 'continued']")</f>
        <v>['', 'stable', 'mas', 'nets', 'nya', 'down', 'continued']</v>
      </c>
      <c r="D626" s="4">
        <v>1.0</v>
      </c>
    </row>
    <row r="627" ht="15.75" customHeight="1">
      <c r="A627" s="1">
        <v>723.0</v>
      </c>
      <c r="B627" s="4" t="s">
        <v>618</v>
      </c>
      <c r="C627" s="4" t="str">
        <f>IFERROR(__xludf.DUMMYFUNCTION("GOOGLETRANSLATE(B627,""id"",""en"")"),"['Please', 'Mulu', 'down', 'down', 'connection', 'snot', 'please', 'good', 'diread', 'maximum', 'connection', ""]")</f>
        <v>['Please', 'Mulu', 'down', 'down', 'connection', 'snot', 'please', 'good', 'diread', 'maximum', 'connection', "]</v>
      </c>
      <c r="D627" s="4">
        <v>1.0</v>
      </c>
    </row>
    <row r="628" ht="15.75" customHeight="1">
      <c r="A628" s="1">
        <v>724.0</v>
      </c>
      <c r="B628" s="4" t="s">
        <v>619</v>
      </c>
      <c r="C628" s="4" t="str">
        <f>IFERROR(__xludf.DUMMYFUNCTION("GOOGLETRANSLATE(B628,""id"",""en"")"),"['What', 'ugly', 'tour', 'send', 'reset', 'answer', 'just', 'just', 'signal', 'ugly', 'suggestion', 'use', ' WiFi ',' Mending ',' Home ',' Lai ',' Raying ']")</f>
        <v>['What', 'ugly', 'tour', 'send', 'reset', 'answer', 'just', 'just', 'signal', 'ugly', 'suggestion', 'use', ' WiFi ',' Mending ',' Home ',' Lai ',' Raying ']</v>
      </c>
      <c r="D628" s="4">
        <v>1.0</v>
      </c>
    </row>
    <row r="629" ht="15.75" customHeight="1">
      <c r="A629" s="1">
        <v>725.0</v>
      </c>
      <c r="B629" s="4" t="s">
        <v>620</v>
      </c>
      <c r="C629" s="4" t="str">
        <f>IFERROR(__xludf.DUMMYFUNCTION("GOOGLETRANSLATE(B629,""id"",""en"")"),"['Subscribe', 'Disappointed', 'Pay', 'Connection', 'Internet', 'Bad', 'Value', 'Gin', 'Sorry', ""]")</f>
        <v>['Subscribe', 'Disappointed', 'Pay', 'Connection', 'Internet', 'Bad', 'Value', 'Gin', 'Sorry', "]</v>
      </c>
      <c r="D629" s="4">
        <v>1.0</v>
      </c>
    </row>
    <row r="630" ht="15.75" customHeight="1">
      <c r="A630" s="1">
        <v>726.0</v>
      </c>
      <c r="B630" s="4" t="s">
        <v>621</v>
      </c>
      <c r="C630" s="4" t="str">
        <f>IFERROR(__xludf.DUMMYFUNCTION("GOOGLETRANSLATE(B630,""id"",""en"")"),"['Signal', 'BURIK']")</f>
        <v>['Signal', 'BURIK']</v>
      </c>
      <c r="D630" s="4">
        <v>1.0</v>
      </c>
    </row>
    <row r="631" ht="15.75" customHeight="1">
      <c r="A631" s="1">
        <v>727.0</v>
      </c>
      <c r="B631" s="4" t="s">
        <v>622</v>
      </c>
      <c r="C631" s="4" t="str">
        <f>IFERROR(__xludf.DUMMYFUNCTION("GOOGLETRANSLATE(B631,""id"",""en"")"),"['great', 'Indihome', 'watch', 'Dakor', 'clock', 'clock', 'great', 'indihome', 'play', 'game', 'net', 'indihome', ' friends', 'I', 'Nge', 'Muscle', 'I', 'Great', 'Indihome', 'Cave', 'Send', 'Video', 'Notification', 'Minutes',' Serasa ' , 'minutes',' hell "&amp;"',' great ',' Indihome ',' family ',' stressed ',' net ',' ugly ',' Mulu ',' home ',' cave ',' people ',' great ',' sunguh ',' great ']")</f>
        <v>['great', 'Indihome', 'watch', 'Dakor', 'clock', 'clock', 'great', 'indihome', 'play', 'game', 'net', 'indihome', ' friends', 'I', 'Nge', 'Muscle', 'I', 'Great', 'Indihome', 'Cave', 'Send', 'Video', 'Notification', 'Minutes',' Serasa ' , 'minutes',' hell ',' great ',' Indihome ',' family ',' stressed ',' net ',' ugly ',' Mulu ',' home ',' cave ',' people ',' great ',' sunguh ',' great ']</v>
      </c>
      <c r="D631" s="4">
        <v>1.0</v>
      </c>
    </row>
    <row r="632" ht="15.75" customHeight="1">
      <c r="A632" s="1">
        <v>728.0</v>
      </c>
      <c r="B632" s="4" t="s">
        <v>623</v>
      </c>
      <c r="C632" s="4" t="str">
        <f>IFERROR(__xludf.DUMMYFUNCTION("GOOGLETRANSLATE(B632,""id"",""en"")"),"['Application', 'heavy', 'right', 'times', 'open', 'stop', 'Please', 'good', 'response', 'hand', 'slow', ""]")</f>
        <v>['Application', 'heavy', 'right', 'times', 'open', 'stop', 'Please', 'good', 'response', 'hand', 'slow', "]</v>
      </c>
      <c r="D632" s="4">
        <v>2.0</v>
      </c>
    </row>
    <row r="633" ht="15.75" customHeight="1">
      <c r="A633" s="1">
        <v>729.0</v>
      </c>
      <c r="B633" s="4" t="s">
        <v>624</v>
      </c>
      <c r="C633" s="4" t="str">
        <f>IFERROR(__xludf.DUMMYFUNCTION("GOOGLETRANSLATE(B633,""id"",""en"")"),"['Hallo', 'details', 'tags', 'History', 'Pay', 'Download', '']")</f>
        <v>['Hallo', 'details', 'tags', 'History', 'Pay', 'Download', '']</v>
      </c>
      <c r="D633" s="4">
        <v>1.0</v>
      </c>
    </row>
    <row r="634" ht="15.75" customHeight="1">
      <c r="A634" s="1">
        <v>730.0</v>
      </c>
      <c r="B634" s="4" t="s">
        <v>625</v>
      </c>
      <c r="C634" s="4" t="str">
        <f>IFERROR(__xludf.DUMMYFUNCTION("GOOGLETRANSLATE(B634,""id"",""en"")"),"['Net', 'rotten']")</f>
        <v>['Net', 'rotten']</v>
      </c>
      <c r="D634" s="4">
        <v>1.0</v>
      </c>
    </row>
    <row r="635" ht="15.75" customHeight="1">
      <c r="A635" s="1">
        <v>731.0</v>
      </c>
      <c r="B635" s="4" t="s">
        <v>626</v>
      </c>
      <c r="C635" s="4" t="str">
        <f>IFERROR(__xludf.DUMMYFUNCTION("GOOGLETRANSLATE(B635,""id"",""en"")"),"['Hold', 'Feature', 'Kick', 'Org', 'Connect']")</f>
        <v>['Hold', 'Feature', 'Kick', 'Org', 'Connect']</v>
      </c>
      <c r="D635" s="4">
        <v>3.0</v>
      </c>
    </row>
    <row r="636" ht="15.75" customHeight="1">
      <c r="A636" s="1">
        <v>732.0</v>
      </c>
      <c r="B636" s="4" t="s">
        <v>627</v>
      </c>
      <c r="C636" s="4" t="str">
        <f>IFERROR(__xludf.DUMMYFUNCTION("GOOGLETRANSLATE(B636,""id"",""en"")"),"['Addon', 'menu', 'Pack', 'Error', 'GMN', 'Neh', ""]")</f>
        <v>['Addon', 'menu', 'Pack', 'Error', 'GMN', 'Neh', "]</v>
      </c>
      <c r="D636" s="4">
        <v>1.0</v>
      </c>
    </row>
    <row r="637" ht="15.75" customHeight="1">
      <c r="A637" s="1">
        <v>733.0</v>
      </c>
      <c r="B637" s="4" t="s">
        <v>628</v>
      </c>
      <c r="C637" s="4" t="str">
        <f>IFERROR(__xludf.DUMMYFUNCTION("GOOGLETRANSLATE(B637,""id"",""en"")"),"['Please', 'Update', 'Pay', 'Real', 'Time', 'Pay', 'Application', 'Appear', 'Capible', 'Complaint', 'Revision', 'Tagih', ' Features', 'Payment', 'Alfa', 'Indomart', 'Subscribe', 'Easy', 'Subscribe', 'Pay', 'Expensive', 'Layan', 'Class',' Hotel ',' Jasmine"&amp;" ' , '']")</f>
        <v>['Please', 'Update', 'Pay', 'Real', 'Time', 'Pay', 'Application', 'Appear', 'Capible', 'Complaint', 'Revision', 'Tagih', ' Features', 'Payment', 'Alfa', 'Indomart', 'Subscribe', 'Easy', 'Subscribe', 'Pay', 'Expensive', 'Layan', 'Class',' Hotel ',' Jasmine ' , '']</v>
      </c>
      <c r="D637" s="4">
        <v>3.0</v>
      </c>
    </row>
    <row r="638" ht="15.75" customHeight="1">
      <c r="A638" s="1">
        <v>734.0</v>
      </c>
      <c r="B638" s="4" t="s">
        <v>629</v>
      </c>
      <c r="C638" s="4" t="str">
        <f>IFERROR(__xludf.DUMMYFUNCTION("GOOGLETRANSLATE(B638,""id"",""en"")"),"['appears', 'Harsunya', 'details', 'tagih', '']")</f>
        <v>['appears', 'Harsunya', 'details', 'tagih', '']</v>
      </c>
      <c r="D638" s="4">
        <v>5.0</v>
      </c>
    </row>
    <row r="639" ht="15.75" customHeight="1">
      <c r="A639" s="1">
        <v>735.0</v>
      </c>
      <c r="B639" s="4" t="s">
        <v>630</v>
      </c>
      <c r="C639" s="4" t="str">
        <f>IFERROR(__xludf.DUMMYFUNCTION("GOOGLETRANSLATE(B639,""id"",""en"")"),"['Delicious', 'already', 'love', 'information', 'Try', 'Notifications', 'active', 'bargain']")</f>
        <v>['Delicious', 'already', 'love', 'information', 'Try', 'Notifications', 'active', 'bargain']</v>
      </c>
      <c r="D639" s="4">
        <v>5.0</v>
      </c>
    </row>
    <row r="640" ht="15.75" customHeight="1">
      <c r="A640" s="1">
        <v>736.0</v>
      </c>
      <c r="B640" s="4" t="s">
        <v>631</v>
      </c>
      <c r="C640" s="4" t="str">
        <f>IFERROR(__xludf.DUMMYFUNCTION("GOOGLETRANSLATE(B640,""id"",""en"")"),"['manteb', 'update']")</f>
        <v>['manteb', 'update']</v>
      </c>
      <c r="D640" s="4">
        <v>5.0</v>
      </c>
    </row>
    <row r="641" ht="15.75" customHeight="1">
      <c r="A641" s="1">
        <v>737.0</v>
      </c>
      <c r="B641" s="4" t="s">
        <v>632</v>
      </c>
      <c r="C641" s="4" t="str">
        <f>IFERROR(__xludf.DUMMYFUNCTION("GOOGLETRANSLATE(B641,""id"",""en"")"),"['Pay', 'tags', 'knapa', 'tags', 'appears', 'late', 'pay', 'tags']")</f>
        <v>['Pay', 'tags', 'knapa', 'tags', 'appears', 'late', 'pay', 'tags']</v>
      </c>
      <c r="D641" s="4">
        <v>1.0</v>
      </c>
    </row>
    <row r="642" ht="15.75" customHeight="1">
      <c r="A642" s="1">
        <v>738.0</v>
      </c>
      <c r="B642" s="4" t="s">
        <v>633</v>
      </c>
      <c r="C642" s="4" t="str">
        <f>IFERROR(__xludf.DUMMYFUNCTION("GOOGLETRANSLATE(B642,""id"",""en"")"),"['rubbish']")</f>
        <v>['rubbish']</v>
      </c>
      <c r="D642" s="4">
        <v>1.0</v>
      </c>
    </row>
    <row r="643" ht="15.75" customHeight="1">
      <c r="A643" s="1">
        <v>739.0</v>
      </c>
      <c r="B643" s="4" t="s">
        <v>634</v>
      </c>
      <c r="C643" s="4" t="str">
        <f>IFERROR(__xludf.DUMMYFUNCTION("GOOGLETRANSLATE(B643,""id"",""en"")"),"['hard', 'replace', 'number', 'cellphone', 'told', 'Wait', 'operator', 'call', 'Wait', 'call', 'login']")</f>
        <v>['hard', 'replace', 'number', 'cellphone', 'told', 'Wait', 'operator', 'call', 'Wait', 'call', 'login']</v>
      </c>
      <c r="D643" s="4">
        <v>1.0</v>
      </c>
    </row>
    <row r="644" ht="15.75" customHeight="1">
      <c r="A644" s="1">
        <v>740.0</v>
      </c>
      <c r="B644" s="4" t="s">
        <v>635</v>
      </c>
      <c r="C644" s="4" t="str">
        <f>IFERROR(__xludf.DUMMYFUNCTION("GOOGLETRANSLATE(B644,""id"",""en"")"),"['dizzy']")</f>
        <v>['dizzy']</v>
      </c>
      <c r="D644" s="4">
        <v>1.0</v>
      </c>
    </row>
    <row r="645" ht="15.75" customHeight="1">
      <c r="A645" s="1">
        <v>741.0</v>
      </c>
      <c r="B645" s="4" t="s">
        <v>636</v>
      </c>
      <c r="C645" s="4" t="str">
        <f>IFERROR(__xludf.DUMMYFUNCTION("GOOGLETRANSLATE(B645,""id"",""en"")"),"['Bad', 'App', 'Ngelag', 'Severe']")</f>
        <v>['Bad', 'App', 'Ngelag', 'Severe']</v>
      </c>
      <c r="D645" s="4">
        <v>1.0</v>
      </c>
    </row>
    <row r="646" ht="15.75" customHeight="1">
      <c r="A646" s="1">
        <v>742.0</v>
      </c>
      <c r="B646" s="4" t="s">
        <v>637</v>
      </c>
      <c r="C646" s="4" t="str">
        <f>IFERROR(__xludf.DUMMYFUNCTION("GOOGLETRANSLATE(B646,""id"",""en"")"),"['dizziness',' dizziness', 'application', 'new', 'error', 'open', 'application', 'no', 'login', 'alkhamdulillah', 'log', 'hopefully', ' Level ',' Application ',' Light ',' Look ""]")</f>
        <v>['dizziness',' dizziness', 'application', 'new', 'error', 'open', 'application', 'no', 'login', 'alkhamdulillah', 'log', 'hopefully', ' Level ',' Application ',' Light ',' Look "]</v>
      </c>
      <c r="D646" s="4">
        <v>3.0</v>
      </c>
    </row>
    <row r="647" ht="15.75" customHeight="1">
      <c r="A647" s="1">
        <v>743.0</v>
      </c>
      <c r="B647" s="4" t="s">
        <v>638</v>
      </c>
      <c r="C647" s="4" t="str">
        <f>IFERROR(__xludf.DUMMYFUNCTION("GOOGLETRANSLATE(B647,""id"",""en"")"),"['Practical', 'easy']")</f>
        <v>['Practical', 'easy']</v>
      </c>
      <c r="D647" s="4">
        <v>5.0</v>
      </c>
    </row>
    <row r="648" ht="15.75" customHeight="1">
      <c r="A648" s="1">
        <v>744.0</v>
      </c>
      <c r="B648" s="4" t="s">
        <v>280</v>
      </c>
      <c r="C648" s="4" t="str">
        <f>IFERROR(__xludf.DUMMYFUNCTION("GOOGLETRANSLATE(B648,""id"",""en"")"),"['application', 'help']")</f>
        <v>['application', 'help']</v>
      </c>
      <c r="D648" s="4">
        <v>5.0</v>
      </c>
    </row>
    <row r="649" ht="15.75" customHeight="1">
      <c r="A649" s="1">
        <v>745.0</v>
      </c>
      <c r="B649" s="4" t="s">
        <v>639</v>
      </c>
      <c r="C649" s="4" t="str">
        <f>IFERROR(__xludf.DUMMYFUNCTION("GOOGLETRANSLATE(B649,""id"",""en"")"),"['Application', 'Myindihome', 'Activation', 'Balance', 'Myindihome', 'SOD', 'Saying', 'Activation', 'Balance', 'SOD']")</f>
        <v>['Application', 'Myindihome', 'Activation', 'Balance', 'Myindihome', 'SOD', 'Saying', 'Activation', 'Balance', 'SOD']</v>
      </c>
      <c r="D649" s="4">
        <v>1.0</v>
      </c>
    </row>
    <row r="650" ht="15.75" customHeight="1">
      <c r="A650" s="1">
        <v>746.0</v>
      </c>
      <c r="B650" s="4" t="s">
        <v>640</v>
      </c>
      <c r="C650" s="4" t="str">
        <f>IFERROR(__xludf.DUMMYFUNCTION("GOOGLETRANSLATE(B650,""id"",""en"")"),"['Disappointed', 'already', 'good', '']")</f>
        <v>['Disappointed', 'already', 'good', '']</v>
      </c>
      <c r="D650" s="4">
        <v>5.0</v>
      </c>
    </row>
    <row r="651" ht="15.75" customHeight="1">
      <c r="A651" s="1">
        <v>747.0</v>
      </c>
      <c r="B651" s="4" t="s">
        <v>641</v>
      </c>
      <c r="C651" s="4" t="str">
        <f>IFERROR(__xludf.DUMMYFUNCTION("GOOGLETRANSLATE(B651,""id"",""en"")"),"['', 'Mantabz', ""]")</f>
        <v>['', 'Mantabz', "]</v>
      </c>
      <c r="D651" s="4">
        <v>4.0</v>
      </c>
    </row>
    <row r="652" ht="15.75" customHeight="1">
      <c r="A652" s="1">
        <v>748.0</v>
      </c>
      <c r="B652" s="4" t="s">
        <v>642</v>
      </c>
      <c r="C652" s="4" t="str">
        <f>IFERROR(__xludf.DUMMYFUNCTION("GOOGLETRANSLATE(B652,""id"",""en"")"),"['Report', 'disturbing', 'easy', 'really', 'steady']")</f>
        <v>['Report', 'disturbing', 'easy', 'really', 'steady']</v>
      </c>
      <c r="D652" s="4">
        <v>5.0</v>
      </c>
    </row>
    <row r="653" ht="15.75" customHeight="1">
      <c r="A653" s="1">
        <v>749.0</v>
      </c>
      <c r="B653" s="4" t="s">
        <v>643</v>
      </c>
      <c r="C653" s="4" t="str">
        <f>IFERROR(__xludf.DUMMYFUNCTION("GOOGLETRANSLATE(B653,""id"",""en"")"),"['Login', 'then', 'no', 'enter', 'poor', 'what', 'upgrade', 'net']")</f>
        <v>['Login', 'then', 'no', 'enter', 'poor', 'what', 'upgrade', 'net']</v>
      </c>
      <c r="D653" s="4">
        <v>1.0</v>
      </c>
    </row>
    <row r="654" ht="15.75" customHeight="1">
      <c r="A654" s="1">
        <v>750.0</v>
      </c>
      <c r="B654" s="4" t="s">
        <v>644</v>
      </c>
      <c r="C654" s="4" t="str">
        <f>IFERROR(__xludf.DUMMYFUNCTION("GOOGLETRANSLATE(B654,""id"",""en"")"),"['Background', 'Change', 'Change', 'Cool', '']")</f>
        <v>['Background', 'Change', 'Change', 'Cool', '']</v>
      </c>
      <c r="D654" s="4">
        <v>5.0</v>
      </c>
    </row>
    <row r="655" ht="15.75" customHeight="1">
      <c r="A655" s="1">
        <v>751.0</v>
      </c>
      <c r="B655" s="4" t="s">
        <v>645</v>
      </c>
      <c r="C655" s="4" t="str">
        <f>IFERROR(__xludf.DUMMYFUNCTION("GOOGLETRANSLATE(B655,""id"",""en"")"),"['already', 'Register', 'Indihome', 'Verification', 'Customer', 'Service', 'Install', 'Technician', 'Sunday', 'Technician', 'Alas',' ODP ',' Full ',' Check ',' Website ',' Region ',' Sedia ',' Liat ',' ODP ',' Teroasis', 'Technician', 'Males',' What ',' P"&amp;"lease ',' Indihome ' , 'scolding', 'employees',' emang ',' work ',' work ',' technicians', 'DFTR', 'Via', 'Sales',' AJU ',' plz ',' Telkom ',' Slawi ']")</f>
        <v>['already', 'Register', 'Indihome', 'Verification', 'Customer', 'Service', 'Install', 'Technician', 'Sunday', 'Technician', 'Alas',' ODP ',' Full ',' Check ',' Website ',' Region ',' Sedia ',' Liat ',' ODP ',' Teroasis', 'Technician', 'Males',' What ',' Please ',' Indihome ' , 'scolding', 'employees',' emang ',' work ',' work ',' technicians', 'DFTR', 'Via', 'Sales',' AJU ',' plz ',' Telkom ',' Slawi ']</v>
      </c>
      <c r="D655" s="4">
        <v>1.0</v>
      </c>
    </row>
    <row r="656" ht="15.75" customHeight="1">
      <c r="A656" s="1">
        <v>752.0</v>
      </c>
      <c r="B656" s="4" t="s">
        <v>646</v>
      </c>
      <c r="C656" s="4" t="str">
        <f>IFERROR(__xludf.DUMMYFUNCTION("GOOGLETRANSLATE(B656,""id"",""en"")"),"['Happy', 'really', 'emang', 'Better', 'information', 'tags',' details', 'so', 'hope', 'enter', 'thank', 'Thanks',' ']")</f>
        <v>['Happy', 'really', 'emang', 'Better', 'information', 'tags',' details', 'so', 'hope', 'enter', 'thank', 'Thanks',' ']</v>
      </c>
      <c r="D656" s="4">
        <v>5.0</v>
      </c>
    </row>
    <row r="657" ht="15.75" customHeight="1">
      <c r="A657" s="1">
        <v>753.0</v>
      </c>
      <c r="B657" s="4" t="s">
        <v>647</v>
      </c>
      <c r="C657" s="4" t="str">
        <f>IFERROR(__xludf.DUMMYFUNCTION("GOOGLETRANSLATE(B657,""id"",""en"")"),"['check', 'check', 'total', 'divice', 'seamles', 'hyphen', 'steady']")</f>
        <v>['check', 'check', 'total', 'divice', 'seamles', 'hyphen', 'steady']</v>
      </c>
      <c r="D657" s="4">
        <v>5.0</v>
      </c>
    </row>
    <row r="658" ht="15.75" customHeight="1">
      <c r="A658" s="1">
        <v>754.0</v>
      </c>
      <c r="B658" s="4" t="s">
        <v>648</v>
      </c>
      <c r="C658" s="4" t="str">
        <f>IFERROR(__xludf.DUMMYFUNCTION("GOOGLETRANSLATE(B658,""id"",""en"")"),"['Report', 'Disturbs', 'APSS', 'Direct', 'Cepet', 'top']")</f>
        <v>['Report', 'Disturbs', 'APSS', 'Direct', 'Cepet', 'top']</v>
      </c>
      <c r="D658" s="4">
        <v>5.0</v>
      </c>
    </row>
    <row r="659" ht="15.75" customHeight="1">
      <c r="A659" s="1">
        <v>755.0</v>
      </c>
      <c r="B659" s="4" t="s">
        <v>649</v>
      </c>
      <c r="C659" s="4" t="str">
        <f>IFERROR(__xludf.DUMMYFUNCTION("GOOGLETRANSLATE(B659,""id"",""en"")"),"['like']")</f>
        <v>['like']</v>
      </c>
      <c r="D659" s="4">
        <v>5.0</v>
      </c>
    </row>
    <row r="660" ht="15.75" customHeight="1">
      <c r="A660" s="1">
        <v>756.0</v>
      </c>
      <c r="B660" s="4" t="s">
        <v>650</v>
      </c>
      <c r="C660" s="4" t="str">
        <f>IFERROR(__xludf.DUMMYFUNCTION("GOOGLETRANSLATE(B660,""id"",""en"")"),"['complaints',' Kisah ',' Indihom ',' Telcom ',' Layan ',' Costumer ',' Subscribe ',' Expedition ',' Clock ',' Office ',' Subscribe ',' Already ',' ACC ',' Tide ',' Telcom ',' Send ',' Message ',' Costumer ',' Service ',' answer ',' Please ',' patient ','"&amp;" process', 'patient', 'already' , 'patient', 'sales', 'responsibility', 'disappointed', 'already', 'SMA', 'Telcom']")</f>
        <v>['complaints',' Kisah ',' Indihom ',' Telcom ',' Layan ',' Costumer ',' Subscribe ',' Expedition ',' Clock ',' Office ',' Subscribe ',' Already ',' ACC ',' Tide ',' Telcom ',' Send ',' Message ',' Costumer ',' Service ',' answer ',' Please ',' patient ',' process', 'patient', 'already' , 'patient', 'sales', 'responsibility', 'disappointed', 'already', 'SMA', 'Telcom']</v>
      </c>
      <c r="D660" s="4">
        <v>1.0</v>
      </c>
    </row>
    <row r="661" ht="15.75" customHeight="1">
      <c r="A661" s="1">
        <v>757.0</v>
      </c>
      <c r="B661" s="4" t="s">
        <v>651</v>
      </c>
      <c r="C661" s="4" t="str">
        <f>IFERROR(__xludf.DUMMYFUNCTION("GOOGLETRANSLATE(B661,""id"",""en"")"),"['application', 'already', 'good', 'dar', 'enter', 'info', 'detail', 'tagging', 'appears', ""]")</f>
        <v>['application', 'already', 'good', 'dar', 'enter', 'info', 'detail', 'tagging', 'appears', "]</v>
      </c>
      <c r="D661" s="4">
        <v>5.0</v>
      </c>
    </row>
    <row r="662" ht="15.75" customHeight="1">
      <c r="A662" s="1">
        <v>758.0</v>
      </c>
      <c r="B662" s="4" t="s">
        <v>652</v>
      </c>
      <c r="C662" s="4" t="str">
        <f>IFERROR(__xludf.DUMMYFUNCTION("GOOGLETRANSLATE(B662,""id"",""en"")"),"['minimal', 'bugs', 'fast', 'access', 'ngebantu', 'Maanjiw']")</f>
        <v>['minimal', 'bugs', 'fast', 'access', 'ngebantu', 'Maanjiw']</v>
      </c>
      <c r="D662" s="4">
        <v>5.0</v>
      </c>
    </row>
    <row r="663" ht="15.75" customHeight="1">
      <c r="A663" s="1">
        <v>759.0</v>
      </c>
      <c r="B663" s="4" t="s">
        <v>653</v>
      </c>
      <c r="C663" s="4" t="str">
        <f>IFERROR(__xludf.DUMMYFUNCTION("GOOGLETRANSLATE(B663,""id"",""en"")"),"['signal', 'download', 'natural', 'lag', 'mbps', 'lag', 'tros', 'intention', 'love', 'signal', 'yaudah', 'gausah']")</f>
        <v>['signal', 'download', 'natural', 'lag', 'mbps', 'lag', 'tros', 'intention', 'love', 'signal', 'yaudah', 'gausah']</v>
      </c>
      <c r="D663" s="4">
        <v>1.0</v>
      </c>
    </row>
    <row r="664" ht="15.75" customHeight="1">
      <c r="A664" s="1">
        <v>760.0</v>
      </c>
      <c r="B664" s="4" t="s">
        <v>654</v>
      </c>
      <c r="C664" s="4" t="str">
        <f>IFERROR(__xludf.DUMMYFUNCTION("GOOGLETRANSLATE(B664,""id"",""en"")"),"['Sometimes', 'Lot', 'Application', 'Good']")</f>
        <v>['Sometimes', 'Lot', 'Application', 'Good']</v>
      </c>
      <c r="D664" s="4">
        <v>5.0</v>
      </c>
    </row>
    <row r="665" ht="15.75" customHeight="1">
      <c r="A665" s="1">
        <v>761.0</v>
      </c>
      <c r="B665" s="4" t="s">
        <v>655</v>
      </c>
      <c r="C665" s="4" t="str">
        <f>IFERROR(__xludf.DUMMYFUNCTION("GOOGLETRANSLATE(B665,""id"",""en"")"),"['Santap', 'soulaaaaaaa']")</f>
        <v>['Santap', 'soulaaaaaaa']</v>
      </c>
      <c r="D665" s="4">
        <v>5.0</v>
      </c>
    </row>
    <row r="666" ht="15.75" customHeight="1">
      <c r="A666" s="1">
        <v>762.0</v>
      </c>
      <c r="B666" s="4" t="s">
        <v>656</v>
      </c>
      <c r="C666" s="4" t="str">
        <f>IFERROR(__xludf.DUMMYFUNCTION("GOOGLETRANSLATE(B666,""id"",""en"")"),"['steady', 'application', 'help', 'really']")</f>
        <v>['steady', 'application', 'help', 'really']</v>
      </c>
      <c r="D666" s="4">
        <v>5.0</v>
      </c>
    </row>
    <row r="667" ht="15.75" customHeight="1">
      <c r="A667" s="1">
        <v>763.0</v>
      </c>
      <c r="B667" s="4" t="s">
        <v>657</v>
      </c>
      <c r="C667" s="4" t="str">
        <f>IFERROR(__xludf.DUMMYFUNCTION("GOOGLETRANSLATE(B667,""id"",""en"")"),"['Bad', 'Rain', 'Out', 'Rain', 'Net', 'Down', 'Internet', 'Disappointed']")</f>
        <v>['Bad', 'Rain', 'Out', 'Rain', 'Net', 'Down', 'Internet', 'Disappointed']</v>
      </c>
      <c r="D667" s="4">
        <v>4.0</v>
      </c>
    </row>
    <row r="668" ht="15.75" customHeight="1">
      <c r="A668" s="1">
        <v>764.0</v>
      </c>
      <c r="B668" s="4" t="s">
        <v>658</v>
      </c>
      <c r="C668" s="4" t="str">
        <f>IFERROR(__xludf.DUMMYFUNCTION("GOOGLETRANSLATE(B668,""id"",""en"")"),"['', 'Login']")</f>
        <v>['', 'Login']</v>
      </c>
      <c r="D668" s="4">
        <v>1.0</v>
      </c>
    </row>
    <row r="669" ht="15.75" customHeight="1">
      <c r="A669" s="1">
        <v>765.0</v>
      </c>
      <c r="B669" s="4" t="s">
        <v>659</v>
      </c>
      <c r="C669" s="4" t="str">
        <f>IFERROR(__xludf.DUMMYFUNCTION("GOOGLETRANSLATE(B669,""id"",""en"")"),"['hope', 'forward', 'indihomeee']")</f>
        <v>['hope', 'forward', 'indihomeee']</v>
      </c>
      <c r="D669" s="4">
        <v>5.0</v>
      </c>
    </row>
    <row r="670" ht="15.75" customHeight="1">
      <c r="A670" s="1">
        <v>766.0</v>
      </c>
      <c r="B670" s="4" t="s">
        <v>660</v>
      </c>
      <c r="C670" s="4" t="str">
        <f>IFERROR(__xludf.DUMMYFUNCTION("GOOGLETRANSLATE(B670,""id"",""en"")"),"['Since', 'Download', 'application', 'easy', 'really', 'wfh']")</f>
        <v>['Since', 'Download', 'application', 'easy', 'really', 'wfh']</v>
      </c>
      <c r="D670" s="4">
        <v>5.0</v>
      </c>
    </row>
    <row r="671" ht="15.75" customHeight="1">
      <c r="A671" s="1">
        <v>767.0</v>
      </c>
      <c r="B671" s="4" t="s">
        <v>661</v>
      </c>
      <c r="C671" s="4" t="str">
        <f>IFERROR(__xludf.DUMMYFUNCTION("GOOGLETRANSLATE(B671,""id"",""en"")"),"['Report', 'Disturbed', 'fast', 'Bener', 'Alhamdulillah', 'Technician', 'Direct']")</f>
        <v>['Report', 'Disturbed', 'fast', 'Bener', 'Alhamdulillah', 'Technician', 'Direct']</v>
      </c>
      <c r="D671" s="4">
        <v>5.0</v>
      </c>
    </row>
    <row r="672" ht="15.75" customHeight="1">
      <c r="A672" s="1">
        <v>768.0</v>
      </c>
      <c r="B672" s="4" t="s">
        <v>662</v>
      </c>
      <c r="C672" s="4" t="str">
        <f>IFERROR(__xludf.DUMMYFUNCTION("GOOGLETRANSLATE(B672,""id"",""en"")"),"['Gin', 'smooth', 'tasty', 'mantapppp', 'Jaya']")</f>
        <v>['Gin', 'smooth', 'tasty', 'mantapppp', 'Jaya']</v>
      </c>
      <c r="D672" s="4">
        <v>5.0</v>
      </c>
    </row>
    <row r="673" ht="15.75" customHeight="1">
      <c r="A673" s="1">
        <v>769.0</v>
      </c>
      <c r="B673" s="4" t="s">
        <v>663</v>
      </c>
      <c r="C673" s="4" t="str">
        <f>IFERROR(__xludf.DUMMYFUNCTION("GOOGLETRANSLATE(B673,""id"",""en"")"),"['application', 'check', 'usage', 'home', 'decent']")</f>
        <v>['application', 'check', 'usage', 'home', 'decent']</v>
      </c>
      <c r="D673" s="4">
        <v>5.0</v>
      </c>
    </row>
    <row r="674" ht="15.75" customHeight="1">
      <c r="A674" s="1">
        <v>770.0</v>
      </c>
      <c r="B674" s="4" t="s">
        <v>664</v>
      </c>
      <c r="C674" s="4" t="str">
        <f>IFERROR(__xludf.DUMMYFUNCTION("GOOGLETRANSLATE(B674,""id"",""en"")"),"['Check', 'FUP', 'application']")</f>
        <v>['Check', 'FUP', 'application']</v>
      </c>
      <c r="D674" s="4">
        <v>1.0</v>
      </c>
    </row>
    <row r="675" ht="15.75" customHeight="1">
      <c r="A675" s="1">
        <v>771.0</v>
      </c>
      <c r="B675" s="4" t="s">
        <v>665</v>
      </c>
      <c r="C675" s="4" t="str">
        <f>IFERROR(__xludf.DUMMYFUNCTION("GOOGLETRANSLATE(B675,""id"",""en"")"),"['', 'application', 'skrng', 'tags',' telephone ',' all ',' include ',' internet ',' phone ',' rare ',' dipke ',' explosive ',' tap ',' CKCK ',' KNP ',' Details', 'TAGIH', 'Dipuncular', '']")</f>
        <v>['', 'application', 'skrng', 'tags',' telephone ',' all ',' include ',' internet ',' phone ',' rare ',' dipke ',' explosive ',' tap ',' CKCK ',' KNP ',' Details', 'TAGIH', 'Dipuncular', '']</v>
      </c>
      <c r="D675" s="4">
        <v>2.0</v>
      </c>
    </row>
    <row r="676" ht="15.75" customHeight="1">
      <c r="A676" s="1">
        <v>772.0</v>
      </c>
      <c r="B676" s="4" t="s">
        <v>666</v>
      </c>
      <c r="C676" s="4" t="str">
        <f>IFERROR(__xludf.DUMMYFUNCTION("GOOGLETRANSLATE(B676,""id"",""en"")"),"['How', 'Until', 'Gabisa', 'Pay', 'Jamin', 'Deposit', 'Alfa', 'Bright', 'Tap', 'Temu', 'Constraints',' Install ',' Indihome ',' Tide ',' technicians', 'pairs',' skarang ',' pay ',' guarantee ',' difficult ',' really ',' internet ',' on ',' products', 'JGA"&amp;"A' , '']")</f>
        <v>['How', 'Until', 'Gabisa', 'Pay', 'Jamin', 'Deposit', 'Alfa', 'Bright', 'Tap', 'Temu', 'Constraints',' Install ',' Indihome ',' Tide ',' technicians', 'pairs',' skarang ',' pay ',' guarantee ',' difficult ',' really ',' internet ',' on ',' products', 'JGAA' , '']</v>
      </c>
      <c r="D676" s="4">
        <v>1.0</v>
      </c>
    </row>
    <row r="677" ht="15.75" customHeight="1">
      <c r="A677" s="1">
        <v>773.0</v>
      </c>
      <c r="B677" s="4" t="s">
        <v>667</v>
      </c>
      <c r="C677" s="4" t="str">
        <f>IFERROR(__xludf.DUMMYFUNCTION("GOOGLETRANSLATE(B677,""id"",""en"")"),"['Enter', 'difficult']")</f>
        <v>['Enter', 'difficult']</v>
      </c>
      <c r="D677" s="4">
        <v>2.0</v>
      </c>
    </row>
    <row r="678" ht="15.75" customHeight="1">
      <c r="A678" s="1">
        <v>774.0</v>
      </c>
      <c r="B678" s="4" t="s">
        <v>668</v>
      </c>
      <c r="C678" s="4" t="str">
        <f>IFERROR(__xludf.DUMMYFUNCTION("GOOGLETRANSLATE(B678,""id"",""en"")"),"['Nice', 'good']")</f>
        <v>['Nice', 'good']</v>
      </c>
      <c r="D678" s="4">
        <v>5.0</v>
      </c>
    </row>
    <row r="679" ht="15.75" customHeight="1">
      <c r="A679" s="1">
        <v>775.0</v>
      </c>
      <c r="B679" s="4" t="s">
        <v>669</v>
      </c>
      <c r="C679" s="4" t="str">
        <f>IFERROR(__xludf.DUMMYFUNCTION("GOOGLETRANSLATE(B679,""id"",""en"")"),"['Maghrib', 'Ampe', 'Clock', 'Blom', 'Register', 'Data', 'Personal', 'One', 'Wrong', 'Letter']")</f>
        <v>['Maghrib', 'Ampe', 'Clock', 'Blom', 'Register', 'Data', 'Personal', 'One', 'Wrong', 'Letter']</v>
      </c>
      <c r="D679" s="4">
        <v>1.0</v>
      </c>
    </row>
    <row r="680" ht="15.75" customHeight="1">
      <c r="A680" s="1">
        <v>776.0</v>
      </c>
      <c r="B680" s="4" t="s">
        <v>670</v>
      </c>
      <c r="C680" s="4" t="str">
        <f>IFERROR(__xludf.DUMMYFUNCTION("GOOGLETRANSLATE(B680,""id"",""en"")"),"['Sngat', 'special', 'Indihome', 'comfortable', 'and', 'smooth', 'love', '']")</f>
        <v>['Sngat', 'special', 'Indihome', 'comfortable', 'and', 'smooth', 'love', '']</v>
      </c>
      <c r="D680" s="4">
        <v>5.0</v>
      </c>
    </row>
    <row r="681" ht="15.75" customHeight="1">
      <c r="A681" s="1">
        <v>777.0</v>
      </c>
      <c r="B681" s="4" t="s">
        <v>671</v>
      </c>
      <c r="C681" s="4" t="str">
        <f>IFERROR(__xludf.DUMMYFUNCTION("GOOGLETRANSLATE(B681,""id"",""en"")"),"['Internet', 'Los',' Open ',' Indihome ',' service ',' already ',' Top ',' Atik ',' Los', 'right', 'Adu', 'Send', ' Error ',' Hebaaaat ',' Once ',' Youaa ',' ']")</f>
        <v>['Internet', 'Los',' Open ',' Indihome ',' service ',' already ',' Top ',' Atik ',' Los', 'right', 'Adu', 'Send', ' Error ',' Hebaaaat ',' Once ',' Youaa ',' ']</v>
      </c>
      <c r="D681" s="4">
        <v>1.0</v>
      </c>
    </row>
    <row r="682" ht="15.75" customHeight="1">
      <c r="A682" s="1">
        <v>778.0</v>
      </c>
      <c r="B682" s="4" t="s">
        <v>672</v>
      </c>
      <c r="C682" s="4" t="str">
        <f>IFERROR(__xludf.DUMMYFUNCTION("GOOGLETRANSLATE(B682,""id"",""en"")"),"['Jellleeeee', 'eeeeeeeeekkkkkkk', 'oath', 'jelekkkkkkkkk', 'net', 'laggggggggg', 'laggggggg', 'lagggggg', 'play', 'game', 'mantaaaappppppp']")</f>
        <v>['Jellleeeee', 'eeeeeeeeekkkkkkk', 'oath', 'jelekkkkkkkkk', 'net', 'laggggggggg', 'laggggggg', 'lagggggg', 'play', 'game', 'mantaaaappppppp']</v>
      </c>
      <c r="D682" s="4">
        <v>5.0</v>
      </c>
    </row>
    <row r="683" ht="15.75" customHeight="1">
      <c r="A683" s="1">
        <v>779.0</v>
      </c>
      <c r="B683" s="4" t="s">
        <v>673</v>
      </c>
      <c r="C683" s="4" t="str">
        <f>IFERROR(__xludf.DUMMYFUNCTION("GOOGLETRANSLATE(B683,""id"",""en"")"),"['Adu', 'service', 'Indihome', 'clock', '']")</f>
        <v>['Adu', 'service', 'Indihome', 'clock', '']</v>
      </c>
      <c r="D683" s="4">
        <v>1.0</v>
      </c>
    </row>
    <row r="684" ht="15.75" customHeight="1">
      <c r="A684" s="1">
        <v>780.0</v>
      </c>
      <c r="B684" s="4" t="s">
        <v>674</v>
      </c>
      <c r="C684" s="4" t="str">
        <f>IFERROR(__xludf.DUMMYFUNCTION("GOOGLETRANSLATE(B684,""id"",""en"")"),"['Knp', 'malem', 'like', 'Nge', 'lag', 'then', 'Disappointed', 'really', 'indihome', 'play', 'game', ' lag ',' watch ',' anime ',' ngellag ',' Gosha ',' disappointed ',' ']")</f>
        <v>['Knp', 'malem', 'like', 'Nge', 'lag', 'then', 'Disappointed', 'really', 'indihome', 'play', 'game', ' lag ',' watch ',' anime ',' ngellag ',' Gosha ',' disappointed ',' ']</v>
      </c>
      <c r="D684" s="4">
        <v>1.0</v>
      </c>
    </row>
    <row r="685" ht="15.75" customHeight="1">
      <c r="A685" s="1">
        <v>781.0</v>
      </c>
      <c r="B685" s="4" t="s">
        <v>675</v>
      </c>
      <c r="C685" s="4" t="str">
        <f>IFERROR(__xludf.DUMMYFUNCTION("GOOGLETRANSLATE(B685,""id"",""en"")"),"['astagfirullah', 'wifi', 'oath', 'suggestion', 'use', 'indihome', 'use', 'indihome', 'stresss',' dirty ',' sin ',' plss', ' wear ',' indihome ',' laghhhhhhhhhhhhhhhhhhh ',' nyaaaaaaaaaa ',' parahhhhhhhhhhhhhhhhhhhhg ',' astgaaaaaaaaaaaaaaaa ',' members',"&amp;" 'indihome', 'win', 'cangkem', 'fit', 'nawarin', 'indihome' , 'his cangkem', 'signal', 'smooth', 'buk', 'mas', 'kak', 'border', 'stale', 'cuihhhhhhhhhhh']")</f>
        <v>['astagfirullah', 'wifi', 'oath', 'suggestion', 'use', 'indihome', 'use', 'indihome', 'stresss',' dirty ',' sin ',' plss', ' wear ',' indihome ',' laghhhhhhhhhhhhhhhhhhh ',' nyaaaaaaaaaa ',' parahhhhhhhhhhhhhhhhhhhhg ',' astgaaaaaaaaaaaaaaaa ',' members', 'indihome', 'win', 'cangkem', 'fit', 'nawarin', 'indihome' , 'his cangkem', 'signal', 'smooth', 'buk', 'mas', 'kak', 'border', 'stale', 'cuihhhhhhhhhhh']</v>
      </c>
      <c r="D685" s="4">
        <v>1.0</v>
      </c>
    </row>
    <row r="686" ht="15.75" customHeight="1">
      <c r="A686" s="1">
        <v>782.0</v>
      </c>
      <c r="B686" s="4" t="s">
        <v>676</v>
      </c>
      <c r="C686" s="4" t="str">
        <f>IFERROR(__xludf.DUMMYFUNCTION("GOOGLETRANSLATE(B686,""id"",""en"")"),"['Sorry', 'love', 'star', 'hand', 'price', 'tags',' expensive ',' draw ',' work ',' speed ',' internet ',' down ',' Dear ',' Indihome ',' Please ',' Good ']")</f>
        <v>['Sorry', 'love', 'star', 'hand', 'price', 'tags',' expensive ',' draw ',' work ',' speed ',' internet ',' down ',' Dear ',' Indihome ',' Please ',' Good ']</v>
      </c>
      <c r="D686" s="4">
        <v>1.0</v>
      </c>
    </row>
    <row r="687" ht="15.75" customHeight="1">
      <c r="A687" s="1">
        <v>783.0</v>
      </c>
      <c r="B687" s="4" t="s">
        <v>677</v>
      </c>
      <c r="C687" s="4" t="str">
        <f>IFERROR(__xludf.DUMMYFUNCTION("GOOGLETRANSLATE(B687,""id"",""en"")"),"['benefit']")</f>
        <v>['benefit']</v>
      </c>
      <c r="D687" s="4">
        <v>5.0</v>
      </c>
    </row>
    <row r="688" ht="15.75" customHeight="1">
      <c r="A688" s="1">
        <v>784.0</v>
      </c>
      <c r="B688" s="4" t="s">
        <v>678</v>
      </c>
      <c r="C688" s="4" t="str">
        <f>IFERROR(__xludf.DUMMYFUNCTION("GOOGLETRANSLATE(B688,""id"",""en"")"),"['signal', 'ugly', 'signal', 'play', 'game', 'lose', 'signal', 'dri', 'card', 'kembang', 'again', 'price', ' expensive ',' according to ']")</f>
        <v>['signal', 'ugly', 'signal', 'play', 'game', 'lose', 'signal', 'dri', 'card', 'kembang', 'again', 'price', ' expensive ',' according to ']</v>
      </c>
      <c r="D688" s="4">
        <v>1.0</v>
      </c>
    </row>
    <row r="689" ht="15.75" customHeight="1">
      <c r="A689" s="1">
        <v>785.0</v>
      </c>
      <c r="B689" s="4" t="s">
        <v>679</v>
      </c>
      <c r="C689" s="4" t="str">
        <f>IFERROR(__xludf.DUMMYFUNCTION("GOOGLETRANSLATE(B689,""id"",""en"")"),"['connection', 'internet', 'bad', 'price', 'wifi', 'you', 'up', 'wtf']")</f>
        <v>['connection', 'internet', 'bad', 'price', 'wifi', 'you', 'up', 'wtf']</v>
      </c>
      <c r="D689" s="4">
        <v>1.0</v>
      </c>
    </row>
    <row r="690" ht="15.75" customHeight="1">
      <c r="A690" s="1">
        <v>786.0</v>
      </c>
      <c r="B690" s="4" t="s">
        <v>680</v>
      </c>
      <c r="C690" s="4" t="str">
        <f>IFERROR(__xludf.DUMMYFUNCTION("GOOGLETRANSLATE(B690,""id"",""en"")"),"['server', 'slow', 'report', 'wifi', 'error', 'expensive', 'net', 'severe', 'service', 'good', 'slow', 'sorry', ' Ksih ',' star ',' ']")</f>
        <v>['server', 'slow', 'report', 'wifi', 'error', 'expensive', 'net', 'severe', 'service', 'good', 'slow', 'sorry', ' Ksih ',' star ',' ']</v>
      </c>
      <c r="D690" s="4">
        <v>1.0</v>
      </c>
    </row>
    <row r="691" ht="15.75" customHeight="1">
      <c r="A691" s="1">
        <v>787.0</v>
      </c>
      <c r="B691" s="4" t="s">
        <v>681</v>
      </c>
      <c r="C691" s="4" t="str">
        <f>IFERROR(__xludf.DUMMYFUNCTION("GOOGLETRANSLATE(B691,""id"",""en"")"),"['Indihome', 'emotion', 'cave', 'college', 'napa', 'net', 'ilang', 'nyesel', 'indihome', 'mending', 'replace', 'laten', ' Make ',' Indihome ',' stressed ',' already ',' price ',' expensive ',' quality ']")</f>
        <v>['Indihome', 'emotion', 'cave', 'college', 'napa', 'net', 'ilang', 'nyesel', 'indihome', 'mending', 'replace', 'laten', ' Make ',' Indihome ',' stressed ',' already ',' price ',' expensive ',' quality ']</v>
      </c>
      <c r="D691" s="4">
        <v>1.0</v>
      </c>
    </row>
    <row r="692" ht="15.75" customHeight="1">
      <c r="A692" s="1">
        <v>789.0</v>
      </c>
      <c r="B692" s="4" t="s">
        <v>682</v>
      </c>
      <c r="C692" s="4" t="str">
        <f>IFERROR(__xludf.DUMMYFUNCTION("GOOGLETRANSLATE(B692,""id"",""en"")"),"['Login', 'UDH', 'Install', 'reset', 'TTP', 'Yaa', 'Thanks', 'Indihome']")</f>
        <v>['Login', 'UDH', 'Install', 'reset', 'TTP', 'Yaa', 'Thanks', 'Indihome']</v>
      </c>
      <c r="D692" s="4">
        <v>5.0</v>
      </c>
    </row>
    <row r="693" ht="15.75" customHeight="1">
      <c r="A693" s="1">
        <v>790.0</v>
      </c>
      <c r="B693" s="4" t="s">
        <v>683</v>
      </c>
      <c r="C693" s="4" t="str">
        <f>IFERROR(__xludf.DUMMYFUNCTION("GOOGLETRANSLATE(B693,""id"",""en"")"),"['difficult', 'enter', 'login']")</f>
        <v>['difficult', 'enter', 'login']</v>
      </c>
      <c r="D693" s="4">
        <v>5.0</v>
      </c>
    </row>
    <row r="694" ht="15.75" customHeight="1">
      <c r="A694" s="1">
        <v>791.0</v>
      </c>
      <c r="B694" s="4" t="s">
        <v>684</v>
      </c>
      <c r="C694" s="4" t="str">
        <f>IFERROR(__xludf.DUMMYFUNCTION("GOOGLETRANSLATE(B694,""id"",""en"")"),"['', 'Review', 'good', 'doubt', 'pairs', 'indihome']")</f>
        <v>['', 'Review', 'good', 'doubt', 'pairs', 'indihome']</v>
      </c>
      <c r="D694" s="4">
        <v>1.0</v>
      </c>
    </row>
    <row r="695" ht="15.75" customHeight="1">
      <c r="A695" s="1">
        <v>792.0</v>
      </c>
      <c r="B695" s="4" t="s">
        <v>685</v>
      </c>
      <c r="C695" s="4" t="str">
        <f>IFERROR(__xludf.DUMMYFUNCTION("GOOGLETRANSLATE(B695,""id"",""en"")"),"['Bad', 'really', 'net', 'snail', 'please', 'pay', 'expensive', 'internet', 'forgiveness', 'loss', 'pakenya', 'regret']")</f>
        <v>['Bad', 'really', 'net', 'snail', 'please', 'pay', 'expensive', 'internet', 'forgiveness', 'loss', 'pakenya', 'regret']</v>
      </c>
      <c r="D695" s="4">
        <v>1.0</v>
      </c>
    </row>
    <row r="696" ht="15.75" customHeight="1">
      <c r="A696" s="1">
        <v>793.0</v>
      </c>
      <c r="B696" s="4" t="s">
        <v>686</v>
      </c>
      <c r="C696" s="4" t="str">
        <f>IFERROR(__xludf.DUMMYFUNCTION("GOOGLETRANSLATE(B696,""id"",""en"")"),"['wifi', 'bad', '']")</f>
        <v>['wifi', 'bad', '']</v>
      </c>
      <c r="D696" s="4">
        <v>1.0</v>
      </c>
    </row>
    <row r="697" ht="15.75" customHeight="1">
      <c r="A697" s="1">
        <v>794.0</v>
      </c>
      <c r="B697" s="4" t="s">
        <v>687</v>
      </c>
      <c r="C697" s="4" t="str">
        <f>IFERROR(__xludf.DUMMYFUNCTION("GOOGLETRANSLATE(B697,""id"",""en"")"),"['SMS', 'verification', 'oldaaaaaa', 'sampe', 'entered', 'wrong', 'waiting', 'harii']")</f>
        <v>['SMS', 'verification', 'oldaaaaaa', 'sampe', 'entered', 'wrong', 'waiting', 'harii']</v>
      </c>
      <c r="D697" s="4">
        <v>1.0</v>
      </c>
    </row>
    <row r="698" ht="15.75" customHeight="1">
      <c r="A698" s="1">
        <v>795.0</v>
      </c>
      <c r="B698" s="4" t="s">
        <v>688</v>
      </c>
      <c r="C698" s="4" t="str">
        <f>IFERROR(__xludf.DUMMYFUNCTION("GOOGLETRANSLATE(B698,""id"",""en"")"),"['SMS', 'verification', 'oldaaaaaaaaa', 'nyampe', 'enter', 'wrong', 'send', 'reset', 'oldaaaaaaa']")</f>
        <v>['SMS', 'verification', 'oldaaaaaaaaa', 'nyampe', 'enter', 'wrong', 'send', 'reset', 'oldaaaaaaa']</v>
      </c>
      <c r="D698" s="4">
        <v>1.0</v>
      </c>
    </row>
    <row r="699" ht="15.75" customHeight="1">
      <c r="A699" s="1">
        <v>796.0</v>
      </c>
      <c r="B699" s="4" t="s">
        <v>689</v>
      </c>
      <c r="C699" s="4" t="str">
        <f>IFERROR(__xludf.DUMMYFUNCTION("GOOGLETRANSLATE(B699,""id"",""en"")"),"['Application', 'responsive', 'option', 'Cancel', 'account', 'payati', 'option', 'Delete', 'account', '']")</f>
        <v>['Application', 'responsive', 'option', 'Cancel', 'account', 'payati', 'option', 'Delete', 'account', '']</v>
      </c>
      <c r="D699" s="4">
        <v>1.0</v>
      </c>
    </row>
    <row r="700" ht="15.75" customHeight="1">
      <c r="A700" s="1">
        <v>797.0</v>
      </c>
      <c r="B700" s="4" t="s">
        <v>690</v>
      </c>
      <c r="C700" s="4" t="str">
        <f>IFERROR(__xludf.DUMMYFUNCTION("GOOGLETRANSLATE(B700,""id"",""en"")"),"['waw', 'easy', 'sell', 'pay']")</f>
        <v>['waw', 'easy', 'sell', 'pay']</v>
      </c>
      <c r="D700" s="4">
        <v>5.0</v>
      </c>
    </row>
    <row r="701" ht="15.75" customHeight="1">
      <c r="A701" s="1">
        <v>798.0</v>
      </c>
      <c r="B701" s="4" t="s">
        <v>23</v>
      </c>
      <c r="C701" s="4" t="str">
        <f>IFERROR(__xludf.DUMMYFUNCTION("GOOGLETRANSLATE(B701,""id"",""en"")"),"['Not bad', 'help', 'application']")</f>
        <v>['Not bad', 'help', 'application']</v>
      </c>
      <c r="D701" s="4">
        <v>5.0</v>
      </c>
    </row>
    <row r="702" ht="15.75" customHeight="1">
      <c r="A702" s="1">
        <v>799.0</v>
      </c>
      <c r="B702" s="4" t="s">
        <v>691</v>
      </c>
      <c r="C702" s="4" t="str">
        <f>IFERROR(__xludf.DUMMYFUNCTION("GOOGLETRANSLATE(B702,""id"",""en"")"),"['application', 'good', 'buy', 'sod', 'application', 'easy']")</f>
        <v>['application', 'good', 'buy', 'sod', 'application', 'easy']</v>
      </c>
      <c r="D702" s="4">
        <v>5.0</v>
      </c>
    </row>
    <row r="703" ht="15.75" customHeight="1">
      <c r="A703" s="1">
        <v>800.0</v>
      </c>
      <c r="B703" s="4" t="s">
        <v>692</v>
      </c>
      <c r="C703" s="4" t="str">
        <f>IFERROR(__xludf.DUMMYFUNCTION("GOOGLETRANSLATE(B703,""id"",""en"")"),"['Good', 'application', 'like']")</f>
        <v>['Good', 'application', 'like']</v>
      </c>
      <c r="D703" s="4">
        <v>5.0</v>
      </c>
    </row>
    <row r="704" ht="15.75" customHeight="1">
      <c r="A704" s="1">
        <v>801.0</v>
      </c>
      <c r="B704" s="4" t="s">
        <v>693</v>
      </c>
      <c r="C704" s="4" t="str">
        <f>IFERROR(__xludf.DUMMYFUNCTION("GOOGLETRANSLATE(B704,""id"",""en"")"),"['Report', 'Disturbs', 'Apps', 'Gercep', 'Very', 'Direct', 'On']")</f>
        <v>['Report', 'Disturbs', 'Apps', 'Gercep', 'Very', 'Direct', 'On']</v>
      </c>
      <c r="D704" s="4">
        <v>5.0</v>
      </c>
    </row>
    <row r="705" ht="15.75" customHeight="1">
      <c r="A705" s="1">
        <v>802.0</v>
      </c>
      <c r="B705" s="4" t="s">
        <v>694</v>
      </c>
      <c r="C705" s="4" t="str">
        <f>IFERROR(__xludf.DUMMYFUNCTION("GOOGLETRANSLATE(B705,""id"",""en"")"),"['easy', 'check', 'tags', 'add', 'home']")</f>
        <v>['easy', 'check', 'tags', 'add', 'home']</v>
      </c>
      <c r="D705" s="4">
        <v>5.0</v>
      </c>
    </row>
    <row r="706" ht="15.75" customHeight="1">
      <c r="A706" s="1">
        <v>803.0</v>
      </c>
      <c r="B706" s="4" t="s">
        <v>695</v>
      </c>
      <c r="C706" s="4" t="str">
        <f>IFERROR(__xludf.DUMMYFUNCTION("GOOGLETRANSLATE(B706,""id"",""en"")"),"['help', 'kece']")</f>
        <v>['help', 'kece']</v>
      </c>
      <c r="D706" s="4">
        <v>5.0</v>
      </c>
    </row>
    <row r="707" ht="15.75" customHeight="1">
      <c r="A707" s="1">
        <v>804.0</v>
      </c>
      <c r="B707" s="4" t="s">
        <v>696</v>
      </c>
      <c r="C707" s="4" t="str">
        <f>IFERROR(__xludf.DUMMYFUNCTION("GOOGLETRANSLATE(B707,""id"",""en"")"),"['thank', 'love', 'APK', 'Road', '']")</f>
        <v>['thank', 'love', 'APK', 'Road', '']</v>
      </c>
      <c r="D707" s="4">
        <v>5.0</v>
      </c>
    </row>
    <row r="708" ht="15.75" customHeight="1">
      <c r="A708" s="1">
        <v>805.0</v>
      </c>
      <c r="B708" s="4" t="s">
        <v>697</v>
      </c>
      <c r="C708" s="4" t="str">
        <f>IFERROR(__xludf.DUMMYFUNCTION("GOOGLETRANSLATE(B708,""id"",""en"")"),"['Indihome', 'already', 'Upgrade', 'Package', 'Speed', 'TTP', 'Disturbs', ""]")</f>
        <v>['Indihome', 'already', 'Upgrade', 'Package', 'Speed', 'TTP', 'Disturbs', "]</v>
      </c>
      <c r="D708" s="4">
        <v>2.0</v>
      </c>
    </row>
    <row r="709" ht="15.75" customHeight="1">
      <c r="A709" s="1">
        <v>807.0</v>
      </c>
      <c r="B709" s="4" t="s">
        <v>698</v>
      </c>
      <c r="C709" s="4" t="str">
        <f>IFERROR(__xludf.DUMMYFUNCTION("GOOGLETRANSLATE(B709,""id"",""en"")"),"['application', 'mantul']")</f>
        <v>['application', 'mantul']</v>
      </c>
      <c r="D709" s="4">
        <v>5.0</v>
      </c>
    </row>
    <row r="710" ht="15.75" customHeight="1">
      <c r="A710" s="1">
        <v>808.0</v>
      </c>
      <c r="B710" s="4" t="s">
        <v>699</v>
      </c>
      <c r="C710" s="4" t="str">
        <f>IFERROR(__xludf.DUMMYFUNCTION("GOOGLETRANSLATE(B710,""id"",""en"")"),"['application', 'steady', 'check', 'tags', 'point', 'thanks', 'indihome']")</f>
        <v>['application', 'steady', 'check', 'tags', 'point', 'thanks', 'indihome']</v>
      </c>
      <c r="D710" s="4">
        <v>5.0</v>
      </c>
    </row>
    <row r="711" ht="15.75" customHeight="1">
      <c r="A711" s="1">
        <v>809.0</v>
      </c>
      <c r="B711" s="4" t="s">
        <v>700</v>
      </c>
      <c r="C711" s="4" t="str">
        <f>IFERROR(__xludf.DUMMYFUNCTION("GOOGLETRANSLATE(B711,""id"",""en"")"),"['Good', 'help', 'really', 'sihih', 'level', 'cool', '']")</f>
        <v>['Good', 'help', 'really', 'sihih', 'level', 'cool', '']</v>
      </c>
      <c r="D711" s="4">
        <v>5.0</v>
      </c>
    </row>
    <row r="712" ht="15.75" customHeight="1">
      <c r="A712" s="1">
        <v>810.0</v>
      </c>
      <c r="B712" s="4" t="s">
        <v>701</v>
      </c>
      <c r="C712" s="4" t="str">
        <f>IFERROR(__xludf.DUMMYFUNCTION("GOOGLETRANSLATE(B712,""id"",""en"")"),"['Application', 'Ciamik']")</f>
        <v>['Application', 'Ciamik']</v>
      </c>
      <c r="D712" s="4">
        <v>5.0</v>
      </c>
    </row>
    <row r="713" ht="15.75" customHeight="1">
      <c r="A713" s="1">
        <v>811.0</v>
      </c>
      <c r="B713" s="4" t="s">
        <v>702</v>
      </c>
      <c r="C713" s="4" t="str">
        <f>IFERROR(__xludf.DUMMYFUNCTION("GOOGLETRANSLATE(B713,""id"",""en"")"),"['steady', 'sihih', 'already', 'cool', 'laah', 'just', 'improve', '']")</f>
        <v>['steady', 'sihih', 'already', 'cool', 'laah', 'just', 'improve', '']</v>
      </c>
      <c r="D713" s="4">
        <v>5.0</v>
      </c>
    </row>
    <row r="714" ht="15.75" customHeight="1">
      <c r="A714" s="1">
        <v>812.0</v>
      </c>
      <c r="B714" s="4" t="s">
        <v>703</v>
      </c>
      <c r="C714" s="4" t="str">
        <f>IFERROR(__xludf.DUMMYFUNCTION("GOOGLETRANSLATE(B714,""id"",""en"")"),"['ADD', 'Easy', 'Application', 'Myindihome', 'Mantul']")</f>
        <v>['ADD', 'Easy', 'Application', 'Myindihome', 'Mantul']</v>
      </c>
      <c r="D714" s="4">
        <v>5.0</v>
      </c>
    </row>
    <row r="715" ht="15.75" customHeight="1">
      <c r="A715" s="1">
        <v>813.0</v>
      </c>
      <c r="B715" s="4" t="s">
        <v>704</v>
      </c>
      <c r="C715" s="4" t="str">
        <f>IFERROR(__xludf.DUMMYFUNCTION("GOOGLETRANSLATE(B715,""id"",""en"")"),"['application', 'new', 'informative', 'promo', 'many', 'yaa']")</f>
        <v>['application', 'new', 'informative', 'promo', 'many', 'yaa']</v>
      </c>
      <c r="D715" s="4">
        <v>5.0</v>
      </c>
    </row>
    <row r="716" ht="15.75" customHeight="1">
      <c r="A716" s="1">
        <v>814.0</v>
      </c>
      <c r="B716" s="4" t="s">
        <v>705</v>
      </c>
      <c r="C716" s="4" t="str">
        <f>IFERROR(__xludf.DUMMYFUNCTION("GOOGLETRANSLATE(B716,""id"",""en"")"),"['ken', 'pairs',' wifi ',' money ',' already ',' pairs', 'november', 'as a message', 'gabisa', 'pairs',' tetep ',' gabisa ',' gir ',' neighbor ',' cave ',' pairs', 'home', 'remote', 'fair', 'really', 'indihome', 'sell', 'org', 'gave', 'money' ]")</f>
        <v>['ken', 'pairs',' wifi ',' money ',' already ',' pairs', 'november', 'as a message', 'gabisa', 'pairs',' tetep ',' gabisa ',' gir ',' neighbor ',' cave ',' pairs', 'home', 'remote', 'fair', 'really', 'indihome', 'sell', 'org', 'gave', 'money' ]</v>
      </c>
      <c r="D716" s="4">
        <v>1.0</v>
      </c>
    </row>
    <row r="717" ht="15.75" customHeight="1">
      <c r="A717" s="1">
        <v>815.0</v>
      </c>
      <c r="B717" s="4" t="s">
        <v>706</v>
      </c>
      <c r="C717" s="4" t="str">
        <f>IFERROR(__xludf.DUMMYFUNCTION("GOOGLETRANSLATE(B717,""id"",""en"")"),"['thank God it goes as planned']")</f>
        <v>['thank God it goes as planned']</v>
      </c>
      <c r="D717" s="4">
        <v>5.0</v>
      </c>
    </row>
    <row r="718" ht="15.75" customHeight="1">
      <c r="A718" s="1">
        <v>816.0</v>
      </c>
      <c r="B718" s="4" t="s">
        <v>707</v>
      </c>
      <c r="C718" s="4" t="str">
        <f>IFERROR(__xludf.DUMMYFUNCTION("GOOGLETRANSLATE(B718,""id"",""en"")"),"['Access', 'Application', 'Lot', 'Severe', 'Muter']")</f>
        <v>['Access', 'Application', 'Lot', 'Severe', 'Muter']</v>
      </c>
      <c r="D718" s="4">
        <v>1.0</v>
      </c>
    </row>
    <row r="719" ht="15.75" customHeight="1">
      <c r="A719" s="1">
        <v>817.0</v>
      </c>
      <c r="B719" s="4" t="s">
        <v>708</v>
      </c>
      <c r="C719" s="4" t="str">
        <f>IFERROR(__xludf.DUMMYFUNCTION("GOOGLETRANSLATE(B719,""id"",""en"")"),"['application', 'smooth', 'hope', 'yaaa']")</f>
        <v>['application', 'smooth', 'hope', 'yaaa']</v>
      </c>
      <c r="D719" s="4">
        <v>5.0</v>
      </c>
    </row>
    <row r="720" ht="15.75" customHeight="1">
      <c r="A720" s="1">
        <v>818.0</v>
      </c>
      <c r="B720" s="4" t="s">
        <v>709</v>
      </c>
      <c r="C720" s="4" t="str">
        <f>IFERROR(__xludf.DUMMYFUNCTION("GOOGLETRANSLATE(B720,""id"",""en"")"),"['I', 'SDAH', 'Register', 'Indihome', 'DAK', 'Enter', 'Sampek', ""]")</f>
        <v>['I', 'SDAH', 'Register', 'Indihome', 'DAK', 'Enter', 'Sampek', "]</v>
      </c>
      <c r="D720" s="4">
        <v>1.0</v>
      </c>
    </row>
    <row r="721" ht="15.75" customHeight="1">
      <c r="A721" s="1">
        <v>819.0</v>
      </c>
      <c r="B721" s="4" t="s">
        <v>710</v>
      </c>
      <c r="C721" s="4" t="str">
        <f>IFERROR(__xludf.DUMMYFUNCTION("GOOGLETRANSLATE(B721,""id"",""en"")"),"['signal', 'bad', 'signal', 'edge', 'indiehome', 'lbh', 'bad', 'level', 'keburu', 'cool']")</f>
        <v>['signal', 'bad', 'signal', 'edge', 'indiehome', 'lbh', 'bad', 'level', 'keburu', 'cool']</v>
      </c>
      <c r="D721" s="4">
        <v>1.0</v>
      </c>
    </row>
    <row r="722" ht="15.75" customHeight="1">
      <c r="A722" s="1">
        <v>820.0</v>
      </c>
      <c r="B722" s="4" t="s">
        <v>711</v>
      </c>
      <c r="C722" s="4" t="str">
        <f>IFERROR(__xludf.DUMMYFUNCTION("GOOGLETRANSLATE(B722,""id"",""en"")"),"['tired', 'complain', 'Indihome', 'bad', 'net']")</f>
        <v>['tired', 'complain', 'Indihome', 'bad', 'net']</v>
      </c>
      <c r="D722" s="4">
        <v>1.0</v>
      </c>
    </row>
    <row r="723" ht="15.75" customHeight="1">
      <c r="A723" s="1">
        <v>821.0</v>
      </c>
      <c r="B723" s="4" t="s">
        <v>712</v>
      </c>
      <c r="C723" s="4" t="str">
        <f>IFERROR(__xludf.DUMMYFUNCTION("GOOGLETRANSLATE(B723,""id"",""en"")"),"['buffering', 'Pay', 'expensive', 'connection', 'Gasesai', 'right', 'according to', 'fast', 'net', 'here', 'rich', 'Lot', ' improve ',' gamao ',' improve ',' down ',' price ',' ']")</f>
        <v>['buffering', 'Pay', 'expensive', 'connection', 'Gasesai', 'right', 'according to', 'fast', 'net', 'here', 'rich', 'Lot', ' improve ',' gamao ',' improve ',' down ',' price ',' ']</v>
      </c>
      <c r="D723" s="4">
        <v>1.0</v>
      </c>
    </row>
    <row r="724" ht="15.75" customHeight="1">
      <c r="A724" s="1">
        <v>822.0</v>
      </c>
      <c r="B724" s="4" t="s">
        <v>713</v>
      </c>
      <c r="C724" s="4" t="str">
        <f>IFERROR(__xludf.DUMMYFUNCTION("GOOGLETRANSLATE(B724,""id"",""en"")"),"['Indihome', 'lot', 'nets',' use ',' Mbps', 'lot', 'please', 'good', 'nets',' play ',' game ',' Lot ',' Severe ',' really ',' ']")</f>
        <v>['Indihome', 'lot', 'nets',' use ',' Mbps', 'lot', 'please', 'good', 'nets',' play ',' game ',' Lot ',' Severe ',' really ',' ']</v>
      </c>
      <c r="D724" s="4">
        <v>1.0</v>
      </c>
    </row>
    <row r="725" ht="15.75" customHeight="1">
      <c r="A725" s="1">
        <v>823.0</v>
      </c>
      <c r="B725" s="4" t="s">
        <v>714</v>
      </c>
      <c r="C725" s="4" t="str">
        <f>IFERROR(__xludf.DUMMYFUNCTION("GOOGLETRANSLATE(B725,""id"",""en"")"),"['Sis', 'Ngak', 'Fup', 'Delicious']")</f>
        <v>['Sis', 'Ngak', 'Fup', 'Delicious']</v>
      </c>
      <c r="D725" s="4">
        <v>1.0</v>
      </c>
    </row>
    <row r="726" ht="15.75" customHeight="1">
      <c r="A726" s="1">
        <v>824.0</v>
      </c>
      <c r="B726" s="4" t="s">
        <v>715</v>
      </c>
      <c r="C726" s="4" t="str">
        <f>IFERROR(__xludf.DUMMYFUNCTION("GOOGLETRANSLATE(B726,""id"",""en"")"),"['Indihome', 'signal', 'Different', 'brand', 'kyk', 'influence', 'deh', 'friend', 'package', 'Mbps',' different ',' brand ',' Ngellag ',' Play ',' Game ',' Indihome ',' Ngelag ',' Severe ',' Mbps', 'Task', 'Have', 'Change', 'Package', 'Game', 'Hedeh' , 'f"&amp;"acilities', 'cheap', 'use', 'package', 'game', 'expensive', '']")</f>
        <v>['Indihome', 'signal', 'Different', 'brand', 'kyk', 'influence', 'deh', 'friend', 'package', 'Mbps',' different ',' brand ',' Ngellag ',' Play ',' Game ',' Indihome ',' Ngelag ',' Severe ',' Mbps', 'Task', 'Have', 'Change', 'Package', 'Game', 'Hedeh' , 'facilities', 'cheap', 'use', 'package', 'game', 'expensive', '']</v>
      </c>
      <c r="D726" s="4">
        <v>1.0</v>
      </c>
    </row>
    <row r="727" ht="15.75" customHeight="1">
      <c r="A727" s="1">
        <v>825.0</v>
      </c>
      <c r="B727" s="4" t="s">
        <v>716</v>
      </c>
      <c r="C727" s="4" t="str">
        <f>IFERROR(__xludf.DUMMYFUNCTION("GOOGLETRANSLATE(B727,""id"",""en"")"),"['UDH', 'Make', 'THN', 'Tide', 'Kenceng', 'Bangt', 'Knp', 'here', 'Lot', 'Please', 'Confirm', ""]")</f>
        <v>['UDH', 'Make', 'THN', 'Tide', 'Kenceng', 'Bangt', 'Knp', 'here', 'Lot', 'Please', 'Confirm', "]</v>
      </c>
      <c r="D727" s="4">
        <v>1.0</v>
      </c>
    </row>
    <row r="728" ht="15.75" customHeight="1">
      <c r="A728" s="1">
        <v>826.0</v>
      </c>
      <c r="B728" s="4" t="s">
        <v>717</v>
      </c>
      <c r="C728" s="4" t="str">
        <f>IFERROR(__xludf.DUMMYFUNCTION("GOOGLETRANSLATE(B728,""id"",""en"")"),"['USETV', 'INDIHOME', 'SUPER', 'SUPER', 'SUPER', 'LEMOTTTTTTTTTTTTTTTTTTTTTTNTTTTNTTNT', 'SERJAH', 'TING']")</f>
        <v>['USETV', 'INDIHOME', 'SUPER', 'SUPER', 'SUPER', 'LEMOTTTTTTTTTTTTTTTTTTTTTTNTTTTNTTNT', 'SERJAH', 'TING']</v>
      </c>
      <c r="D728" s="4">
        <v>1.0</v>
      </c>
    </row>
    <row r="729" ht="15.75" customHeight="1">
      <c r="A729" s="1">
        <v>827.0</v>
      </c>
      <c r="B729" s="4" t="s">
        <v>718</v>
      </c>
      <c r="C729" s="4" t="str">
        <f>IFERROR(__xludf.DUMMYFUNCTION("GOOGLETRANSLATE(B729,""id"",""en"")"),"['Please', 'Application', 'Level', 'MUAS', 'SEEING', 'ERORR']")</f>
        <v>['Please', 'Application', 'Level', 'MUAS', 'SEEING', 'ERORR']</v>
      </c>
      <c r="D729" s="4">
        <v>2.0</v>
      </c>
    </row>
    <row r="730" ht="15.75" customHeight="1">
      <c r="A730" s="1">
        <v>828.0</v>
      </c>
      <c r="B730" s="4" t="s">
        <v>719</v>
      </c>
      <c r="C730" s="4" t="str">
        <f>IFERROR(__xludf.DUMMYFUNCTION("GOOGLETRANSLATE(B730,""id"",""en"")"),"['UDH', 'year', 'Subscribe', 'Maen', 'Game', 'Ping', 'Down', 'Mbps',' Please ',' Level ',' Subscribe ',' Tetep ',' Rich ',' Gin ', ""]")</f>
        <v>['UDH', 'year', 'Subscribe', 'Maen', 'Game', 'Ping', 'Down', 'Mbps',' Please ',' Level ',' Subscribe ',' Tetep ',' Rich ',' Gin ', "]</v>
      </c>
      <c r="D730" s="4">
        <v>1.0</v>
      </c>
    </row>
    <row r="731" ht="15.75" customHeight="1">
      <c r="A731" s="1">
        <v>829.0</v>
      </c>
      <c r="B731" s="4" t="s">
        <v>720</v>
      </c>
      <c r="C731" s="4" t="str">
        <f>IFERROR(__xludf.DUMMYFUNCTION("GOOGLETRANSLATE(B731,""id"",""en"")"),"['Kencengin', 'nets',' intention ',' upgrade ',' speed ',' rb ',' rb ',' kasi ',' thunder ',' person ',' need ',' money ',' Mas', 'Gin', 'situ', 'understand', 'mas', ""]")</f>
        <v>['Kencengin', 'nets',' intention ',' upgrade ',' speed ',' rb ',' rb ',' kasi ',' thunder ',' person ',' need ',' money ',' Mas', 'Gin', 'situ', 'understand', 'mas', "]</v>
      </c>
      <c r="D731" s="4">
        <v>1.0</v>
      </c>
    </row>
    <row r="732" ht="15.75" customHeight="1">
      <c r="A732" s="1">
        <v>830.0</v>
      </c>
      <c r="B732" s="4" t="s">
        <v>721</v>
      </c>
      <c r="C732" s="4" t="str">
        <f>IFERROR(__xludf.DUMMYFUNCTION("GOOGLETRANSLATE(B732,""id"",""en"")"),"['love', 'taste', 'lag', 'play', 'game', 'online', 'mobile', 'legend', 'use', 'package', 'gamer', 'Mbps',' Please, 'Good', 'Thank you', '']")</f>
        <v>['love', 'taste', 'lag', 'play', 'game', 'online', 'mobile', 'legend', 'use', 'package', 'gamer', 'Mbps',' Please, 'Good', 'Thank you', '']</v>
      </c>
      <c r="D732" s="4">
        <v>3.0</v>
      </c>
    </row>
    <row r="733" ht="15.75" customHeight="1">
      <c r="A733" s="1">
        <v>832.0</v>
      </c>
      <c r="B733" s="4" t="s">
        <v>722</v>
      </c>
      <c r="C733" s="4" t="str">
        <f>IFERROR(__xludf.DUMMYFUNCTION("GOOGLETRANSLATE(B733,""id"",""en"")"),"['Knpa', 'net', 'ugly', 'kamma', '']")</f>
        <v>['Knpa', 'net', 'ugly', 'kamma', '']</v>
      </c>
      <c r="D733" s="4">
        <v>1.0</v>
      </c>
    </row>
    <row r="734" ht="15.75" customHeight="1">
      <c r="A734" s="1">
        <v>833.0</v>
      </c>
      <c r="B734" s="4" t="s">
        <v>723</v>
      </c>
      <c r="C734" s="4" t="str">
        <f>IFERROR(__xludf.DUMMYFUNCTION("GOOGLETRANSLATE(B734,""id"",""en"")"),"['', 'Dlu', 'Change', 'Love', 'Full']")</f>
        <v>['', 'Dlu', 'Change', 'Love', 'Full']</v>
      </c>
      <c r="D734" s="4">
        <v>3.0</v>
      </c>
    </row>
    <row r="735" ht="15.75" customHeight="1">
      <c r="A735" s="1">
        <v>834.0</v>
      </c>
      <c r="B735" s="4" t="s">
        <v>724</v>
      </c>
      <c r="C735" s="4" t="str">
        <f>IFERROR(__xludf.DUMMYFUNCTION("GOOGLETRANSLATE(B735,""id"",""en"")"),"['access', 'pdhal', 'already', 'pairs', 'indhihome', 'number', 'wrong', 'then', 'gimna', 'mna', 'service']")</f>
        <v>['access', 'pdhal', 'already', 'pairs', 'indhihome', 'number', 'wrong', 'then', 'gimna', 'mna', 'service']</v>
      </c>
      <c r="D735" s="4">
        <v>1.0</v>
      </c>
    </row>
    <row r="736" ht="15.75" customHeight="1">
      <c r="A736" s="1">
        <v>835.0</v>
      </c>
      <c r="B736" s="4" t="s">
        <v>725</v>
      </c>
      <c r="C736" s="4" t="str">
        <f>IFERROR(__xludf.DUMMYFUNCTION("GOOGLETRANSLATE(B736,""id"",""en"")"),"['FATION', 'error']")</f>
        <v>['FATION', 'error']</v>
      </c>
      <c r="D736" s="4">
        <v>1.0</v>
      </c>
    </row>
    <row r="737" ht="15.75" customHeight="1">
      <c r="A737" s="1">
        <v>836.0</v>
      </c>
      <c r="B737" s="4" t="s">
        <v>726</v>
      </c>
      <c r="C737" s="4" t="str">
        <f>IFERROR(__xludf.DUMMYFUNCTION("GOOGLETRANSLATE(B737,""id"",""en"")"),"['Good', 'WORK', 'Well']")</f>
        <v>['Good', 'WORK', 'Well']</v>
      </c>
      <c r="D737" s="4">
        <v>5.0</v>
      </c>
    </row>
    <row r="738" ht="15.75" customHeight="1">
      <c r="A738" s="1">
        <v>837.0</v>
      </c>
      <c r="B738" s="4" t="s">
        <v>727</v>
      </c>
      <c r="C738" s="4" t="str">
        <f>IFERROR(__xludf.DUMMYFUNCTION("GOOGLETRANSLATE(B738,""id"",""en"")"),"['Min', 'Adu', 'Option', 'Adu', 'Pay']")</f>
        <v>['Min', 'Adu', 'Option', 'Adu', 'Pay']</v>
      </c>
      <c r="D738" s="4">
        <v>1.0</v>
      </c>
    </row>
    <row r="739" ht="15.75" customHeight="1">
      <c r="A739" s="1">
        <v>838.0</v>
      </c>
      <c r="B739" s="4" t="s">
        <v>728</v>
      </c>
      <c r="C739" s="4" t="str">
        <f>IFERROR(__xludf.DUMMYFUNCTION("GOOGLETRANSLATE(B739,""id"",""en"")"),"['MUAS', 'musty', 'signal', 'wifi', 'bad', '']")</f>
        <v>['MUAS', 'musty', 'signal', 'wifi', 'bad', '']</v>
      </c>
      <c r="D739" s="4">
        <v>1.0</v>
      </c>
    </row>
    <row r="740" ht="15.75" customHeight="1">
      <c r="A740" s="1">
        <v>839.0</v>
      </c>
      <c r="B740" s="4" t="s">
        <v>729</v>
      </c>
      <c r="C740" s="4" t="str">
        <f>IFERROR(__xludf.DUMMYFUNCTION("GOOGLETRANSLATE(B740,""id"",""en"")"),"['application', 'myindihome', 'use', 'smooth', 'proof', 'change', 'paid', 'tags',' facility ',' Telkomsel ',' use ',' card ',' credit ',' kagak ',' how ',' Neh ']")</f>
        <v>['application', 'myindihome', 'use', 'smooth', 'proof', 'change', 'paid', 'tags',' facility ',' Telkomsel ',' use ',' card ',' credit ',' kagak ',' how ',' Neh ']</v>
      </c>
      <c r="D740" s="4">
        <v>1.0</v>
      </c>
    </row>
    <row r="741" ht="15.75" customHeight="1">
      <c r="A741" s="1">
        <v>840.0</v>
      </c>
      <c r="B741" s="4" t="s">
        <v>730</v>
      </c>
      <c r="C741" s="4" t="str">
        <f>IFERROR(__xludf.DUMMYFUNCTION("GOOGLETRANSLATE(B741,""id"",""en"")"),"['Renew', 'Speed', 'Indihome']")</f>
        <v>['Renew', 'Speed', 'Indihome']</v>
      </c>
      <c r="D741" s="4">
        <v>1.0</v>
      </c>
    </row>
    <row r="742" ht="15.75" customHeight="1">
      <c r="A742" s="1">
        <v>841.0</v>
      </c>
      <c r="B742" s="4" t="s">
        <v>731</v>
      </c>
      <c r="C742" s="4" t="str">
        <f>IFERROR(__xludf.DUMMYFUNCTION("GOOGLETRANSLATE(B742,""id"",""en"")"),"['Login', 'Nge', 'Renew', ""]")</f>
        <v>['Login', 'Nge', 'Renew', "]</v>
      </c>
      <c r="D742" s="4">
        <v>3.0</v>
      </c>
    </row>
    <row r="743" ht="15.75" customHeight="1">
      <c r="A743" s="1">
        <v>842.0</v>
      </c>
      <c r="B743" s="4" t="s">
        <v>732</v>
      </c>
      <c r="C743" s="4" t="str">
        <f>IFERROR(__xludf.DUMMYFUNCTION("GOOGLETRANSLATE(B743,""id"",""en"")"),"['', 'number', 'service', 'number', 'telephone', 'internet', 'answer', 'number', 'nali', 'golir', 'check', 'tags',' marketplace ',' Direct ',' know ',' appears', 'tags',' check ',' perhaps', 'update', 'version', 'new', 'clear', 'cache', 'uninstall', 'Inst"&amp;"all', 'reset', 'app', 'nge "",' ']")</f>
        <v>['', 'number', 'service', 'number', 'telephone', 'internet', 'answer', 'number', 'nali', 'golir', 'check', 'tags',' marketplace ',' Direct ',' know ',' appears', 'tags',' check ',' perhaps', 'update', 'version', 'new', 'clear', 'cache', 'uninstall', 'Install', 'reset', 'app', 'nge ",' ']</v>
      </c>
      <c r="D743" s="4">
        <v>1.0</v>
      </c>
    </row>
    <row r="744" ht="15.75" customHeight="1">
      <c r="A744" s="1">
        <v>843.0</v>
      </c>
      <c r="B744" s="4" t="s">
        <v>733</v>
      </c>
      <c r="C744" s="4" t="str">
        <f>IFERROR(__xludf.DUMMYFUNCTION("GOOGLETRANSLATE(B744,""id"",""en"")"),"['Response', 'Ouch', 'service', 'deer', 'fast', 'clock', 'technician', 'direct', 'home', '']")</f>
        <v>['Response', 'Ouch', 'service', 'deer', 'fast', 'clock', 'technician', 'direct', 'home', '']</v>
      </c>
      <c r="D744" s="4">
        <v>5.0</v>
      </c>
    </row>
    <row r="745" ht="15.75" customHeight="1">
      <c r="A745" s="1">
        <v>844.0</v>
      </c>
      <c r="B745" s="4" t="s">
        <v>734</v>
      </c>
      <c r="C745" s="4" t="str">
        <f>IFERROR(__xludf.DUMMYFUNCTION("GOOGLETRANSLATE(B745,""id"",""en"")"),"['net', 'indihome', 'slow', 'use', 'watch', 'ytb', 'download', 'pdhal', 'use', 'user', 'please', 'good', ' Subscribe to ',' UDH ',' GIN ']")</f>
        <v>['net', 'indihome', 'slow', 'use', 'watch', 'ytb', 'download', 'pdhal', 'use', 'user', 'please', 'good', ' Subscribe to ',' UDH ',' GIN ']</v>
      </c>
      <c r="D745" s="4">
        <v>3.0</v>
      </c>
    </row>
    <row r="746" ht="15.75" customHeight="1">
      <c r="A746" s="1">
        <v>845.0</v>
      </c>
      <c r="B746" s="4" t="s">
        <v>735</v>
      </c>
      <c r="C746" s="4" t="str">
        <f>IFERROR(__xludf.DUMMYFUNCTION("GOOGLETRANSLATE(B746,""id"",""en"")"),"['Review']")</f>
        <v>['Review']</v>
      </c>
      <c r="D746" s="4">
        <v>4.0</v>
      </c>
    </row>
    <row r="747" ht="15.75" customHeight="1">
      <c r="A747" s="1">
        <v>846.0</v>
      </c>
      <c r="B747" s="4" t="s">
        <v>736</v>
      </c>
      <c r="C747" s="4" t="str">
        <f>IFERROR(__xludf.DUMMYFUNCTION("GOOGLETRANSLATE(B747,""id"",""en"")"),"['Subscribe', 'application', 'already', 'Wait', 'week', 'news', 'service', 'Sangan', 'slow']")</f>
        <v>['Subscribe', 'application', 'already', 'Wait', 'week', 'news', 'service', 'Sangan', 'slow']</v>
      </c>
      <c r="D747" s="4">
        <v>1.0</v>
      </c>
    </row>
    <row r="748" ht="15.75" customHeight="1">
      <c r="A748" s="1">
        <v>847.0</v>
      </c>
      <c r="B748" s="4" t="s">
        <v>737</v>
      </c>
      <c r="C748" s="4" t="str">
        <f>IFERROR(__xludf.DUMMYFUNCTION("GOOGLETRANSLATE(B748,""id"",""en"")"),"['Mantul', 'hopefully', 'baguus']")</f>
        <v>['Mantul', 'hopefully', 'baguus']</v>
      </c>
      <c r="D748" s="4">
        <v>5.0</v>
      </c>
    </row>
    <row r="749" ht="15.75" customHeight="1">
      <c r="A749" s="1">
        <v>850.0</v>
      </c>
      <c r="B749" s="4" t="s">
        <v>738</v>
      </c>
      <c r="C749" s="4" t="str">
        <f>IFERROR(__xludf.DUMMYFUNCTION("GOOGLETRANSLATE(B749,""id"",""en"")"),"['Application', 'fast', 'work', 'task', 'Indihome', 'Need', 'finished', 'Hadehhh']")</f>
        <v>['Application', 'fast', 'work', 'task', 'Indihome', 'Need', 'finished', 'Hadehhh']</v>
      </c>
      <c r="D749" s="4">
        <v>1.0</v>
      </c>
    </row>
    <row r="750" ht="15.75" customHeight="1">
      <c r="A750" s="1">
        <v>851.0</v>
      </c>
      <c r="B750" s="4" t="s">
        <v>739</v>
      </c>
      <c r="C750" s="4" t="str">
        <f>IFERROR(__xludf.DUMMYFUNCTION("GOOGLETRANSLATE(B750,""id"",""en"")"),"['wifi', 'bad', 'use', 'already', 'expensive', 'lot', 'open', 'good', 'lot', 'hadeh', 'move', 'biznet']")</f>
        <v>['wifi', 'bad', 'use', 'already', 'expensive', 'lot', 'open', 'good', 'lot', 'hadeh', 'move', 'biznet']</v>
      </c>
      <c r="D750" s="4">
        <v>1.0</v>
      </c>
    </row>
    <row r="751" ht="15.75" customHeight="1">
      <c r="A751" s="1">
        <v>852.0</v>
      </c>
      <c r="B751" s="4" t="s">
        <v>740</v>
      </c>
      <c r="C751" s="4" t="str">
        <f>IFERROR(__xludf.DUMMYFUNCTION("GOOGLETRANSLATE(B751,""id"",""en"")"),"['Professional', 'Response', 'Information', 'About', 'Cable', 'Net', 'Telkom', 'Indihome', 'Juntai', 'Road', 'Disturbs',' Activity ',' use ',' road ',' information ',' times', 'TPI', 'one', 'task', 'good', 'check', 'number', 'report', 'number', 'IN' , 'Ac"&amp;"tion', 'Love', 'Bintang', '']")</f>
        <v>['Professional', 'Response', 'Information', 'About', 'Cable', 'Net', 'Telkom', 'Indihome', 'Juntai', 'Road', 'Disturbs',' Activity ',' use ',' road ',' information ',' times', 'TPI', 'one', 'task', 'good', 'check', 'number', 'report', 'number', 'IN' , 'Action', 'Love', 'Bintang', '']</v>
      </c>
      <c r="D751" s="4">
        <v>1.0</v>
      </c>
    </row>
    <row r="752" ht="15.75" customHeight="1">
      <c r="A752" s="1">
        <v>853.0</v>
      </c>
      <c r="B752" s="4" t="s">
        <v>141</v>
      </c>
      <c r="C752" s="4" t="str">
        <f>IFERROR(__xludf.DUMMYFUNCTION("GOOGLETRANSLATE(B752,""id"",""en"")"),"['Application', 'practical', 'checked', 'use', 'internet', 'tags', 'month', 'direct', 'application']")</f>
        <v>['Application', 'practical', 'checked', 'use', 'internet', 'tags', 'month', 'direct', 'application']</v>
      </c>
      <c r="D752" s="4">
        <v>5.0</v>
      </c>
    </row>
    <row r="753" ht="15.75" customHeight="1">
      <c r="A753" s="1">
        <v>854.0</v>
      </c>
      <c r="B753" s="4" t="s">
        <v>741</v>
      </c>
      <c r="C753" s="4" t="str">
        <f>IFERROR(__xludf.DUMMYFUNCTION("GOOGLETRANSLATE(B753,""id"",""en"")"),"['Constraints', 'Direct', 'Report', 'Disturbs', 'Application', 'Simple']")</f>
        <v>['Constraints', 'Direct', 'Report', 'Disturbs', 'Application', 'Simple']</v>
      </c>
      <c r="D753" s="4">
        <v>5.0</v>
      </c>
    </row>
    <row r="754" ht="15.75" customHeight="1">
      <c r="A754" s="1">
        <v>855.0</v>
      </c>
      <c r="B754" s="4" t="s">
        <v>742</v>
      </c>
      <c r="C754" s="4" t="str">
        <f>IFERROR(__xludf.DUMMYFUNCTION("GOOGLETRANSLATE(B754,""id"",""en"")"),"['Layan', 'Report', 'Her Gonna', 'Sukak', 'Help', '']")</f>
        <v>['Layan', 'Report', 'Her Gonna', 'Sukak', 'Help', '']</v>
      </c>
      <c r="D754" s="4">
        <v>5.0</v>
      </c>
    </row>
    <row r="755" ht="15.75" customHeight="1">
      <c r="A755" s="1">
        <v>856.0</v>
      </c>
      <c r="B755" s="4" t="s">
        <v>743</v>
      </c>
      <c r="C755" s="4" t="str">
        <f>IFERROR(__xludf.DUMMYFUNCTION("GOOGLETRANSLATE(B755,""id"",""en"")"),"['service', 'Add', 'Easy', 'Speed', 'FUP', 'Kereeen']")</f>
        <v>['service', 'Add', 'Easy', 'Speed', 'FUP', 'Kereeen']</v>
      </c>
      <c r="D755" s="4">
        <v>5.0</v>
      </c>
    </row>
    <row r="756" ht="15.75" customHeight="1">
      <c r="A756" s="1">
        <v>857.0</v>
      </c>
      <c r="B756" s="4" t="s">
        <v>744</v>
      </c>
      <c r="C756" s="4" t="str">
        <f>IFERROR(__xludf.DUMMYFUNCTION("GOOGLETRANSLATE(B756,""id"",""en"")"),"['Cepet', 'really', 'bother']")</f>
        <v>['Cepet', 'really', 'bother']</v>
      </c>
      <c r="D756" s="4">
        <v>5.0</v>
      </c>
    </row>
    <row r="757" ht="15.75" customHeight="1">
      <c r="A757" s="1">
        <v>858.0</v>
      </c>
      <c r="B757" s="4" t="s">
        <v>745</v>
      </c>
      <c r="C757" s="4" t="str">
        <f>IFERROR(__xludf.DUMMYFUNCTION("GOOGLETRANSLATE(B757,""id"",""en"")"),"['Not bad', 'Simple']")</f>
        <v>['Not bad', 'Simple']</v>
      </c>
      <c r="D757" s="4">
        <v>5.0</v>
      </c>
    </row>
    <row r="758" ht="15.75" customHeight="1">
      <c r="A758" s="1">
        <v>859.0</v>
      </c>
      <c r="B758" s="4" t="s">
        <v>746</v>
      </c>
      <c r="C758" s="4" t="str">
        <f>IFERROR(__xludf.DUMMYFUNCTION("GOOGLETRANSLATE(B758,""id"",""en"")"),"['Adin', 'Promo', 'SOD', 'Application', 'Overall', 'Good', 'App', '']")</f>
        <v>['Adin', 'Promo', 'SOD', 'Application', 'Overall', 'Good', 'App', '']</v>
      </c>
      <c r="D758" s="4">
        <v>5.0</v>
      </c>
    </row>
    <row r="759" ht="15.75" customHeight="1">
      <c r="A759" s="1">
        <v>860.0</v>
      </c>
      <c r="B759" s="4" t="s">
        <v>747</v>
      </c>
      <c r="C759" s="4" t="str">
        <f>IFERROR(__xludf.DUMMYFUNCTION("GOOGLETRANSLATE(B759,""id"",""en"")"),"['Thanks', 'Help', 'home', ""]")</f>
        <v>['Thanks', 'Help', 'home', "]</v>
      </c>
      <c r="D759" s="4">
        <v>5.0</v>
      </c>
    </row>
    <row r="760" ht="15.75" customHeight="1">
      <c r="A760" s="1">
        <v>861.0</v>
      </c>
      <c r="B760" s="4" t="s">
        <v>748</v>
      </c>
      <c r="C760" s="4" t="str">
        <f>IFERROR(__xludf.DUMMYFUNCTION("GOOGLETRANSLATE(B760,""id"",""en"")"),"['Read', 'Review', 'Horrified', 'Skip', 'Ngga', 'Indihome']")</f>
        <v>['Read', 'Review', 'Horrified', 'Skip', 'Ngga', 'Indihome']</v>
      </c>
      <c r="D760" s="4">
        <v>1.0</v>
      </c>
    </row>
    <row r="761" ht="15.75" customHeight="1">
      <c r="A761" s="1">
        <v>864.0</v>
      </c>
      <c r="B761" s="4" t="s">
        <v>749</v>
      </c>
      <c r="C761" s="4" t="str">
        <f>IFERROR(__xludf.DUMMYFUNCTION("GOOGLETRANSLATE(B761,""id"",""en"")"),"['Application', 'Myindihome', 'ADD', 'EASY', '']")</f>
        <v>['Application', 'Myindihome', 'ADD', 'EASY', '']</v>
      </c>
      <c r="D761" s="4">
        <v>5.0</v>
      </c>
    </row>
    <row r="762" ht="15.75" customHeight="1">
      <c r="A762" s="1">
        <v>865.0</v>
      </c>
      <c r="B762" s="4" t="s">
        <v>750</v>
      </c>
      <c r="C762" s="4" t="str">
        <f>IFERROR(__xludf.DUMMYFUNCTION("GOOGLETRANSLATE(B762,""id"",""en"")"),"['Application', 'Myindihome', 'Cool', 'Monitor', 'Use', 'Internet', 'Mantul']")</f>
        <v>['Application', 'Myindihome', 'Cool', 'Monitor', 'Use', 'Internet', 'Mantul']</v>
      </c>
      <c r="D762" s="4">
        <v>5.0</v>
      </c>
    </row>
    <row r="763" ht="15.75" customHeight="1">
      <c r="A763" s="1">
        <v>867.0</v>
      </c>
      <c r="B763" s="4" t="s">
        <v>751</v>
      </c>
      <c r="C763" s="4" t="str">
        <f>IFERROR(__xludf.DUMMYFUNCTION("GOOGLETRANSLATE(B763,""id"",""en"")"),"['Please', 'application', 'maximum']")</f>
        <v>['Please', 'application', 'maximum']</v>
      </c>
      <c r="D763" s="4">
        <v>3.0</v>
      </c>
    </row>
    <row r="764" ht="15.75" customHeight="1">
      <c r="A764" s="1">
        <v>868.0</v>
      </c>
      <c r="B764" s="4" t="s">
        <v>752</v>
      </c>
      <c r="C764" s="4" t="str">
        <f>IFERROR(__xludf.DUMMYFUNCTION("GOOGLETRANSLATE(B764,""id"",""en"")"),"['', 'service', 'Indihome', 'down', 'installation', 'outdor', 'hitch', 'cable', 'use', 'neat', 'unload', 'task', 'slow ',' scolding ',' installation ',' take care ',' suggestion ',' competitor ',' service ',' good ']")</f>
        <v>['', 'service', 'Indihome', 'down', 'installation', 'outdor', 'hitch', 'cable', 'use', 'neat', 'unload', 'task', 'slow ',' scolding ',' installation ',' take care ',' suggestion ',' competitor ',' service ',' good ']</v>
      </c>
      <c r="D764" s="4">
        <v>1.0</v>
      </c>
    </row>
    <row r="765" ht="15.75" customHeight="1">
      <c r="A765" s="1">
        <v>869.0</v>
      </c>
      <c r="B765" s="4" t="s">
        <v>753</v>
      </c>
      <c r="C765" s="4" t="str">
        <f>IFERROR(__xludf.DUMMYFUNCTION("GOOGLETRANSLATE(B765,""id"",""en"")"),"['Help', 'check', 'tags', 'pay', 'tags']")</f>
        <v>['Help', 'check', 'tags', 'pay', 'tags']</v>
      </c>
      <c r="D765" s="4">
        <v>5.0</v>
      </c>
    </row>
    <row r="766" ht="15.75" customHeight="1">
      <c r="A766" s="1">
        <v>870.0</v>
      </c>
      <c r="B766" s="4" t="s">
        <v>754</v>
      </c>
      <c r="C766" s="4" t="str">
        <f>IFERROR(__xludf.DUMMYFUNCTION("GOOGLETRANSLATE(B766,""id"",""en"")"),"['Help', 'Activation', 'Guna', 'Indihome']")</f>
        <v>['Help', 'Activation', 'Guna', 'Indihome']</v>
      </c>
      <c r="D766" s="4">
        <v>5.0</v>
      </c>
    </row>
    <row r="767" ht="15.75" customHeight="1">
      <c r="A767" s="1">
        <v>871.0</v>
      </c>
      <c r="B767" s="4" t="s">
        <v>755</v>
      </c>
      <c r="C767" s="4" t="str">
        <f>IFERROR(__xludf.DUMMYFUNCTION("GOOGLETRANSLATE(B767,""id"",""en"")"),"['Stone', 'Report', 'complained', '']")</f>
        <v>['Stone', 'Report', 'complained', '']</v>
      </c>
      <c r="D767" s="4">
        <v>5.0</v>
      </c>
    </row>
    <row r="768" ht="15.75" customHeight="1">
      <c r="A768" s="1">
        <v>872.0</v>
      </c>
      <c r="B768" s="4" t="s">
        <v>756</v>
      </c>
      <c r="C768" s="4" t="str">
        <f>IFERROR(__xludf.DUMMYFUNCTION("GOOGLETRANSLATE(B768,""id"",""en"")"),"['apps', 'banggan', 'indihome']")</f>
        <v>['apps', 'banggan', 'indihome']</v>
      </c>
      <c r="D768" s="4">
        <v>5.0</v>
      </c>
    </row>
    <row r="769" ht="15.75" customHeight="1">
      <c r="A769" s="1">
        <v>873.0</v>
      </c>
      <c r="B769" s="4" t="s">
        <v>757</v>
      </c>
      <c r="C769" s="4" t="str">
        <f>IFERROR(__xludf.DUMMYFUNCTION("GOOGLETRANSLATE(B769,""id"",""en"")"),"['Indihome', 'idiot', 'really', 'signal', 'cus',' what 'do', 'wifi', 'use', 'what' do ',' try ',' cave ',' pairs', ' WIFII ',' intention ',' wifi ',' cus', 'mending', 'business',' wifi ']")</f>
        <v>['Indihome', 'idiot', 'really', 'signal', 'cus',' what 'do', 'wifi', 'use', 'what' do ',' try ',' cave ',' pairs', ' WIFII ',' intention ',' wifi ',' cus', 'mending', 'business',' wifi ']</v>
      </c>
      <c r="D769" s="4">
        <v>1.0</v>
      </c>
    </row>
    <row r="770" ht="15.75" customHeight="1">
      <c r="A770" s="1">
        <v>874.0</v>
      </c>
      <c r="B770" s="4" t="s">
        <v>758</v>
      </c>
      <c r="C770" s="4" t="str">
        <f>IFERROR(__xludf.DUMMYFUNCTION("GOOGLETRANSLATE(B770,""id"",""en"")"),"['Help', 'KNPA', 'enter', 'number', 'Indihome', 'APK']")</f>
        <v>['Help', 'KNPA', 'enter', 'number', 'Indihome', 'APK']</v>
      </c>
      <c r="D770" s="4">
        <v>1.0</v>
      </c>
    </row>
    <row r="771" ht="15.75" customHeight="1">
      <c r="A771" s="1">
        <v>875.0</v>
      </c>
      <c r="B771" s="4" t="s">
        <v>759</v>
      </c>
      <c r="C771" s="4" t="str">
        <f>IFERROR(__xludf.DUMMYFUNCTION("GOOGLETRANSLATE(B771,""id"",""en"")"),"['price', 'appeal', 'signal', 'price', 'signal', 'ugly', 'broken', 'BURIK', 'INDIHOME', 'idiot']")</f>
        <v>['price', 'appeal', 'signal', 'price', 'signal', 'ugly', 'broken', 'BURIK', 'INDIHOME', 'idiot']</v>
      </c>
      <c r="D771" s="4">
        <v>1.0</v>
      </c>
    </row>
    <row r="772" ht="15.75" customHeight="1">
      <c r="A772" s="1">
        <v>876.0</v>
      </c>
      <c r="B772" s="4" t="s">
        <v>760</v>
      </c>
      <c r="C772" s="4" t="str">
        <f>IFERROR(__xludf.DUMMYFUNCTION("GOOGLETRANSLATE(B772,""id"",""en"")"),"['Application', 'Ter', 'The', 'Besttttt']")</f>
        <v>['Application', 'Ter', 'The', 'Besttttt']</v>
      </c>
      <c r="D772" s="4">
        <v>5.0</v>
      </c>
    </row>
    <row r="773" ht="15.75" customHeight="1">
      <c r="A773" s="1">
        <v>877.0</v>
      </c>
      <c r="B773" s="4" t="s">
        <v>761</v>
      </c>
      <c r="C773" s="4" t="str">
        <f>IFERROR(__xludf.DUMMYFUNCTION("GOOGLETRANSLATE(B773,""id"",""en"")"),"['Love', 'star', 'home', 'Disturbs',' call ',' told ',' report ',' APK ',' Myindihome ',' after ',' fruit ',' Adu ',' Appearing ',' Sorry ',' Sdang ',' Disturbs', 'Mass',' Technician ',' Masihan ',' Good ',' Adu ',' APK ',' PAS ',' CALL ',' CALL ' , 'Cent"&amp;"er', 'technicians', 'home', 'natural', 'disturbing', 'Hope', 'front', 'service', '']")</f>
        <v>['Love', 'star', 'home', 'Disturbs',' call ',' told ',' report ',' APK ',' Myindihome ',' after ',' fruit ',' Adu ',' Appearing ',' Sorry ',' Sdang ',' Disturbs', 'Mass',' Technician ',' Masihan ',' Good ',' Adu ',' APK ',' PAS ',' CALL ',' CALL ' , 'Center', 'technicians', 'home', 'natural', 'disturbing', 'Hope', 'front', 'service', '']</v>
      </c>
      <c r="D773" s="4">
        <v>1.0</v>
      </c>
    </row>
    <row r="774" ht="15.75" customHeight="1">
      <c r="A774" s="1">
        <v>879.0</v>
      </c>
      <c r="B774" s="4" t="s">
        <v>762</v>
      </c>
      <c r="C774" s="4" t="str">
        <f>IFERROR(__xludf.DUMMYFUNCTION("GOOGLETRANSLATE(B774,""id"",""en"")"),"['Please', 'wifi', 'home', 'adu', 'blm', 'progress',' indihome ',' action ',' send ',' technician ',' response ',' reply ',' Twit ',' BLM ',' TTG ',' Lights', 'Los',' On ',' Red ',' Automatic ',' Internet ',' Access', 'Please', 'Response', 'Fast' , 'WiFi'"&amp;", 'finished', 'ride', 'star', '']")</f>
        <v>['Please', 'wifi', 'home', 'adu', 'blm', 'progress',' indihome ',' action ',' send ',' technician ',' response ',' reply ',' Twit ',' BLM ',' TTG ',' Lights', 'Los',' On ',' Red ',' Automatic ',' Internet ',' Access', 'Please', 'Response', 'Fast' , 'WiFi', 'finished', 'ride', 'star', '']</v>
      </c>
      <c r="D774" s="4">
        <v>1.0</v>
      </c>
    </row>
    <row r="775" ht="15.75" customHeight="1">
      <c r="A775" s="1">
        <v>880.0</v>
      </c>
      <c r="B775" s="4" t="s">
        <v>763</v>
      </c>
      <c r="C775" s="4" t="str">
        <f>IFERROR(__xludf.DUMMYFUNCTION("GOOGLETRANSLATE(B775,""id"",""en"")"),"['freeze', 'bgmn', 'access', 'add', 'take', 'username', 'psswword', 'wifi', 'seamless', '']")</f>
        <v>['freeze', 'bgmn', 'access', 'add', 'take', 'username', 'psswword', 'wifi', 'seamless', '']</v>
      </c>
      <c r="D775" s="4">
        <v>1.0</v>
      </c>
    </row>
    <row r="776" ht="15.75" customHeight="1">
      <c r="A776" s="1">
        <v>881.0</v>
      </c>
      <c r="B776" s="4" t="s">
        <v>764</v>
      </c>
      <c r="C776" s="4" t="str">
        <f>IFERROR(__xludf.DUMMYFUNCTION("GOOGLETRANSLATE(B776,""id"",""en"")"),"['Layan', 'Report', 'Sunday', 'Have', 'Wait']")</f>
        <v>['Layan', 'Report', 'Sunday', 'Have', 'Wait']</v>
      </c>
      <c r="D776" s="4">
        <v>1.0</v>
      </c>
    </row>
    <row r="777" ht="15.75" customHeight="1">
      <c r="A777" s="1">
        <v>882.0</v>
      </c>
      <c r="B777" s="4" t="s">
        <v>765</v>
      </c>
      <c r="C777" s="4" t="str">
        <f>IFERROR(__xludf.DUMMYFUNCTION("GOOGLETRANSLATE(B777,""id"",""en"")"),"['Application', 'Damaged', 'Kayak', 'Open']")</f>
        <v>['Application', 'Damaged', 'Kayak', 'Open']</v>
      </c>
      <c r="D777" s="4">
        <v>3.0</v>
      </c>
    </row>
    <row r="778" ht="15.75" customHeight="1">
      <c r="A778" s="1">
        <v>883.0</v>
      </c>
      <c r="B778" s="4" t="s">
        <v>766</v>
      </c>
      <c r="C778" s="4" t="str">
        <f>IFERROR(__xludf.DUMMYFUNCTION("GOOGLETRANSLATE(B778,""id"",""en"")"),"['Okay, okay']")</f>
        <v>['Okay, okay']</v>
      </c>
      <c r="D778" s="4">
        <v>5.0</v>
      </c>
    </row>
    <row r="779" ht="15.75" customHeight="1">
      <c r="A779" s="1">
        <v>884.0</v>
      </c>
      <c r="B779" s="4" t="s">
        <v>767</v>
      </c>
      <c r="C779" s="4" t="str">
        <f>IFERROR(__xludf.DUMMYFUNCTION("GOOGLETRANSLATE(B779,""id"",""en"")"),"['Golir', 'slow', 'getting', 'fine', 'Golir', 'Los',' Red ',' Action ',' work ',' Indihom ',' Tight ',' Disturbs', ' Nasionl ',' Lai ',' Pay ',' intact ',' Less', 'Los',' Red ',' Dandan ',' Report ',' Layan ',' Indihom ',' Disappointed ']")</f>
        <v>['Golir', 'slow', 'getting', 'fine', 'Golir', 'Los',' Red ',' Action ',' work ',' Indihom ',' Tight ',' Disturbs', ' Nasionl ',' Lai ',' Pay ',' intact ',' Less', 'Los',' Red ',' Dandan ',' Report ',' Layan ',' Indihom ',' Disappointed ']</v>
      </c>
      <c r="D779" s="4">
        <v>1.0</v>
      </c>
    </row>
    <row r="780" ht="15.75" customHeight="1">
      <c r="A780" s="1">
        <v>885.0</v>
      </c>
      <c r="B780" s="4" t="s">
        <v>768</v>
      </c>
      <c r="C780" s="4" t="str">
        <f>IFERROR(__xludf.DUMMYFUNCTION("GOOGLETRANSLATE(B780,""id"",""en"")"),"['nets', 'lot', 'AJG', 'play', 'game', 'can', 'ping', 'red', 'bkin', 'emotion', ""]")</f>
        <v>['nets', 'lot', 'AJG', 'play', 'game', 'can', 'ping', 'red', 'bkin', 'emotion', "]</v>
      </c>
      <c r="D780" s="4">
        <v>1.0</v>
      </c>
    </row>
    <row r="781" ht="15.75" customHeight="1">
      <c r="A781" s="1">
        <v>886.0</v>
      </c>
      <c r="B781" s="4" t="s">
        <v>769</v>
      </c>
      <c r="C781" s="4" t="str">
        <f>IFERROR(__xludf.DUMMYFUNCTION("GOOGLETRANSLATE(B781,""id"",""en"")"),"['Severe', 'net', 'slow', 'error', 'sometimes',' wifi ',' complement ',' response ',' right ',' destroyed ',' responsive ',' kapok ',' Indihome ',' threat ',' ']")</f>
        <v>['Severe', 'net', 'slow', 'error', 'sometimes',' wifi ',' complement ',' response ',' right ',' destroyed ',' responsive ',' kapok ',' Indihome ',' threat ',' ']</v>
      </c>
      <c r="D781" s="4">
        <v>1.0</v>
      </c>
    </row>
    <row r="782" ht="15.75" customHeight="1">
      <c r="A782" s="1">
        <v>887.0</v>
      </c>
      <c r="B782" s="4" t="s">
        <v>770</v>
      </c>
      <c r="C782" s="4" t="str">
        <f>IFERROR(__xludf.DUMMYFUNCTION("GOOGLETRANSLATE(B782,""id"",""en"")"),"['wifi', 'SOAX', 'Signal', 'SOAX', 'Jumping', 'Mulu', 'Jiji', 'Bett']")</f>
        <v>['wifi', 'SOAX', 'Signal', 'SOAX', 'Jumping', 'Mulu', 'Jiji', 'Bett']</v>
      </c>
      <c r="D782" s="4">
        <v>1.0</v>
      </c>
    </row>
    <row r="783" ht="15.75" customHeight="1">
      <c r="A783" s="1">
        <v>888.0</v>
      </c>
      <c r="B783" s="4" t="s">
        <v>771</v>
      </c>
      <c r="C783" s="4" t="str">
        <f>IFERROR(__xludf.DUMMYFUNCTION("GOOGLETRANSLATE(B783,""id"",""en"")"),"['Internet', 'off', 'UDH', 'Hour', 'UDH', 'Complain', 'Action', 'Merak', ""]")</f>
        <v>['Internet', 'off', 'UDH', 'Hour', 'UDH', 'Complain', 'Action', 'Merak', "]</v>
      </c>
      <c r="D783" s="4">
        <v>1.0</v>
      </c>
    </row>
    <row r="784" ht="15.75" customHeight="1">
      <c r="A784" s="1">
        <v>889.0</v>
      </c>
      <c r="B784" s="4" t="s">
        <v>772</v>
      </c>
      <c r="C784" s="4" t="str">
        <f>IFERROR(__xludf.DUMMYFUNCTION("GOOGLETRANSLATE(B784,""id"",""en"")"),"['People', 'Pay', 'Date', 'Date', 'Date', 'Quota', 'Out', 'Please', 'Good', 'Kya', 'Gin', 'Loss']")</f>
        <v>['People', 'Pay', 'Date', 'Date', 'Date', 'Quota', 'Out', 'Please', 'Good', 'Kya', 'Gin', 'Loss']</v>
      </c>
      <c r="D784" s="4">
        <v>1.0</v>
      </c>
    </row>
    <row r="785" ht="15.75" customHeight="1">
      <c r="A785" s="1">
        <v>890.0</v>
      </c>
      <c r="B785" s="4" t="s">
        <v>773</v>
      </c>
      <c r="C785" s="4" t="str">
        <f>IFERROR(__xludf.DUMMYFUNCTION("GOOGLETRANSLATE(B785,""id"",""en"")"),"['start']")</f>
        <v>['start']</v>
      </c>
      <c r="D785" s="4">
        <v>3.0</v>
      </c>
    </row>
    <row r="786" ht="15.75" customHeight="1">
      <c r="A786" s="1">
        <v>891.0</v>
      </c>
      <c r="B786" s="4" t="s">
        <v>774</v>
      </c>
      <c r="C786" s="4" t="str">
        <f>IFERROR(__xludf.DUMMYFUNCTION("GOOGLETRANSLATE(B786,""id"",""en"")"),"['Code', 'Open', 'Pekah', 'Response', 'Adu']")</f>
        <v>['Code', 'Open', 'Pekah', 'Response', 'Adu']</v>
      </c>
      <c r="D786" s="4">
        <v>1.0</v>
      </c>
    </row>
    <row r="787" ht="15.75" customHeight="1">
      <c r="A787" s="1">
        <v>892.0</v>
      </c>
      <c r="B787" s="4" t="s">
        <v>775</v>
      </c>
      <c r="C787" s="4" t="str">
        <f>IFERROR(__xludf.DUMMYFUNCTION("GOOGLETRANSLATE(B787,""id"",""en"")"),"['Install', 'bepacked', 'distance', 'box', 'panel', 'pole', 'twigs',' tree ',' halal ',' technician ',' continued ',' process', ' Install ',' meters', 'box', 'panel', 'location', 'road', 'hajj', 'tepu', 'boribellayya', 'district', 'maros',' sulawesi ',' s"&amp;"outh ' , '']")</f>
        <v>['Install', 'bepacked', 'distance', 'box', 'panel', 'pole', 'twigs',' tree ',' halal ',' technician ',' continued ',' process', ' Install ',' meters', 'box', 'panel', 'location', 'road', 'hajj', 'tepu', 'boribellayya', 'district', 'maros',' sulawesi ',' south ' , '']</v>
      </c>
      <c r="D787" s="4">
        <v>2.0</v>
      </c>
    </row>
    <row r="788" ht="15.75" customHeight="1">
      <c r="A788" s="1">
        <v>893.0</v>
      </c>
      <c r="B788" s="4" t="s">
        <v>776</v>
      </c>
      <c r="C788" s="4" t="str">
        <f>IFERROR(__xludf.DUMMYFUNCTION("GOOGLETRANSLATE(B788,""id"",""en"")"),"['Pay', 'Internet', 'Disconnect', 'Suggestion', 'Have', 'Restart', 'Dead', 'Fight', 'Enter', 'Word', 'Njing', ""]")</f>
        <v>['Pay', 'Internet', 'Disconnect', 'Suggestion', 'Have', 'Restart', 'Dead', 'Fight', 'Enter', 'Word', 'Njing', "]</v>
      </c>
      <c r="D788" s="4">
        <v>1.0</v>
      </c>
    </row>
    <row r="789" ht="15.75" customHeight="1">
      <c r="A789" s="1">
        <v>894.0</v>
      </c>
      <c r="B789" s="4" t="s">
        <v>777</v>
      </c>
      <c r="C789" s="4" t="str">
        <f>IFERROR(__xludf.DUMMYFUNCTION("GOOGLETRANSLATE(B789,""id"",""en"")"),"['Nge', 'bug', 'open', 'laen', 'lot', 'really']")</f>
        <v>['Nge', 'bug', 'open', 'laen', 'lot', 'really']</v>
      </c>
      <c r="D789" s="4">
        <v>1.0</v>
      </c>
    </row>
    <row r="790" ht="15.75" customHeight="1">
      <c r="A790" s="1">
        <v>895.0</v>
      </c>
      <c r="B790" s="4" t="s">
        <v>778</v>
      </c>
      <c r="C790" s="4" t="str">
        <f>IFERROR(__xludf.DUMMYFUNCTION("GOOGLETRANSLATE(B790,""id"",""en"")"),"['steady', 'staple', 'application', 'good']")</f>
        <v>['steady', 'staple', 'application', 'good']</v>
      </c>
      <c r="D790" s="4">
        <v>5.0</v>
      </c>
    </row>
    <row r="791" ht="15.75" customHeight="1">
      <c r="A791" s="1">
        <v>896.0</v>
      </c>
      <c r="B791" s="4" t="s">
        <v>779</v>
      </c>
      <c r="C791" s="4" t="str">
        <f>IFERROR(__xludf.DUMMYFUNCTION("GOOGLETRANSLATE(B791,""id"",""en"")"),"['APK', 'Help', '']")</f>
        <v>['APK', 'Help', '']</v>
      </c>
      <c r="D791" s="4">
        <v>1.0</v>
      </c>
    </row>
    <row r="792" ht="15.75" customHeight="1">
      <c r="A792" s="1">
        <v>897.0</v>
      </c>
      <c r="B792" s="4" t="s">
        <v>780</v>
      </c>
      <c r="C792" s="4" t="str">
        <f>IFERROR(__xludf.DUMMYFUNCTION("GOOGLETRANSLATE(B792,""id"",""en"")"),"['mantapp', 'like', 'easy']")</f>
        <v>['mantapp', 'like', 'easy']</v>
      </c>
      <c r="D792" s="4">
        <v>5.0</v>
      </c>
    </row>
    <row r="793" ht="15.75" customHeight="1">
      <c r="A793" s="1">
        <v>898.0</v>
      </c>
      <c r="B793" s="4" t="s">
        <v>781</v>
      </c>
      <c r="C793" s="4" t="str">
        <f>IFERROR(__xludf.DUMMYFUNCTION("GOOGLETRANSLATE(B793,""id"",""en"")"),"['Report', 'Disturbs', 'Easy']")</f>
        <v>['Report', 'Disturbs', 'Easy']</v>
      </c>
      <c r="D793" s="4">
        <v>5.0</v>
      </c>
    </row>
    <row r="794" ht="15.75" customHeight="1">
      <c r="A794" s="1">
        <v>899.0</v>
      </c>
      <c r="B794" s="4" t="s">
        <v>782</v>
      </c>
      <c r="C794" s="4" t="str">
        <f>IFERROR(__xludf.DUMMYFUNCTION("GOOGLETRANSLATE(B794,""id"",""en"")"),"['Addin', 'merchant', 'Points', 'Pull', '']")</f>
        <v>['Addin', 'merchant', 'Points', 'Pull', '']</v>
      </c>
      <c r="D794" s="4">
        <v>5.0</v>
      </c>
    </row>
    <row r="795" ht="15.75" customHeight="1">
      <c r="A795" s="1">
        <v>900.0</v>
      </c>
      <c r="B795" s="4" t="s">
        <v>783</v>
      </c>
      <c r="C795" s="4" t="str">
        <f>IFERROR(__xludf.DUMMYFUNCTION("GOOGLETRANSLATE(B795,""id"",""en"")"),"['Moga', 'sophisticated']")</f>
        <v>['Moga', 'sophisticated']</v>
      </c>
      <c r="D795" s="4">
        <v>5.0</v>
      </c>
    </row>
    <row r="796" ht="15.75" customHeight="1">
      <c r="A796" s="1">
        <v>901.0</v>
      </c>
      <c r="B796" s="4" t="s">
        <v>784</v>
      </c>
      <c r="C796" s="4" t="str">
        <f>IFERROR(__xludf.DUMMYFUNCTION("GOOGLETRANSLATE(B796,""id"",""en"")"),"['Success', 'Myindihome', '']")</f>
        <v>['Success', 'Myindihome', '']</v>
      </c>
      <c r="D796" s="4">
        <v>5.0</v>
      </c>
    </row>
    <row r="797" ht="15.75" customHeight="1">
      <c r="A797" s="1">
        <v>902.0</v>
      </c>
      <c r="B797" s="4" t="s">
        <v>785</v>
      </c>
      <c r="C797" s="4" t="str">
        <f>IFERROR(__xludf.DUMMYFUNCTION("GOOGLETRANSLATE(B797,""id"",""en"")"),"['application', 'help', 'information', 'new', 'bargain', 'pull', 'service', 'subscribe', 'indihome', 'recommendation', 'subscribe', ""]")</f>
        <v>['application', 'help', 'information', 'new', 'bargain', 'pull', 'service', 'subscribe', 'indihome', 'recommendation', 'subscribe', "]</v>
      </c>
      <c r="D797" s="4">
        <v>5.0</v>
      </c>
    </row>
    <row r="798" ht="15.75" customHeight="1">
      <c r="A798" s="1">
        <v>903.0</v>
      </c>
      <c r="B798" s="4" t="s">
        <v>786</v>
      </c>
      <c r="C798" s="4" t="str">
        <f>IFERROR(__xludf.DUMMYFUNCTION("GOOGLETRANSLATE(B798,""id"",""en"")"),"['Steady', 'smooth', '']")</f>
        <v>['Steady', 'smooth', '']</v>
      </c>
      <c r="D798" s="4">
        <v>5.0</v>
      </c>
    </row>
    <row r="799" ht="15.75" customHeight="1">
      <c r="A799" s="1">
        <v>904.0</v>
      </c>
      <c r="B799" s="4" t="s">
        <v>787</v>
      </c>
      <c r="C799" s="4" t="str">
        <f>IFERROR(__xludf.DUMMYFUNCTION("GOOGLETRANSLATE(B799,""id"",""en"")"),"['Helpful', 'and', 'Informative', '']")</f>
        <v>['Helpful', 'and', 'Informative', '']</v>
      </c>
      <c r="D799" s="4">
        <v>5.0</v>
      </c>
    </row>
    <row r="800" ht="15.75" customHeight="1">
      <c r="A800" s="1">
        <v>906.0</v>
      </c>
      <c r="B800" s="4" t="s">
        <v>788</v>
      </c>
      <c r="C800" s="4" t="str">
        <f>IFERROR(__xludf.DUMMYFUNCTION("GOOGLETRANSLATE(B800,""id"",""en"")"),"['application', 'good', 'user', 'friendly', 'informative', 'staple', 'help', 'subscribe']")</f>
        <v>['application', 'good', 'user', 'friendly', 'informative', 'staple', 'help', 'subscribe']</v>
      </c>
      <c r="D800" s="4">
        <v>5.0</v>
      </c>
    </row>
    <row r="801" ht="15.75" customHeight="1">
      <c r="A801" s="1">
        <v>907.0</v>
      </c>
      <c r="B801" s="4" t="s">
        <v>789</v>
      </c>
      <c r="C801" s="4" t="str">
        <f>IFERROR(__xludf.DUMMYFUNCTION("GOOGLETRANSLATE(B801,""id"",""en"")"),"['Good', 'APP', 'Help', 'Subscribe', '']")</f>
        <v>['Good', 'APP', 'Help', 'Subscribe', '']</v>
      </c>
      <c r="D801" s="4">
        <v>5.0</v>
      </c>
    </row>
    <row r="802" ht="15.75" customHeight="1">
      <c r="A802" s="1">
        <v>908.0</v>
      </c>
      <c r="B802" s="4" t="s">
        <v>790</v>
      </c>
      <c r="C802" s="4" t="str">
        <f>IFERROR(__xludf.DUMMYFUNCTION("GOOGLETRANSLATE(B802,""id"",""en"")"),"['Gausah', 'Ribet', 'Call', 'Report', 'APSS', 'Direct', 'Top', 'Mantap']")</f>
        <v>['Gausah', 'Ribet', 'Call', 'Report', 'APSS', 'Direct', 'Top', 'Mantap']</v>
      </c>
      <c r="D802" s="4">
        <v>5.0</v>
      </c>
    </row>
    <row r="803" ht="15.75" customHeight="1">
      <c r="A803" s="1">
        <v>909.0</v>
      </c>
      <c r="B803" s="4" t="s">
        <v>791</v>
      </c>
      <c r="C803" s="4" t="str">
        <f>IFERROR(__xludf.DUMMYFUNCTION("GOOGLETRANSLATE(B803,""id"",""en"")"),"['application', 'benefits', 'really', 'manage', 'indihome', 'home']")</f>
        <v>['application', 'benefits', 'really', 'manage', 'indihome', 'home']</v>
      </c>
      <c r="D803" s="4">
        <v>5.0</v>
      </c>
    </row>
    <row r="804" ht="15.75" customHeight="1">
      <c r="A804" s="1">
        <v>910.0</v>
      </c>
      <c r="B804" s="4" t="s">
        <v>792</v>
      </c>
      <c r="C804" s="4" t="str">
        <f>IFERROR(__xludf.DUMMYFUNCTION("GOOGLETRANSLATE(B804,""id"",""en"")"),"['buy', 'addon', 'fast', 'really', 'apss']")</f>
        <v>['buy', 'addon', 'fast', 'really', 'apss']</v>
      </c>
      <c r="D804" s="4">
        <v>5.0</v>
      </c>
    </row>
    <row r="805" ht="15.75" customHeight="1">
      <c r="A805" s="1">
        <v>911.0</v>
      </c>
      <c r="B805" s="4" t="s">
        <v>793</v>
      </c>
      <c r="C805" s="4" t="str">
        <f>IFERROR(__xludf.DUMMYFUNCTION("GOOGLETRANSLATE(B805,""id"",""en"")"),"['Report', 'Disturbs', 'fast', 'really', 'process']")</f>
        <v>['Report', 'Disturbs', 'fast', 'really', 'process']</v>
      </c>
      <c r="D805" s="4">
        <v>5.0</v>
      </c>
    </row>
    <row r="806" ht="15.75" customHeight="1">
      <c r="A806" s="1">
        <v>912.0</v>
      </c>
      <c r="B806" s="4" t="s">
        <v>794</v>
      </c>
      <c r="C806" s="4" t="str">
        <f>IFERROR(__xludf.DUMMYFUNCTION("GOOGLETRANSLATE(B806,""id"",""en"")"),"['The internet', 'bad', 'happy', 'internet', 'smooth', 'disturbing']")</f>
        <v>['The internet', 'bad', 'happy', 'internet', 'smooth', 'disturbing']</v>
      </c>
      <c r="D806" s="4">
        <v>5.0</v>
      </c>
    </row>
    <row r="807" ht="15.75" customHeight="1">
      <c r="A807" s="1">
        <v>913.0</v>
      </c>
      <c r="B807" s="4" t="s">
        <v>795</v>
      </c>
      <c r="C807" s="4" t="str">
        <f>IFERROR(__xludf.DUMMYFUNCTION("GOOGLETRANSLATE(B807,""id"",""en"")"),"['Application', 'Good', 'Report', 'Disturbs', 'Easy', '']")</f>
        <v>['Application', 'Good', 'Report', 'Disturbs', 'Easy', '']</v>
      </c>
      <c r="D807" s="4">
        <v>5.0</v>
      </c>
    </row>
    <row r="808" ht="15.75" customHeight="1">
      <c r="A808" s="1">
        <v>914.0</v>
      </c>
      <c r="B808" s="4" t="s">
        <v>796</v>
      </c>
      <c r="C808" s="4" t="str">
        <f>IFERROR(__xludf.DUMMYFUNCTION("GOOGLETRANSLATE(B808,""id"",""en"")"),"['Current', 'mantapppp']")</f>
        <v>['Current', 'mantapppp']</v>
      </c>
      <c r="D808" s="4">
        <v>5.0</v>
      </c>
    </row>
    <row r="809" ht="15.75" customHeight="1">
      <c r="A809" s="1">
        <v>915.0</v>
      </c>
      <c r="B809" s="4" t="s">
        <v>797</v>
      </c>
      <c r="C809" s="4" t="str">
        <f>IFERROR(__xludf.DUMMYFUNCTION("GOOGLETRANSLATE(B809,""id"",""en"")"),"['Alhamdulillah', 'easy', 'check', 'thank', 'love', 'yaaaa']")</f>
        <v>['Alhamdulillah', 'easy', 'check', 'thank', 'love', 'yaaaa']</v>
      </c>
      <c r="D809" s="4">
        <v>5.0</v>
      </c>
    </row>
    <row r="810" ht="15.75" customHeight="1">
      <c r="A810" s="1">
        <v>916.0</v>
      </c>
      <c r="B810" s="4" t="s">
        <v>798</v>
      </c>
      <c r="C810" s="4" t="str">
        <f>IFERROR(__xludf.DUMMYFUNCTION("GOOGLETRANSLATE(B810,""id"",""en"")"),"['App', 'bugs', 'track', 'subscribe', 'missing']")</f>
        <v>['App', 'bugs', 'track', 'subscribe', 'missing']</v>
      </c>
      <c r="D810" s="4">
        <v>2.0</v>
      </c>
    </row>
    <row r="811" ht="15.75" customHeight="1">
      <c r="A811" s="1">
        <v>917.0</v>
      </c>
      <c r="B811" s="4" t="s">
        <v>799</v>
      </c>
      <c r="C811" s="4" t="str">
        <f>IFERROR(__xludf.DUMMYFUNCTION("GOOGLETRANSLATE(B811,""id"",""en"")"),"['Severe', 'Net', 'Indihome', 'Please', 'Good']")</f>
        <v>['Severe', 'Net', 'Indihome', 'Please', 'Good']</v>
      </c>
      <c r="D811" s="4">
        <v>1.0</v>
      </c>
    </row>
    <row r="812" ht="15.75" customHeight="1">
      <c r="A812" s="1">
        <v>918.0</v>
      </c>
      <c r="B812" s="4" t="s">
        <v>800</v>
      </c>
      <c r="C812" s="4" t="str">
        <f>IFERROR(__xludf.DUMMYFUNCTION("GOOGLETRANSLATE(B812,""id"",""en"")"),"['Indihome', 'lag', 'lag', 'tros', 'nge', 'push', 'mes', 'tros', 'good', 'Lahh', ""]")</f>
        <v>['Indihome', 'lag', 'lag', 'tros', 'nge', 'push', 'mes', 'tros', 'good', 'Lahh', "]</v>
      </c>
      <c r="D812" s="4">
        <v>1.0</v>
      </c>
    </row>
    <row r="813" ht="15.75" customHeight="1">
      <c r="A813" s="1">
        <v>919.0</v>
      </c>
      <c r="B813" s="4" t="s">
        <v>801</v>
      </c>
      <c r="C813" s="4" t="str">
        <f>IFERROR(__xludf.DUMMYFUNCTION("GOOGLETRANSLATE(B813,""id"",""en"")"),"['', 'Register', 'BET', 'Loading']")</f>
        <v>['', 'Register', 'BET', 'Loading']</v>
      </c>
      <c r="D813" s="4">
        <v>1.0</v>
      </c>
    </row>
    <row r="814" ht="15.75" customHeight="1">
      <c r="A814" s="1">
        <v>920.0</v>
      </c>
      <c r="B814" s="4" t="s">
        <v>802</v>
      </c>
      <c r="C814" s="4" t="str">
        <f>IFERROR(__xludf.DUMMYFUNCTION("GOOGLETRANSLATE(B814,""id"",""en"")"),"['Application', 'version', 'new', 'responsive', 'price', 'add', 'minipack', 'hopefully', 'cheap', 'yaa']")</f>
        <v>['Application', 'version', 'new', 'responsive', 'price', 'add', 'minipack', 'hopefully', 'cheap', 'yaa']</v>
      </c>
      <c r="D814" s="4">
        <v>5.0</v>
      </c>
    </row>
    <row r="815" ht="15.75" customHeight="1">
      <c r="A815" s="1">
        <v>921.0</v>
      </c>
      <c r="B815" s="4" t="s">
        <v>803</v>
      </c>
      <c r="C815" s="4" t="str">
        <f>IFERROR(__xludf.DUMMYFUNCTION("GOOGLETRANSLATE(B815,""id"",""en"")"),"['Constraints', 'Direct', 'Report', 'Disturbs', 'Application', 'Fast', 'Practical']")</f>
        <v>['Constraints', 'Direct', 'Report', 'Disturbs', 'Application', 'Fast', 'Practical']</v>
      </c>
      <c r="D815" s="4">
        <v>5.0</v>
      </c>
    </row>
    <row r="816" ht="15.75" customHeight="1">
      <c r="A816" s="1">
        <v>922.0</v>
      </c>
      <c r="B816" s="4" t="s">
        <v>804</v>
      </c>
      <c r="C816" s="4" t="str">
        <f>IFERROR(__xludf.DUMMYFUNCTION("GOOGLETRANSLATE(B816,""id"",""en"")"),"['Top', 'balance', 'Myindihome', '']")</f>
        <v>['Top', 'balance', 'Myindihome', '']</v>
      </c>
      <c r="D816" s="4">
        <v>1.0</v>
      </c>
    </row>
    <row r="817" ht="15.75" customHeight="1">
      <c r="A817" s="1">
        <v>923.0</v>
      </c>
      <c r="B817" s="4" t="s">
        <v>805</v>
      </c>
      <c r="C817" s="4" t="str">
        <f>IFERROR(__xludf.DUMMYFUNCTION("GOOGLETRANSLATE(B817,""id"",""en"")"),"['Disturbs',' Application ',' Subscribe ',' Mbps', 'Buy', 'Package', 'Renew', 'Speed', 'FUP', 'Please', 'Check', 'Problem', ' System ',' ']")</f>
        <v>['Disturbs',' Application ',' Subscribe ',' Mbps', 'Buy', 'Package', 'Renew', 'Speed', 'FUP', 'Please', 'Check', 'Problem', ' System ',' ']</v>
      </c>
      <c r="D817" s="4">
        <v>2.0</v>
      </c>
    </row>
    <row r="818" ht="15.75" customHeight="1">
      <c r="A818" s="1">
        <v>925.0</v>
      </c>
      <c r="B818" s="4" t="s">
        <v>806</v>
      </c>
      <c r="C818" s="4" t="str">
        <f>IFERROR(__xludf.DUMMYFUNCTION("GOOGLETRANSLATE(B818,""id"",""en"")"),"['telephone', 'info', 'told', 'wait', 'technician', 'as a result', 'home', 'looked', 'looked', 'late', 'work', 'technician', ' Thinking ',' Custemer ',' Have ',' Wait ',' Results', 'Technicians',' Employees', 'Please', 'Level']")</f>
        <v>['telephone', 'info', 'told', 'wait', 'technician', 'as a result', 'home', 'looked', 'looked', 'late', 'work', 'technician', ' Thinking ',' Custemer ',' Have ',' Wait ',' Results', 'Technicians',' Employees', 'Please', 'Level']</v>
      </c>
      <c r="D818" s="4">
        <v>1.0</v>
      </c>
    </row>
    <row r="819" ht="15.75" customHeight="1">
      <c r="A819" s="1">
        <v>926.0</v>
      </c>
      <c r="B819" s="4" t="s">
        <v>807</v>
      </c>
      <c r="C819" s="4" t="str">
        <f>IFERROR(__xludf.DUMMYFUNCTION("GOOGLETRANSLATE(B819,""id"",""en"")"),"['internet', 'lag', 'mulu', 'send', 'judas', 'play']")</f>
        <v>['internet', 'lag', 'mulu', 'send', 'judas', 'play']</v>
      </c>
      <c r="D819" s="4">
        <v>1.0</v>
      </c>
    </row>
    <row r="820" ht="15.75" customHeight="1">
      <c r="A820" s="1">
        <v>929.0</v>
      </c>
      <c r="B820" s="4" t="s">
        <v>808</v>
      </c>
      <c r="C820" s="4" t="str">
        <f>IFERROR(__xludf.DUMMYFUNCTION("GOOGLETRANSLATE(B820,""id"",""en"")"),"['Satisfied', 'trimakasih', 'indehom', 'complained', 'bsa', 'direct', 'responsive', 'fast', 'lgi', 'trimakasih', 'indehom', 'service', ' Moga ',' work ',' amen ']")</f>
        <v>['Satisfied', 'trimakasih', 'indehom', 'complained', 'bsa', 'direct', 'responsive', 'fast', 'lgi', 'trimakasih', 'indehom', 'service', ' Moga ',' work ',' amen ']</v>
      </c>
      <c r="D820" s="4">
        <v>4.0</v>
      </c>
    </row>
    <row r="821" ht="15.75" customHeight="1">
      <c r="A821" s="1">
        <v>930.0</v>
      </c>
      <c r="B821" s="4" t="s">
        <v>809</v>
      </c>
      <c r="C821" s="4" t="str">
        <f>IFERROR(__xludf.DUMMYFUNCTION("GOOGLETRANSLATE(B821,""id"",""en"")"),"['Erti', 'use']")</f>
        <v>['Erti', 'use']</v>
      </c>
      <c r="D821" s="4">
        <v>1.0</v>
      </c>
    </row>
    <row r="822" ht="15.75" customHeight="1">
      <c r="A822" s="1">
        <v>931.0</v>
      </c>
      <c r="B822" s="4" t="s">
        <v>810</v>
      </c>
      <c r="C822" s="4" t="str">
        <f>IFERROR(__xludf.DUMMYFUNCTION("GOOGLETRANSLATE(B822,""id"",""en"")"),"['', 'Mbps', 'Sandpaper', 'Leet', 'Mending', 'Search', 'Provider', 'Fiber', 'Win', 'Expensive', 'Doang']")</f>
        <v>['', 'Mbps', 'Sandpaper', 'Leet', 'Mending', 'Search', 'Provider', 'Fiber', 'Win', 'Expensive', 'Doang']</v>
      </c>
      <c r="D822" s="4">
        <v>1.0</v>
      </c>
    </row>
    <row r="823" ht="15.75" customHeight="1">
      <c r="A823" s="1">
        <v>932.0</v>
      </c>
      <c r="B823" s="4" t="s">
        <v>811</v>
      </c>
      <c r="C823" s="4" t="str">
        <f>IFERROR(__xludf.DUMMYFUNCTION("GOOGLETRANSLATE(B823,""id"",""en"")"),"['Add', 'ADD', 'Simple', 'really', 'Nge', 'Help', 'Abis', ""]")</f>
        <v>['Add', 'ADD', 'Simple', 'really', 'Nge', 'Help', 'Abis', "]</v>
      </c>
      <c r="D823" s="4">
        <v>5.0</v>
      </c>
    </row>
    <row r="824" ht="15.75" customHeight="1">
      <c r="A824" s="1">
        <v>933.0</v>
      </c>
      <c r="B824" s="4" t="s">
        <v>812</v>
      </c>
      <c r="C824" s="4" t="str">
        <f>IFERROR(__xludf.DUMMYFUNCTION("GOOGLETRANSLATE(B824,""id"",""en"")"),"['application', 'Muantull', 'cool', 'deh', 'easy', 'add', 'ntabs']")</f>
        <v>['application', 'Muantull', 'cool', 'deh', 'easy', 'add', 'ntabs']</v>
      </c>
      <c r="D824" s="4">
        <v>5.0</v>
      </c>
    </row>
    <row r="825" ht="15.75" customHeight="1">
      <c r="A825" s="1">
        <v>934.0</v>
      </c>
      <c r="B825" s="4" t="s">
        <v>813</v>
      </c>
      <c r="C825" s="4" t="str">
        <f>IFERROR(__xludf.DUMMYFUNCTION("GOOGLETRANSLATE(B825,""id"",""en"")"),"['application', 'Guna', 'Adu', 'told', 'pay', 'service', 'isolated', 'woooiiii', 'fall', 'tempo', 'date', 'date', ' Level ',' Indihome ',' Layan ',' Unplug ',' Pay ',' Late ',' Layan ',' Late ',' Bad ']")</f>
        <v>['application', 'Guna', 'Adu', 'told', 'pay', 'service', 'isolated', 'woooiiii', 'fall', 'tempo', 'date', 'date', ' Level ',' Indihome ',' Layan ',' Unplug ',' Pay ',' Late ',' Layan ',' Late ',' Bad ']</v>
      </c>
      <c r="D825" s="4">
        <v>1.0</v>
      </c>
    </row>
    <row r="826" ht="15.75" customHeight="1">
      <c r="A826" s="1">
        <v>935.0</v>
      </c>
      <c r="B826" s="4" t="s">
        <v>814</v>
      </c>
      <c r="C826" s="4" t="str">
        <f>IFERROR(__xludf.DUMMYFUNCTION("GOOGLETRANSLATE(B826,""id"",""en"")"),"['right', 'hope', 'money', 'haram']")</f>
        <v>['right', 'hope', 'money', 'haram']</v>
      </c>
      <c r="D826" s="4">
        <v>1.0</v>
      </c>
    </row>
    <row r="827" ht="15.75" customHeight="1">
      <c r="A827" s="1">
        <v>936.0</v>
      </c>
      <c r="B827" s="4" t="s">
        <v>280</v>
      </c>
      <c r="C827" s="4" t="str">
        <f>IFERROR(__xludf.DUMMYFUNCTION("GOOGLETRANSLATE(B827,""id"",""en"")"),"['application', 'help']")</f>
        <v>['application', 'help']</v>
      </c>
      <c r="D827" s="4">
        <v>5.0</v>
      </c>
    </row>
    <row r="828" ht="15.75" customHeight="1">
      <c r="A828" s="1">
        <v>937.0</v>
      </c>
      <c r="B828" s="4" t="s">
        <v>815</v>
      </c>
      <c r="C828" s="4" t="str">
        <f>IFERROR(__xludf.DUMMYFUNCTION("GOOGLETRANSLATE(B828,""id"",""en"")"),"['application', 'sophisticated', 'dab', 'practical']")</f>
        <v>['application', 'sophisticated', 'dab', 'practical']</v>
      </c>
      <c r="D828" s="4">
        <v>5.0</v>
      </c>
    </row>
    <row r="829" ht="15.75" customHeight="1">
      <c r="A829" s="1">
        <v>938.0</v>
      </c>
      <c r="B829" s="4" t="s">
        <v>816</v>
      </c>
      <c r="C829" s="4" t="str">
        <f>IFERROR(__xludf.DUMMYFUNCTION("GOOGLETRANSLATE(B829,""id"",""en"")"),"['Satisfied', 'service', 'fast', 'response', 'employees', 'Rama', 'polite']")</f>
        <v>['Satisfied', 'service', 'fast', 'response', 'employees', 'Rama', 'polite']</v>
      </c>
      <c r="D829" s="4">
        <v>5.0</v>
      </c>
    </row>
    <row r="830" ht="15.75" customHeight="1">
      <c r="A830" s="1">
        <v>939.0</v>
      </c>
      <c r="B830" s="4" t="s">
        <v>817</v>
      </c>
      <c r="C830" s="4" t="str">
        <f>IFERROR(__xludf.DUMMYFUNCTION("GOOGLETRANSLATE(B830,""id"",""en"")"),"['Come', 'Comfortable', 'Features',' Renew ',' Speed ​​',' Tindas', 'Suru', 'Pay', 'Tindas',' Limit ',' Quota ',' Rich ',' independent']")</f>
        <v>['Come', 'Comfortable', 'Features',' Renew ',' Speed ​​',' Tindas', 'Suru', 'Pay', 'Tindas',' Limit ',' Quota ',' Rich ',' independent']</v>
      </c>
      <c r="D830" s="4">
        <v>1.0</v>
      </c>
    </row>
    <row r="831" ht="15.75" customHeight="1">
      <c r="A831" s="1">
        <v>940.0</v>
      </c>
      <c r="B831" s="4" t="s">
        <v>818</v>
      </c>
      <c r="C831" s="4" t="str">
        <f>IFERROR(__xludf.DUMMYFUNCTION("GOOGLETRANSLATE(B831,""id"",""en"")"),"['Log']")</f>
        <v>['Log']</v>
      </c>
      <c r="D831" s="4">
        <v>3.0</v>
      </c>
    </row>
    <row r="832" ht="15.75" customHeight="1">
      <c r="A832" s="1">
        <v>941.0</v>
      </c>
      <c r="B832" s="4" t="s">
        <v>819</v>
      </c>
      <c r="C832" s="4" t="str">
        <f>IFERROR(__xludf.DUMMYFUNCTION("GOOGLETRANSLATE(B832,""id"",""en"")"),"['Hi', 'INDIHOME', 'Application', 'Indihome', 'Caskek', 'Use', 'Internet', 'Aski', 'Check', 'Use', 'Skrang', 'Please']")</f>
        <v>['Hi', 'INDIHOME', 'Application', 'Indihome', 'Caskek', 'Use', 'Internet', 'Aski', 'Check', 'Use', 'Skrang', 'Please']</v>
      </c>
      <c r="D832" s="4">
        <v>4.0</v>
      </c>
    </row>
    <row r="833" ht="15.75" customHeight="1">
      <c r="A833" s="1">
        <v>942.0</v>
      </c>
      <c r="B833" s="4" t="s">
        <v>820</v>
      </c>
      <c r="C833" s="4" t="str">
        <f>IFERROR(__xludf.DUMMYFUNCTION("GOOGLETRANSLATE(B833,""id"",""en"")"),"['no', 'see', 'detail', 'details', 'tagging', 'hidden', '']")</f>
        <v>['no', 'see', 'detail', 'details', 'tagging', 'hidden', '']</v>
      </c>
      <c r="D833" s="4">
        <v>1.0</v>
      </c>
    </row>
    <row r="834" ht="15.75" customHeight="1">
      <c r="A834" s="1">
        <v>943.0</v>
      </c>
      <c r="B834" s="4" t="s">
        <v>821</v>
      </c>
      <c r="C834" s="4" t="str">
        <f>IFERROR(__xludf.DUMMYFUNCTION("GOOGLETRANSLATE(B834,""id"",""en"")"),"['Ujan', 'Ngellag', 'really', 'Ujan', 'Ngelag', 'Koran', 'Mana', 'Mas',' name ',' Please ',' Level ',' Busy ',' Since ',' Sunday ',' Yesterday ',' UDH ',' Severe ',' Very ',' WiFi ',' Region ',' Jakarta ',' South ', ""]")</f>
        <v>['Ujan', 'Ngellag', 'really', 'Ujan', 'Ngelag', 'Koran', 'Mana', 'Mas',' name ',' Please ',' Level ',' Busy ',' Since ',' Sunday ',' Yesterday ',' UDH ',' Severe ',' Very ',' WiFi ',' Region ',' Jakarta ',' South ', "]</v>
      </c>
      <c r="D834" s="4">
        <v>1.0</v>
      </c>
    </row>
    <row r="835" ht="15.75" customHeight="1">
      <c r="A835" s="1">
        <v>944.0</v>
      </c>
      <c r="B835" s="4" t="s">
        <v>822</v>
      </c>
      <c r="C835" s="4" t="str">
        <f>IFERROR(__xludf.DUMMYFUNCTION("GOOGLETRANSLATE(B835,""id"",""en"")"),"['KPD', 'Indi', 'home', 'net', 'bad', 'Indihome', 'price', 'expensive', 'appeal', 'back', 'signal', 'bad', ' ',' subscribe ',' plan ',' look for ',' if ',' star ',' love ',' star ',' good ',' kasi ',' star ',' price ',' expensive ' , 'Appeal', 'back', 'ne"&amp;"t', 'connection', 'bad', 'trimakasih', 'listen', 'complained', 'okay', 'listen', 'okay', 'community']")</f>
        <v>['KPD', 'Indi', 'home', 'net', 'bad', 'Indihome', 'price', 'expensive', 'appeal', 'back', 'signal', 'bad', ' ',' subscribe ',' plan ',' look for ',' if ',' star ',' love ',' star ',' good ',' kasi ',' star ',' price ',' expensive ' , 'Appeal', 'back', 'net', 'connection', 'bad', 'trimakasih', 'listen', 'complained', 'okay', 'listen', 'okay', 'community']</v>
      </c>
      <c r="D835" s="4">
        <v>1.0</v>
      </c>
    </row>
    <row r="836" ht="15.75" customHeight="1">
      <c r="A836" s="1">
        <v>945.0</v>
      </c>
      <c r="B836" s="4" t="s">
        <v>823</v>
      </c>
      <c r="C836" s="4" t="str">
        <f>IFERROR(__xludf.DUMMYFUNCTION("GOOGLETRANSLATE(B836,""id"",""en"")"),"['application', 'like', 'dumbfound', 'response', 'click', '']")</f>
        <v>['application', 'like', 'dumbfound', 'response', 'click', '']</v>
      </c>
      <c r="D836" s="4">
        <v>1.0</v>
      </c>
    </row>
    <row r="837" ht="15.75" customHeight="1">
      <c r="A837" s="1">
        <v>946.0</v>
      </c>
      <c r="B837" s="4" t="s">
        <v>824</v>
      </c>
      <c r="C837" s="4" t="str">
        <f>IFERROR(__xludf.DUMMYFUNCTION("GOOGLETRANSLATE(B837,""id"",""en"")"),"['Pay', 'feedback', 'subscribe', 'slow', 'net', 'slow', 'really', 'wifi', 'buy', 'quota', 'waste', 'waste', ' Money ',' ngempanin ',' Indihome ',' ']")</f>
        <v>['Pay', 'feedback', 'subscribe', 'slow', 'net', 'slow', 'really', 'wifi', 'buy', 'quota', 'waste', 'waste', ' Money ',' ngempanin ',' Indihome ',' ']</v>
      </c>
      <c r="D837" s="4">
        <v>1.0</v>
      </c>
    </row>
    <row r="838" ht="15.75" customHeight="1">
      <c r="A838" s="1">
        <v>947.0</v>
      </c>
      <c r="B838" s="4" t="s">
        <v>825</v>
      </c>
      <c r="C838" s="4" t="str">
        <f>IFERROR(__xludf.DUMMYFUNCTION("GOOGLETRANSLATE(B838,""id"",""en"")"),"['Application', 'Install']")</f>
        <v>['Application', 'Install']</v>
      </c>
      <c r="D838" s="4">
        <v>1.0</v>
      </c>
    </row>
    <row r="839" ht="15.75" customHeight="1">
      <c r="A839" s="1">
        <v>948.0</v>
      </c>
      <c r="B839" s="4" t="s">
        <v>826</v>
      </c>
      <c r="C839" s="4" t="str">
        <f>IFERROR(__xludf.DUMMYFUNCTION("GOOGLETRANSLATE(B839,""id"",""en"")"),"['Pairs', 'monopoly', 'how', 'enter', 'area', 'Indihome', 'install', 'application', 'super', 'lot']")</f>
        <v>['Pairs', 'monopoly', 'how', 'enter', 'area', 'Indihome', 'install', 'application', 'super', 'lot']</v>
      </c>
      <c r="D839" s="4">
        <v>1.0</v>
      </c>
    </row>
    <row r="840" ht="15.75" customHeight="1">
      <c r="A840" s="1">
        <v>949.0</v>
      </c>
      <c r="B840" s="4" t="s">
        <v>827</v>
      </c>
      <c r="C840" s="4" t="str">
        <f>IFERROR(__xludf.DUMMYFUNCTION("GOOGLETRANSLATE(B840,""id"",""en"")"),"['service', 'Tide', 'Sampe', 'Application', 'Lot']")</f>
        <v>['service', 'Tide', 'Sampe', 'Application', 'Lot']</v>
      </c>
      <c r="D840" s="4">
        <v>1.0</v>
      </c>
    </row>
    <row r="841" ht="15.75" customHeight="1">
      <c r="A841" s="1">
        <v>950.0</v>
      </c>
      <c r="B841" s="4" t="s">
        <v>828</v>
      </c>
      <c r="C841" s="4" t="str">
        <f>IFERROR(__xludf.DUMMYFUNCTION("GOOGLETRANSLATE(B841,""id"",""en"")"),"['Best', 'pairs',' cable ',' copper ',' migration ',' optical ',' good ',' deposit ',' kaga ',' reversed ',' try ',' Lunasin ',' TAGIH ',' ONT ',' ONT ',' STB ',' Plaza ',' Telkom ',' Region ']")</f>
        <v>['Best', 'pairs',' cable ',' copper ',' migration ',' optical ',' good ',' deposit ',' kaga ',' reversed ',' try ',' Lunasin ',' TAGIH ',' ONT ',' ONT ',' STB ',' Plaza ',' Telkom ',' Region ']</v>
      </c>
      <c r="D841" s="4">
        <v>5.0</v>
      </c>
    </row>
    <row r="842" ht="15.75" customHeight="1">
      <c r="A842" s="1">
        <v>951.0</v>
      </c>
      <c r="B842" s="4" t="s">
        <v>829</v>
      </c>
      <c r="C842" s="4" t="str">
        <f>IFERROR(__xludf.DUMMYFUNCTION("GOOGLETRANSLATE(B842,""id"",""en"")"),"['Ngellag', 'anjg', 'gaje']")</f>
        <v>['Ngellag', 'anjg', 'gaje']</v>
      </c>
      <c r="D842" s="4">
        <v>1.0</v>
      </c>
    </row>
    <row r="843" ht="15.75" customHeight="1">
      <c r="A843" s="1">
        <v>952.0</v>
      </c>
      <c r="B843" s="4" t="s">
        <v>830</v>
      </c>
      <c r="C843" s="4" t="str">
        <f>IFERROR(__xludf.DUMMYFUNCTION("GOOGLETRANSLATE(B843,""id"",""en"")"),"['APK', 'good', 'pke', 'wifinya', 'loading', 'mulu', 'udh', 'complain', 'tetep', 'duhh', 'severe', 'moved', ' time', '']")</f>
        <v>['APK', 'good', 'pke', 'wifinya', 'loading', 'mulu', 'udh', 'complain', 'tetep', 'duhh', 'severe', 'moved', ' time', '']</v>
      </c>
      <c r="D843" s="4">
        <v>1.0</v>
      </c>
    </row>
    <row r="844" ht="15.75" customHeight="1">
      <c r="A844" s="1">
        <v>953.0</v>
      </c>
      <c r="B844" s="4" t="s">
        <v>831</v>
      </c>
      <c r="C844" s="4" t="str">
        <f>IFERROR(__xludf.DUMMYFUNCTION("GOOGLETRANSLATE(B844,""id"",""en"")"),"['version', 'option', 'reset', 'fup', '']")</f>
        <v>['version', 'option', 'reset', 'fup', '']</v>
      </c>
      <c r="D844" s="4">
        <v>3.0</v>
      </c>
    </row>
    <row r="845" ht="15.75" customHeight="1">
      <c r="A845" s="1">
        <v>954.0</v>
      </c>
      <c r="B845" s="4" t="s">
        <v>832</v>
      </c>
      <c r="C845" s="4" t="str">
        <f>IFERROR(__xludf.DUMMYFUNCTION("GOOGLETRANSLATE(B845,""id"",""en"")"),"['wifi', 'ajg', 'maen', 'lag', 'medium', 'use', 'republic', 'normal']")</f>
        <v>['wifi', 'ajg', 'maen', 'lag', 'medium', 'use', 'republic', 'normal']</v>
      </c>
      <c r="D845" s="4">
        <v>1.0</v>
      </c>
    </row>
    <row r="846" ht="15.75" customHeight="1">
      <c r="A846" s="1">
        <v>956.0</v>
      </c>
      <c r="B846" s="4" t="s">
        <v>833</v>
      </c>
      <c r="C846" s="4" t="str">
        <f>IFERROR(__xludf.DUMMYFUNCTION("GOOGLETRANSLATE(B846,""id"",""en"")"),"['BUMN', 'BUMDES', '']")</f>
        <v>['BUMN', 'BUMDES', '']</v>
      </c>
      <c r="D846" s="4">
        <v>1.0</v>
      </c>
    </row>
    <row r="847" ht="15.75" customHeight="1">
      <c r="A847" s="1">
        <v>957.0</v>
      </c>
      <c r="B847" s="4" t="s">
        <v>130</v>
      </c>
      <c r="C847" s="4" t="str">
        <f>IFERROR(__xludf.DUMMYFUNCTION("GOOGLETRANSLATE(B847,""id"",""en"")"),"Of course")</f>
        <v>Of course</v>
      </c>
      <c r="D847" s="4">
        <v>1.0</v>
      </c>
    </row>
    <row r="848" ht="15.75" customHeight="1">
      <c r="A848" s="1">
        <v>958.0</v>
      </c>
      <c r="B848" s="4" t="s">
        <v>834</v>
      </c>
      <c r="C848" s="4" t="str">
        <f>IFERROR(__xludf.DUMMYFUNCTION("GOOGLETRANSLATE(B848,""id"",""en"")"),"['buy', 'quota', 'easy', 'application', 'top', 'staple', '']")</f>
        <v>['buy', 'quota', 'easy', 'application', 'top', 'staple', '']</v>
      </c>
      <c r="D848" s="4">
        <v>5.0</v>
      </c>
    </row>
    <row r="849" ht="15.75" customHeight="1">
      <c r="A849" s="1">
        <v>959.0</v>
      </c>
      <c r="B849" s="4" t="s">
        <v>835</v>
      </c>
      <c r="C849" s="4" t="str">
        <f>IFERROR(__xludf.DUMMYFUNCTION("GOOGLETRANSLATE(B849,""id"",""en"")"),"['Select', 'background', 'good', 'good', 'likes']")</f>
        <v>['Select', 'background', 'good', 'good', 'likes']</v>
      </c>
      <c r="D849" s="4">
        <v>5.0</v>
      </c>
    </row>
    <row r="850" ht="15.75" customHeight="1">
      <c r="A850" s="1">
        <v>961.0</v>
      </c>
      <c r="B850" s="4" t="s">
        <v>836</v>
      </c>
      <c r="C850" s="4" t="str">
        <f>IFERROR(__xludf.DUMMYFUNCTION("GOOGLETRANSLATE(B850,""id"",""en"")"),"['Help', 'really', 'obstacle', 'service', 'Banti', '']")</f>
        <v>['Help', 'really', 'obstacle', 'service', 'Banti', '']</v>
      </c>
      <c r="D850" s="4">
        <v>5.0</v>
      </c>
    </row>
    <row r="851" ht="15.75" customHeight="1">
      <c r="A851" s="1">
        <v>962.0</v>
      </c>
      <c r="B851" s="4" t="s">
        <v>837</v>
      </c>
      <c r="C851" s="4" t="str">
        <f>IFERROR(__xludf.DUMMYFUNCTION("GOOGLETRANSLATE(B851,""id"",""en"")"),"['Help', 'Menu', 'Report', 'Disturbs', 'Mantuls']")</f>
        <v>['Help', 'Menu', 'Report', 'Disturbs', 'Mantuls']</v>
      </c>
      <c r="D851" s="4">
        <v>5.0</v>
      </c>
    </row>
    <row r="852" ht="15.75" customHeight="1">
      <c r="A852" s="1">
        <v>963.0</v>
      </c>
      <c r="B852" s="4" t="s">
        <v>838</v>
      </c>
      <c r="C852" s="4" t="str">
        <f>IFERROR(__xludf.DUMMYFUNCTION("GOOGLETRANSLATE(B852,""id"",""en"")"),"['application', 'help', 'right', 'wfh', 'gin', 'easy', 'report', 'disturbing', 'thank', 'love', 'yaaaa']")</f>
        <v>['application', 'help', 'right', 'wfh', 'gin', 'easy', 'report', 'disturbing', 'thank', 'love', 'yaaaa']</v>
      </c>
      <c r="D852" s="4">
        <v>5.0</v>
      </c>
    </row>
    <row r="853" ht="15.75" customHeight="1">
      <c r="A853" s="1">
        <v>964.0</v>
      </c>
      <c r="B853" s="4" t="s">
        <v>839</v>
      </c>
      <c r="C853" s="4" t="str">
        <f>IFERROR(__xludf.DUMMYFUNCTION("GOOGLETRANSLATE(B853,""id"",""en"")"),"['Destroyed', 'Net', 'Indihome', 'Application', 'Guna', 'Response', 'Admin', 'Please', 'Good', 'Networkaaa', ""]")</f>
        <v>['Destroyed', 'Net', 'Indihome', 'Application', 'Guna', 'Response', 'Admin', 'Please', 'Good', 'Networkaaa', "]</v>
      </c>
      <c r="D853" s="4">
        <v>1.0</v>
      </c>
    </row>
    <row r="854" ht="15.75" customHeight="1">
      <c r="A854" s="1">
        <v>965.0</v>
      </c>
      <c r="B854" s="4" t="s">
        <v>840</v>
      </c>
      <c r="C854" s="4" t="str">
        <f>IFERROR(__xludf.DUMMYFUNCTION("GOOGLETRANSLATE(B854,""id"",""en"")"),"['APK', 'Error', 'Login', 'Good', 'Quality', 'Net', 'Buy', 'Package', 'Mbps', 'Serasa', 'Mbps']")</f>
        <v>['APK', 'Error', 'Login', 'Good', 'Quality', 'Net', 'Buy', 'Package', 'Mbps', 'Serasa', 'Mbps']</v>
      </c>
      <c r="D854" s="4">
        <v>1.0</v>
      </c>
    </row>
    <row r="855" ht="15.75" customHeight="1">
      <c r="A855" s="1">
        <v>966.0</v>
      </c>
      <c r="B855" s="4" t="s">
        <v>841</v>
      </c>
      <c r="C855" s="4" t="str">
        <f>IFERROR(__xludf.DUMMYFUNCTION("GOOGLETRANSLATE(B855,""id"",""en"")"),"['Sip', 'mantab']")</f>
        <v>['Sip', 'mantab']</v>
      </c>
      <c r="D855" s="4">
        <v>5.0</v>
      </c>
    </row>
    <row r="856" ht="15.75" customHeight="1">
      <c r="A856" s="1">
        <v>967.0</v>
      </c>
      <c r="B856" s="4" t="s">
        <v>842</v>
      </c>
      <c r="C856" s="4" t="str">
        <f>IFERROR(__xludf.DUMMYFUNCTION("GOOGLETRANSLATE(B856,""id"",""en"")"),"['Cool', 'application']")</f>
        <v>['Cool', 'application']</v>
      </c>
      <c r="D856" s="4">
        <v>5.0</v>
      </c>
    </row>
    <row r="857" ht="15.75" customHeight="1">
      <c r="A857" s="1">
        <v>968.0</v>
      </c>
      <c r="B857" s="4" t="s">
        <v>843</v>
      </c>
      <c r="C857" s="4" t="str">
        <f>IFERROR(__xludf.DUMMYFUNCTION("GOOGLETRANSLATE(B857,""id"",""en"")"),"['Nice', 'staple']")</f>
        <v>['Nice', 'staple']</v>
      </c>
      <c r="D857" s="4">
        <v>5.0</v>
      </c>
    </row>
    <row r="858" ht="15.75" customHeight="1">
      <c r="A858" s="1">
        <v>969.0</v>
      </c>
      <c r="B858" s="4" t="s">
        <v>844</v>
      </c>
      <c r="C858" s="4" t="str">
        <f>IFERROR(__xludf.DUMMYFUNCTION("GOOGLETRANSLATE(B858,""id"",""en"")"),"['Application', 'Benefits', 'Transactions', 'Add', 'Mini', 'Pack', 'Direct', 'Application']")</f>
        <v>['Application', 'Benefits', 'Transactions', 'Add', 'Mini', 'Pack', 'Direct', 'Application']</v>
      </c>
      <c r="D858" s="4">
        <v>5.0</v>
      </c>
    </row>
    <row r="859" ht="15.75" customHeight="1">
      <c r="A859" s="1">
        <v>970.0</v>
      </c>
      <c r="B859" s="4" t="s">
        <v>845</v>
      </c>
      <c r="C859" s="4" t="str">
        <f>IFERROR(__xludf.DUMMYFUNCTION("GOOGLETRANSLATE(B859,""id"",""en"")"),"['already', 'good', 'error', 'Rangin', 'min']")</f>
        <v>['already', 'good', 'error', 'Rangin', 'min']</v>
      </c>
      <c r="D859" s="4">
        <v>5.0</v>
      </c>
    </row>
    <row r="860" ht="15.75" customHeight="1">
      <c r="A860" s="1">
        <v>971.0</v>
      </c>
      <c r="B860" s="4" t="s">
        <v>846</v>
      </c>
      <c r="C860" s="4" t="str">
        <f>IFERROR(__xludf.DUMMYFUNCTION("GOOGLETRANSLATE(B860,""id"",""en"")"),"['application', 'version', 'new', 'promo', 'lots', 'yaaa']")</f>
        <v>['application', 'version', 'new', 'promo', 'lots', 'yaaa']</v>
      </c>
      <c r="D860" s="4">
        <v>5.0</v>
      </c>
    </row>
    <row r="861" ht="15.75" customHeight="1">
      <c r="A861" s="1">
        <v>972.0</v>
      </c>
      <c r="B861" s="4" t="s">
        <v>847</v>
      </c>
      <c r="C861" s="4" t="str">
        <f>IFERROR(__xludf.DUMMYFUNCTION("GOOGLETRANSLATE(B861,""id"",""en"")"),"['Pay', 'tags', 'dear', 'really', 'details', 'tagih', '']")</f>
        <v>['Pay', 'tags', 'dear', 'really', 'details', 'tagih', '']</v>
      </c>
      <c r="D861" s="4">
        <v>5.0</v>
      </c>
    </row>
    <row r="862" ht="15.75" customHeight="1">
      <c r="A862" s="1">
        <v>973.0</v>
      </c>
      <c r="B862" s="4" t="s">
        <v>848</v>
      </c>
      <c r="C862" s="4" t="str">
        <f>IFERROR(__xludf.DUMMYFUNCTION("GOOGLETRANSLATE(B862,""id"",""en"")"),"['Application', 'Practical', 'Pay', 'Tagih', 'Direct', 'Application']")</f>
        <v>['Application', 'Practical', 'Pay', 'Tagih', 'Direct', 'Application']</v>
      </c>
      <c r="D862" s="4">
        <v>5.0</v>
      </c>
    </row>
    <row r="863" ht="15.75" customHeight="1">
      <c r="A863" s="1">
        <v>974.0</v>
      </c>
      <c r="B863" s="4" t="s">
        <v>849</v>
      </c>
      <c r="C863" s="4" t="str">
        <f>IFERROR(__xludf.DUMMYFUNCTION("GOOGLETRANSLATE(B863,""id"",""en"")"),"['wifi', 'interior', 'connection', 'bad', 'start', 'pairs', 'okay', ""]")</f>
        <v>['wifi', 'interior', 'connection', 'bad', 'start', 'pairs', 'okay', "]</v>
      </c>
      <c r="D863" s="4">
        <v>1.0</v>
      </c>
    </row>
    <row r="864" ht="15.75" customHeight="1">
      <c r="A864" s="1">
        <v>975.0</v>
      </c>
      <c r="B864" s="4" t="s">
        <v>850</v>
      </c>
      <c r="C864" s="4" t="str">
        <f>IFERROR(__xludf.DUMMYFUNCTION("GOOGLETRANSLATE(B864,""id"",""en"")"),"['ugly', 'really', 'error', 'adu', 'responsive', 'expensive', 'tags']")</f>
        <v>['ugly', 'really', 'error', 'adu', 'responsive', 'expensive', 'tags']</v>
      </c>
      <c r="D864" s="4">
        <v>1.0</v>
      </c>
    </row>
    <row r="865" ht="15.75" customHeight="1">
      <c r="A865" s="1">
        <v>976.0</v>
      </c>
      <c r="B865" s="4" t="s">
        <v>851</v>
      </c>
      <c r="C865" s="4" t="str">
        <f>IFERROR(__xludf.DUMMYFUNCTION("GOOGLETRANSLATE(B865,""id"",""en"")"),"['Indihome', 'home', 'net', 'slow', 'already', 'pay', 'use', 'person']")</f>
        <v>['Indihome', 'home', 'net', 'slow', 'already', 'pay', 'use', 'person']</v>
      </c>
      <c r="D865" s="4">
        <v>1.0</v>
      </c>
    </row>
    <row r="866" ht="15.75" customHeight="1">
      <c r="A866" s="1">
        <v>977.0</v>
      </c>
      <c r="B866" s="4" t="s">
        <v>852</v>
      </c>
      <c r="C866" s="4" t="str">
        <f>IFERROR(__xludf.DUMMYFUNCTION("GOOGLETRANSLATE(B866,""id"",""en"")"),"['renew', 'sod', 'like', 'failed']")</f>
        <v>['renew', 'sod', 'like', 'failed']</v>
      </c>
      <c r="D866" s="4">
        <v>3.0</v>
      </c>
    </row>
    <row r="867" ht="15.75" customHeight="1">
      <c r="A867" s="1">
        <v>979.0</v>
      </c>
      <c r="B867" s="4" t="s">
        <v>853</v>
      </c>
      <c r="C867" s="4" t="str">
        <f>IFERROR(__xludf.DUMMYFUNCTION("GOOGLETRANSLATE(B867,""id"",""en"")"),"['steady', '']")</f>
        <v>['steady', '']</v>
      </c>
      <c r="D867" s="4">
        <v>5.0</v>
      </c>
    </row>
    <row r="868" ht="15.75" customHeight="1">
      <c r="A868" s="1">
        <v>980.0</v>
      </c>
      <c r="B868" s="4" t="s">
        <v>854</v>
      </c>
      <c r="C868" s="4" t="str">
        <f>IFERROR(__xludf.DUMMYFUNCTION("GOOGLETRANSLATE(B868,""id"",""en"")"),"['Please', 'level', 'concept', 'application', 'already', 'good', ""]")</f>
        <v>['Please', 'level', 'concept', 'application', 'already', 'good', "]</v>
      </c>
      <c r="D868" s="4">
        <v>5.0</v>
      </c>
    </row>
    <row r="869" ht="15.75" customHeight="1">
      <c r="A869" s="1">
        <v>981.0</v>
      </c>
      <c r="B869" s="4" t="s">
        <v>855</v>
      </c>
      <c r="C869" s="4" t="str">
        <f>IFERROR(__xludf.DUMMYFUNCTION("GOOGLETRANSLATE(B869,""id"",""en"")"),"['application', 'already', 'good', 'beg', 'level', 'please', 'obstacle', ""]")</f>
        <v>['application', 'already', 'good', 'beg', 'level', 'please', 'obstacle', "]</v>
      </c>
      <c r="D869" s="4">
        <v>5.0</v>
      </c>
    </row>
    <row r="870" ht="15.75" customHeight="1">
      <c r="A870" s="1">
        <v>982.0</v>
      </c>
      <c r="B870" s="4" t="s">
        <v>856</v>
      </c>
      <c r="C870" s="4" t="str">
        <f>IFERROR(__xludf.DUMMYFUNCTION("GOOGLETRANSLATE(B870,""id"",""en"")"),"['Moga', 'Indihome', 'fast', 'internet', 'Success', '']")</f>
        <v>['Moga', 'Indihome', 'fast', 'internet', 'Success', '']</v>
      </c>
      <c r="D870" s="4">
        <v>4.0</v>
      </c>
    </row>
    <row r="871" ht="15.75" customHeight="1">
      <c r="A871" s="1">
        <v>983.0</v>
      </c>
      <c r="B871" s="4" t="s">
        <v>857</v>
      </c>
      <c r="C871" s="4" t="str">
        <f>IFERROR(__xludf.DUMMYFUNCTION("GOOGLETRANSLATE(B871,""id"",""en"")"),"['bad', 'connection', 'hyphen', 'lights', 'indicator', 'red', 'electricity', 'life', 'dead']")</f>
        <v>['bad', 'connection', 'hyphen', 'lights', 'indicator', 'red', 'electricity', 'life', 'dead']</v>
      </c>
      <c r="D871" s="4">
        <v>2.0</v>
      </c>
    </row>
    <row r="872" ht="15.75" customHeight="1">
      <c r="A872" s="1">
        <v>984.0</v>
      </c>
      <c r="B872" s="4" t="s">
        <v>858</v>
      </c>
      <c r="C872" s="4" t="str">
        <f>IFERROR(__xludf.DUMMYFUNCTION("GOOGLETRANSLATE(B872,""id"",""en"")"),"['Stone', 'Guna']")</f>
        <v>['Stone', 'Guna']</v>
      </c>
      <c r="D872" s="4">
        <v>5.0</v>
      </c>
    </row>
    <row r="873" ht="15.75" customHeight="1">
      <c r="A873" s="1">
        <v>985.0</v>
      </c>
      <c r="B873" s="4" t="s">
        <v>859</v>
      </c>
      <c r="C873" s="4" t="str">
        <f>IFERROR(__xludf.DUMMYFUNCTION("GOOGLETRANSLATE(B873,""id"",""en"")"),"['Please', 'Change', 'Data', 'Guna', 'Yoza', 'KTP', 'Yuza', 'Laggang', 'Indihome', 'Lampir', 'Photo', 'KTP', ' Photo ',' home ',' DITLP ',' Center ',' name ',' Yuza ',' appears', 'Indihome', 'data', 'email', 'enter', 'data', 'subscribe' , 'Yoza', 'Yuza', "&amp;"'Tasks',' Change ',' Pay ',' Now ',' Blm ',' Change ',' Wrong ',' Tasks', 'Salah', 'Bkn', ' ']")</f>
        <v>['Please', 'Change', 'Data', 'Guna', 'Yoza', 'KTP', 'Yuza', 'Laggang', 'Indihome', 'Lampir', 'Photo', 'KTP', ' Photo ',' home ',' DITLP ',' Center ',' name ',' Yuza ',' appears', 'Indihome', 'data', 'email', 'enter', 'data', 'subscribe' , 'Yoza', 'Yuza', 'Tasks',' Change ',' Pay ',' Now ',' Blm ',' Change ',' Wrong ',' Tasks', 'Salah', 'Bkn', ' ']</v>
      </c>
      <c r="D873" s="4">
        <v>5.0</v>
      </c>
    </row>
    <row r="874" ht="15.75" customHeight="1">
      <c r="A874" s="1">
        <v>986.0</v>
      </c>
      <c r="B874" s="4" t="s">
        <v>860</v>
      </c>
      <c r="C874" s="4" t="str">
        <f>IFERROR(__xludf.DUMMYFUNCTION("GOOGLETRANSLATE(B874,""id"",""en"")"),"['intention', 'mbukak', 'business', ""]")</f>
        <v>['intention', 'mbukak', 'business', "]</v>
      </c>
      <c r="D874" s="4">
        <v>1.0</v>
      </c>
    </row>
    <row r="875" ht="15.75" customHeight="1">
      <c r="A875" s="1">
        <v>987.0</v>
      </c>
      <c r="B875" s="4" t="s">
        <v>861</v>
      </c>
      <c r="C875" s="4" t="str">
        <f>IFERROR(__xludf.DUMMYFUNCTION("GOOGLETRANSLATE(B875,""id"",""en"")"),"['problem', 'Change']")</f>
        <v>['problem', 'Change']</v>
      </c>
      <c r="D875" s="4">
        <v>1.0</v>
      </c>
    </row>
    <row r="876" ht="15.75" customHeight="1">
      <c r="A876" s="1">
        <v>988.0</v>
      </c>
      <c r="B876" s="4" t="s">
        <v>862</v>
      </c>
      <c r="C876" s="4" t="str">
        <f>IFERROR(__xludf.DUMMYFUNCTION("GOOGLETRANSLATE(B876,""id"",""en"")"),"['injection', 'dead', 'application', 'error', 'developer', 'diploma', 'doang', 'manage', 'application', 'kek', 'gin', 'lol', ' ']")</f>
        <v>['injection', 'dead', 'application', 'error', 'developer', 'diploma', 'doang', 'manage', 'application', 'kek', 'gin', 'lol', ' ']</v>
      </c>
      <c r="D876" s="4">
        <v>1.0</v>
      </c>
    </row>
    <row r="877" ht="15.75" customHeight="1">
      <c r="A877" s="1">
        <v>990.0</v>
      </c>
      <c r="B877" s="4" t="s">
        <v>863</v>
      </c>
      <c r="C877" s="4" t="str">
        <f>IFERROR(__xludf.DUMMYFUNCTION("GOOGLETRANSLATE(B877,""id"",""en"")"),"['love', 'star', 'week', 'renew', 'always', 'failed', 'smpai', 'second', ""]")</f>
        <v>['love', 'star', 'week', 'renew', 'always', 'failed', 'smpai', 'second', "]</v>
      </c>
      <c r="D877" s="4">
        <v>2.0</v>
      </c>
    </row>
    <row r="878" ht="15.75" customHeight="1">
      <c r="A878" s="1">
        <v>991.0</v>
      </c>
      <c r="B878" s="4" t="s">
        <v>864</v>
      </c>
      <c r="C878" s="4" t="str">
        <f>IFERROR(__xludf.DUMMYFUNCTION("GOOGLETRANSLATE(B878,""id"",""en"")"),"['Pay', 'expensive', 'Asa', 'use', 'wifi', 'smooth', 'quota', 'internet', '']")</f>
        <v>['Pay', 'expensive', 'Asa', 'use', 'wifi', 'smooth', 'quota', 'internet', '']</v>
      </c>
      <c r="D878" s="4">
        <v>1.0</v>
      </c>
    </row>
    <row r="879" ht="15.75" customHeight="1">
      <c r="A879" s="1">
        <v>992.0</v>
      </c>
      <c r="B879" s="4" t="s">
        <v>556</v>
      </c>
      <c r="C879" s="4" t="str">
        <f>IFERROR(__xludf.DUMMYFUNCTION("GOOGLETRANSLATE(B879,""id"",""en"")"),"['disappointed']")</f>
        <v>['disappointed']</v>
      </c>
      <c r="D879" s="4">
        <v>3.0</v>
      </c>
    </row>
    <row r="880" ht="15.75" customHeight="1">
      <c r="A880" s="1">
        <v>993.0</v>
      </c>
      <c r="B880" s="4" t="s">
        <v>865</v>
      </c>
      <c r="C880" s="4" t="str">
        <f>IFERROR(__xludf.DUMMYFUNCTION("GOOGLETRANSLATE(B880,""id"",""en"")"),"['App', 'Doang', 'Help', 'Remnants',' KEMADNG ',' Open ',' KDNG ',' Error ',' Sekli ',' Jam ',' App ',' Try ',' Install ',' Laen ',' Subscribe ',' Indihome ',' WiFi ',' UDH ',' Disconnect ',' SNDRI ',' JLS ',' Maen ',' Mobile ',' Legends', 'lag' , 'kya', "&amp;"'net', 'right', 'bgus',' pdhal ',' package ',' mbps', 'fast', 'udh', 'stable', 'not', 'recommended', ' Pepet ',' Krena ',' Provider ',' Sudh ',' Nikmatin ',' Penilian ',' UDH ',' BNYK ',' JLK ',' TTP ',' GakadaperimaraCok ']")</f>
        <v>['App', 'Doang', 'Help', 'Remnants',' KEMADNG ',' Open ',' KDNG ',' Error ',' Sekli ',' Jam ',' App ',' Try ',' Install ',' Laen ',' Subscribe ',' Indihome ',' WiFi ',' UDH ',' Disconnect ',' SNDRI ',' JLS ',' Maen ',' Mobile ',' Legends', 'lag' , 'kya', 'net', 'right', 'bgus',' pdhal ',' package ',' mbps', 'fast', 'udh', 'stable', 'not', 'recommended', ' Pepet ',' Krena ',' Provider ',' Sudh ',' Nikmatin ',' Penilian ',' UDH ',' BNYK ',' JLK ',' TTP ',' GakadaperimaraCok ']</v>
      </c>
      <c r="D880" s="4">
        <v>1.0</v>
      </c>
    </row>
    <row r="881" ht="15.75" customHeight="1">
      <c r="A881" s="1">
        <v>994.0</v>
      </c>
      <c r="B881" s="4" t="s">
        <v>866</v>
      </c>
      <c r="C881" s="4" t="str">
        <f>IFERROR(__xludf.DUMMYFUNCTION("GOOGLETRANSLATE(B881,""id"",""en"")"),"['', 'stable']")</f>
        <v>['', 'stable']</v>
      </c>
      <c r="D881" s="4">
        <v>1.0</v>
      </c>
    </row>
    <row r="882" ht="15.75" customHeight="1">
      <c r="A882" s="1">
        <v>995.0</v>
      </c>
      <c r="B882" s="4" t="s">
        <v>867</v>
      </c>
      <c r="C882" s="4" t="str">
        <f>IFERROR(__xludf.DUMMYFUNCTION("GOOGLETRANSLATE(B882,""id"",""en"")"),"['sippp']")</f>
        <v>['sippp']</v>
      </c>
      <c r="D882" s="4">
        <v>5.0</v>
      </c>
    </row>
    <row r="883" ht="15.75" customHeight="1">
      <c r="A883" s="1">
        <v>996.0</v>
      </c>
      <c r="B883" s="4" t="s">
        <v>868</v>
      </c>
      <c r="C883" s="4" t="str">
        <f>IFERROR(__xludf.DUMMYFUNCTION("GOOGLETRANSLATE(B883,""id"",""en"")"),"['Indihome', 'Kek', 'AJG', 'Pay', 'Moon', 'Ngelag', 'Intention', 'Give', 'Signal', 'Mending', 'Operation', 'Ajg']")</f>
        <v>['Indihome', 'Kek', 'AJG', 'Pay', 'Moon', 'Ngelag', 'Intention', 'Give', 'Signal', 'Mending', 'Operation', 'Ajg']</v>
      </c>
      <c r="D883" s="4">
        <v>1.0</v>
      </c>
    </row>
    <row r="884" ht="15.75" customHeight="1">
      <c r="A884" s="1">
        <v>997.0</v>
      </c>
      <c r="B884" s="4" t="s">
        <v>869</v>
      </c>
      <c r="C884" s="4" t="str">
        <f>IFERROR(__xludf.DUMMYFUNCTION("GOOGLETRANSLATE(B884,""id"",""en"")"),"['Excuse', 'complain', 'signal', 'slow', 'stay', 'city', 'stay', 'pandeglang', 'indihome', 'average', 'signal', 'type', ' Gamers', 'hate', 'nets',' lag ',' Please ',' Telecommunication ',' Indonesia ',' said ',' signal ',' Indihome ',' crowded ',' use ','"&amp;" wifi ' , 'Sorry', 'criticism', 'Kenan', 'Thank you', ""]")</f>
        <v>['Excuse', 'complain', 'signal', 'slow', 'stay', 'city', 'stay', 'pandeglang', 'indihome', 'average', 'signal', 'type', ' Gamers', 'hate', 'nets',' lag ',' Please ',' Telecommunication ',' Indonesia ',' said ',' signal ',' Indihome ',' crowded ',' use ',' wifi ' , 'Sorry', 'criticism', 'Kenan', 'Thank you', "]</v>
      </c>
      <c r="D884" s="4">
        <v>1.0</v>
      </c>
    </row>
    <row r="885" ht="15.75" customHeight="1">
      <c r="A885" s="1">
        <v>998.0</v>
      </c>
      <c r="B885" s="4" t="s">
        <v>870</v>
      </c>
      <c r="C885" s="4" t="str">
        <f>IFERROR(__xludf.DUMMYFUNCTION("GOOGLETRANSLATE(B885,""id"",""en"")"),"['Hand', 'fast', 'response']")</f>
        <v>['Hand', 'fast', 'response']</v>
      </c>
      <c r="D885" s="4">
        <v>5.0</v>
      </c>
    </row>
    <row r="886" ht="15.75" customHeight="1">
      <c r="A886" s="1">
        <v>999.0</v>
      </c>
      <c r="B886" s="4" t="s">
        <v>871</v>
      </c>
      <c r="C886" s="4" t="str">
        <f>IFERROR(__xludf.DUMMYFUNCTION("GOOGLETRANSLATE(B886,""id"",""en"")"),"['Please', 'serve', 'oath', 'Judes']")</f>
        <v>['Please', 'serve', 'oath', 'Judes']</v>
      </c>
      <c r="D886" s="4">
        <v>1.0</v>
      </c>
    </row>
    <row r="887" ht="15.75" customHeight="1">
      <c r="A887" s="1">
        <v>1000.0</v>
      </c>
      <c r="B887" s="4" t="s">
        <v>872</v>
      </c>
      <c r="C887" s="4" t="str">
        <f>IFERROR(__xludf.DUMMYFUNCTION("GOOGLETRANSLATE(B887,""id"",""en"")"),"['Login', 'failed', 'Please', 'reset', 'failed', 'how', 'check', 'tags',' right ',' pay ',' expensive ',' subscribe ',' add ',' check ',' apps', 'login', 'poor', '']")</f>
        <v>['Login', 'failed', 'Please', 'reset', 'failed', 'how', 'check', 'tags',' right ',' pay ',' expensive ',' subscribe ',' add ',' check ',' apps', 'login', 'poor', '']</v>
      </c>
      <c r="D887" s="4">
        <v>1.0</v>
      </c>
    </row>
    <row r="888" ht="15.75" customHeight="1">
      <c r="A888" s="1">
        <v>1001.0</v>
      </c>
      <c r="B888" s="4" t="s">
        <v>873</v>
      </c>
      <c r="C888" s="4" t="str">
        <f>IFERROR(__xludf.DUMMYFUNCTION("GOOGLETRANSLATE(B888,""id"",""en"")"),"['Disappointed', 'Money', 'Jamin', 'Liquid', 'Down', 'Subscribe', 'Date', 'January', 'News', ""]")</f>
        <v>['Disappointed', 'Money', 'Jamin', 'Liquid', 'Down', 'Subscribe', 'Date', 'January', 'News', "]</v>
      </c>
      <c r="D888" s="4">
        <v>1.0</v>
      </c>
    </row>
    <row r="889" ht="15.75" customHeight="1">
      <c r="A889" s="1">
        <v>1002.0</v>
      </c>
      <c r="B889" s="4" t="s">
        <v>874</v>
      </c>
      <c r="C889" s="4" t="str">
        <f>IFERROR(__xludf.DUMMYFUNCTION("GOOGLETRANSLATE(B889,""id"",""en"")"),"['', 'City', 'Blitar', 'service', 'outlets', 'Rumped', 'then', 'Traffic', 'Dateng', ""]")</f>
        <v>['', 'City', 'Blitar', 'service', 'outlets', 'Rumped', 'then', 'Traffic', 'Dateng', "]</v>
      </c>
      <c r="D889" s="4">
        <v>1.0</v>
      </c>
    </row>
    <row r="890" ht="15.75" customHeight="1">
      <c r="A890" s="1">
        <v>1003.0</v>
      </c>
      <c r="B890" s="4" t="s">
        <v>875</v>
      </c>
      <c r="C890" s="4" t="str">
        <f>IFERROR(__xludf.DUMMYFUNCTION("GOOGLETRANSLATE(B890,""id"",""en"")"),"['Knp', 'UDH', 'Registration', 'times', 'number', 'Different', 'EMAIL', 'Different', 'Login', 'Failed', 'Please', 'Good']")</f>
        <v>['Knp', 'UDH', 'Registration', 'times', 'number', 'Different', 'EMAIL', 'Different', 'Login', 'Failed', 'Please', 'Good']</v>
      </c>
      <c r="D890" s="4">
        <v>1.0</v>
      </c>
    </row>
    <row r="891" ht="15.75" customHeight="1">
      <c r="A891" s="1">
        <v>1004.0</v>
      </c>
      <c r="B891" s="4" t="s">
        <v>876</v>
      </c>
      <c r="C891" s="4" t="str">
        <f>IFERROR(__xludf.DUMMYFUNCTION("GOOGLETRANSLATE(B891,""id"",""en"")"),"['Love', 'a little', 'satisfied']")</f>
        <v>['Love', 'a little', 'satisfied']</v>
      </c>
      <c r="D891" s="4">
        <v>3.0</v>
      </c>
    </row>
    <row r="892" ht="15.75" customHeight="1">
      <c r="A892" s="1">
        <v>1006.0</v>
      </c>
      <c r="B892" s="4" t="s">
        <v>877</v>
      </c>
      <c r="C892" s="4" t="str">
        <f>IFERROR(__xludf.DUMMYFUNCTION("GOOGLETRANSLATE(B892,""id"",""en"")"),"['Application', 'Guna', 'see', 'Pay', 'Kenapasetia', 'Adu', 'Disturbs', 'Error', 'System', 'Wait', 'Honey']")</f>
        <v>['Application', 'Guna', 'see', 'Pay', 'Kenapasetia', 'Adu', 'Disturbs', 'Error', 'System', 'Wait', 'Honey']</v>
      </c>
      <c r="D892" s="4">
        <v>1.0</v>
      </c>
    </row>
    <row r="893" ht="15.75" customHeight="1">
      <c r="A893" s="1">
        <v>1007.0</v>
      </c>
      <c r="B893" s="4" t="s">
        <v>867</v>
      </c>
      <c r="C893" s="4" t="str">
        <f>IFERROR(__xludf.DUMMYFUNCTION("GOOGLETRANSLATE(B893,""id"",""en"")"),"['sippp']")</f>
        <v>['sippp']</v>
      </c>
      <c r="D893" s="4">
        <v>5.0</v>
      </c>
    </row>
    <row r="894" ht="15.75" customHeight="1">
      <c r="A894" s="1">
        <v>1008.0</v>
      </c>
      <c r="B894" s="4" t="s">
        <v>878</v>
      </c>
      <c r="C894" s="4" t="str">
        <f>IFERROR(__xludf.DUMMYFUNCTION("GOOGLETRANSLATE(B894,""id"",""en"")"),"['Indohome', 'Lost']")</f>
        <v>['Indohome', 'Lost']</v>
      </c>
      <c r="D894" s="4">
        <v>1.0</v>
      </c>
    </row>
    <row r="895" ht="15.75" customHeight="1">
      <c r="A895" s="1">
        <v>1009.0</v>
      </c>
      <c r="B895" s="4" t="s">
        <v>879</v>
      </c>
      <c r="C895" s="4" t="str">
        <f>IFERROR(__xludf.DUMMYFUNCTION("GOOGLETRANSLATE(B895,""id"",""en"")"),"['Hang', 'package', 'what', 'wifi', 'ttep', 'hang', 'hrus', 'reset', 'then', 'bkin', '']")</f>
        <v>['Hang', 'package', 'what', 'wifi', 'ttep', 'hang', 'hrus', 'reset', 'then', 'bkin', '']</v>
      </c>
      <c r="D895" s="4">
        <v>1.0</v>
      </c>
    </row>
    <row r="896" ht="15.75" customHeight="1">
      <c r="A896" s="1">
        <v>1010.0</v>
      </c>
      <c r="B896" s="4" t="s">
        <v>880</v>
      </c>
      <c r="C896" s="4" t="str">
        <f>IFERROR(__xludf.DUMMYFUNCTION("GOOGLETRANSLATE(B896,""id"",""en"")"),"['Good', 'Jaringn', 'Ijung', 'Cave', 'UDH', 'Tide', 'Mbps',' Knp ',' night ',' noon ',' late ',' ugly ',' jringn ',' cave ',' play ',' mobile ',' lejen ',' kntle ',' udh ',' cave ',' ride ',' mbps', 'ngin', 'kntle']")</f>
        <v>['Good', 'Jaringn', 'Ijung', 'Cave', 'UDH', 'Tide', 'Mbps',' Knp ',' night ',' noon ',' late ',' ugly ',' jringn ',' cave ',' play ',' mobile ',' lejen ',' kntle ',' udh ',' cave ',' ride ',' mbps', 'ngin', 'kntle']</v>
      </c>
      <c r="D896" s="4">
        <v>1.0</v>
      </c>
    </row>
    <row r="897" ht="15.75" customHeight="1">
      <c r="A897" s="1">
        <v>1011.0</v>
      </c>
      <c r="B897" s="4" t="s">
        <v>881</v>
      </c>
      <c r="C897" s="4" t="str">
        <f>IFERROR(__xludf.DUMMYFUNCTION("GOOGLETRANSLATE(B897,""id"",""en"")"),"['Masang', 'Smart', 'Memory', '']")</f>
        <v>['Masang', 'Smart', 'Memory', '']</v>
      </c>
      <c r="D897" s="4">
        <v>3.0</v>
      </c>
    </row>
    <row r="898" ht="15.75" customHeight="1">
      <c r="A898" s="1">
        <v>1012.0</v>
      </c>
      <c r="B898" s="4" t="s">
        <v>882</v>
      </c>
      <c r="C898" s="4" t="str">
        <f>IFERROR(__xludf.DUMMYFUNCTION("GOOGLETRANSLATE(B898,""id"",""en"")"),"['week', 'internet', 'use', 'told', 'pay', 'donated', 'service', 'internet', 'bad', 'yesterday', 'good', 'hnya', ' little ',' net ',' here ',' service ',' bad ', ""]")</f>
        <v>['week', 'internet', 'use', 'told', 'pay', 'donated', 'service', 'internet', 'bad', 'yesterday', 'good', 'hnya', ' little ',' net ',' here ',' service ',' bad ', "]</v>
      </c>
      <c r="D898" s="4">
        <v>1.0</v>
      </c>
    </row>
    <row r="899" ht="15.75" customHeight="1">
      <c r="A899" s="1">
        <v>1013.0</v>
      </c>
      <c r="B899" s="4" t="s">
        <v>883</v>
      </c>
      <c r="C899" s="4" t="str">
        <f>IFERROR(__xludf.DUMMYFUNCTION("GOOGLETRANSLATE(B899,""id"",""en"")"),"['Tidk', 'Login', 'Account', 'SMS', 'VeriFrasinya', 'Tidk', 'Send', 'System', 'Application', 'Please', 'Good', 'Thank', ' love']")</f>
        <v>['Tidk', 'Login', 'Account', 'SMS', 'VeriFrasinya', 'Tidk', 'Send', 'System', 'Application', 'Please', 'Good', 'Thank', ' love']</v>
      </c>
      <c r="D899" s="4">
        <v>1.0</v>
      </c>
    </row>
    <row r="900" ht="15.75" customHeight="1">
      <c r="A900" s="1">
        <v>1014.0</v>
      </c>
      <c r="B900" s="4" t="s">
        <v>884</v>
      </c>
      <c r="C900" s="4" t="str">
        <f>IFERROR(__xludf.DUMMYFUNCTION("GOOGLETRANSLATE(B900,""id"",""en"")"),"['Ingetin', 'Pay', 'Diligently', 'Quality', 'internet', 'please', 'payati', 'makas']")</f>
        <v>['Ingetin', 'Pay', 'Diligently', 'Quality', 'internet', 'please', 'payati', 'makas']</v>
      </c>
      <c r="D900" s="4">
        <v>1.0</v>
      </c>
    </row>
    <row r="901" ht="15.75" customHeight="1">
      <c r="A901" s="1">
        <v>1015.0</v>
      </c>
      <c r="B901" s="4" t="s">
        <v>885</v>
      </c>
      <c r="C901" s="4" t="str">
        <f>IFERROR(__xludf.DUMMYFUNCTION("GOOGLETRANSLATE(B901,""id"",""en"")"),"['net', 'fast', 'play', 'game', 'slow', 'severe', 'indihome', '']")</f>
        <v>['net', 'fast', 'play', 'game', 'slow', 'severe', 'indihome', '']</v>
      </c>
      <c r="D901" s="4">
        <v>1.0</v>
      </c>
    </row>
    <row r="902" ht="15.75" customHeight="1">
      <c r="A902" s="1">
        <v>1016.0</v>
      </c>
      <c r="B902" s="4" t="s">
        <v>886</v>
      </c>
      <c r="C902" s="4" t="str">
        <f>IFERROR(__xludf.DUMMYFUNCTION("GOOGLETRANSLATE(B902,""id"",""en"")"),"['Tagih', 'expensive', 'connection', 'rich', 'taaae']")</f>
        <v>['Tagih', 'expensive', 'connection', 'rich', 'taaae']</v>
      </c>
      <c r="D902" s="4">
        <v>1.0</v>
      </c>
    </row>
    <row r="903" ht="15.75" customHeight="1">
      <c r="A903" s="1">
        <v>1017.0</v>
      </c>
      <c r="B903" s="4" t="s">
        <v>887</v>
      </c>
      <c r="C903" s="4" t="str">
        <f>IFERROR(__xludf.DUMMYFUNCTION("GOOGLETRANSLATE(B903,""id"",""en"")"),"['Pakek', 'Indihome', 'Come on', 'Pakek', 'Indihome', 'just', 'right', 'Pairs',' get ',' tasty ',' net ',' game ',' Kaga ',' stable ',' kaga ',' play ',' game ',' yes']")</f>
        <v>['Pakek', 'Indihome', 'Come on', 'Pakek', 'Indihome', 'just', 'right', 'Pairs',' get ',' tasty ',' net ',' game ',' Kaga ',' stable ',' kaga ',' play ',' game ',' yes']</v>
      </c>
      <c r="D903" s="4">
        <v>1.0</v>
      </c>
    </row>
    <row r="904" ht="15.75" customHeight="1">
      <c r="A904" s="1">
        <v>1018.0</v>
      </c>
      <c r="B904" s="4" t="s">
        <v>888</v>
      </c>
      <c r="C904" s="4" t="str">
        <f>IFERROR(__xludf.DUMMYFUNCTION("GOOGLETRANSLATE(B904,""id"",""en"")"),"['Come', 'Indihome', 'Lot', 'signal', 'ilang', 'Nilagan', 'easy', 'red', 'please', 'yahh', 'pay', 'money', ' tired ',' rich ',' gin ',' hyphen ',' indihome ',' rare ',' reply ',' please ',' yahh ',' disappointed ', ""]")</f>
        <v>['Come', 'Indihome', 'Lot', 'signal', 'ilang', 'Nilagan', 'easy', 'red', 'please', 'yahh', 'pay', 'money', ' tired ',' rich ',' gin ',' hyphen ',' indihome ',' rare ',' reply ',' please ',' yahh ',' disappointed ', "]</v>
      </c>
      <c r="D904" s="4">
        <v>1.0</v>
      </c>
    </row>
    <row r="905" ht="15.75" customHeight="1">
      <c r="A905" s="1">
        <v>1020.0</v>
      </c>
      <c r="B905" s="4" t="s">
        <v>889</v>
      </c>
      <c r="C905" s="4" t="str">
        <f>IFERROR(__xludf.DUMMYFUNCTION("GOOGLETRANSLATE(B905,""id"",""en"")"),"['GMN', 'Sis', 'Download', 'then' login ',' code ',' OTP ',' NGGK ',' Send ',' enter ',' message ',' enter ',' Login ',' NGGK ',' GMN ',' Lane ',' Disappointed ']")</f>
        <v>['GMN', 'Sis', 'Download', 'then' login ',' code ',' OTP ',' NGGK ',' Send ',' enter ',' message ',' enter ',' Login ',' NGGK ',' GMN ',' Lane ',' Disappointed ']</v>
      </c>
      <c r="D905" s="4">
        <v>3.0</v>
      </c>
    </row>
    <row r="906" ht="15.75" customHeight="1">
      <c r="A906" s="1">
        <v>1021.0</v>
      </c>
      <c r="B906" s="4" t="s">
        <v>890</v>
      </c>
      <c r="C906" s="4" t="str">
        <f>IFERROR(__xludf.DUMMYFUNCTION("GOOGLETRANSLATE(B906,""id"",""en"")"),"['Lose', 'Application', 'Private', 'Error', 'Application']")</f>
        <v>['Lose', 'Application', 'Private', 'Error', 'Application']</v>
      </c>
      <c r="D906" s="4">
        <v>1.0</v>
      </c>
    </row>
    <row r="907" ht="15.75" customHeight="1">
      <c r="A907" s="1">
        <v>1022.0</v>
      </c>
      <c r="B907" s="4" t="s">
        <v>891</v>
      </c>
      <c r="C907" s="4" t="str">
        <f>IFERROR(__xludf.DUMMYFUNCTION("GOOGLETRANSLATE(B907,""id"",""en"")"),"['web', 'wifi', 'natural', 'lag', 'mb', '']")</f>
        <v>['web', 'wifi', 'natural', 'lag', 'mb', '']</v>
      </c>
      <c r="D907" s="4">
        <v>1.0</v>
      </c>
    </row>
    <row r="908" ht="15.75" customHeight="1">
      <c r="A908" s="1">
        <v>1023.0</v>
      </c>
      <c r="B908" s="4" t="s">
        <v>892</v>
      </c>
      <c r="C908" s="4" t="str">
        <f>IFERROR(__xludf.DUMMYFUNCTION("GOOGLETRANSLATE(B908,""id"",""en"")"),"['apk', 'pyekok', 'kenek', 'gawe']")</f>
        <v>['apk', 'pyekok', 'kenek', 'gawe']</v>
      </c>
      <c r="D908" s="4">
        <v>1.0</v>
      </c>
    </row>
    <row r="909" ht="15.75" customHeight="1">
      <c r="A909" s="1">
        <v>1024.0</v>
      </c>
      <c r="B909" s="4" t="s">
        <v>893</v>
      </c>
      <c r="C909" s="4" t="str">
        <f>IFERROR(__xludf.DUMMYFUNCTION("GOOGLETRANSLATE(B909,""id"",""en"")"),"['Application', 'Indihome']")</f>
        <v>['Application', 'Indihome']</v>
      </c>
      <c r="D909" s="4">
        <v>1.0</v>
      </c>
    </row>
    <row r="910" ht="15.75" customHeight="1">
      <c r="A910" s="1">
        <v>1025.0</v>
      </c>
      <c r="B910" s="4" t="s">
        <v>894</v>
      </c>
      <c r="C910" s="4" t="str">
        <f>IFERROR(__xludf.DUMMYFUNCTION("GOOGLETRANSLATE(B910,""id"",""en"")"),"['Net', 'ugly', 'already', 'pay', 'good', 'ugly', 'reported', 'results', 'strange', 'provider']")</f>
        <v>['Net', 'ugly', 'already', 'pay', 'good', 'ugly', 'reported', 'results', 'strange', 'provider']</v>
      </c>
      <c r="D910" s="4">
        <v>1.0</v>
      </c>
    </row>
    <row r="911" ht="15.75" customHeight="1">
      <c r="A911" s="1">
        <v>1026.0</v>
      </c>
      <c r="B911" s="4" t="s">
        <v>895</v>
      </c>
      <c r="C911" s="4" t="str">
        <f>IFERROR(__xludf.DUMMYFUNCTION("GOOGLETRANSLATE(B911,""id"",""en"")"),"['intentionally', 'love', 'boils', 'pafa', 'read', 'subscribe', 'or' langgang ',' indihome ',' wrong ',' good ',' until ',' Region ',' Jemana ',' Tasks', 'Really', 'Professional', 'Late', 'Pay', 'Fines',' Deer ',' Glass', 'Compensation', 'Mending', 'Movin"&amp;"g' , 'Mega', 'means',' Cut ',' Pay ',' How ',' Ngejin ',' Task ',' Office ',' Mega ',' Pernh ',' Disturbs', 'Sampe', ' Please, 'Action', 'continued', ""]")</f>
        <v>['intentionally', 'love', 'boils', 'pafa', 'read', 'subscribe', 'or' langgang ',' indihome ',' wrong ',' good ',' until ',' Region ',' Jemana ',' Tasks', 'Really', 'Professional', 'Late', 'Pay', 'Fines',' Deer ',' Glass', 'Compensation', 'Mending', 'Moving' , 'Mega', 'means',' Cut ',' Pay ',' How ',' Ngejin ',' Task ',' Office ',' Mega ',' Pernh ',' Disturbs', 'Sampe', ' Please, 'Action', 'continued', "]</v>
      </c>
      <c r="D911" s="4">
        <v>5.0</v>
      </c>
    </row>
    <row r="912" ht="15.75" customHeight="1">
      <c r="A912" s="1">
        <v>1027.0</v>
      </c>
      <c r="B912" s="4" t="s">
        <v>896</v>
      </c>
      <c r="C912" s="4" t="str">
        <f>IFERROR(__xludf.DUMMYFUNCTION("GOOGLETRANSLATE(B912,""id"",""en"")"),"['Disappointed', 'Nambah', 'number', 'Inet', 'Error', 'Delete', 'Add', 'Application', 'Tamabah', 'Upgrade', 'Error']")</f>
        <v>['Disappointed', 'Nambah', 'number', 'Inet', 'Error', 'Delete', 'Add', 'Application', 'Tamabah', 'Upgrade', 'Error']</v>
      </c>
      <c r="D912" s="4">
        <v>1.0</v>
      </c>
    </row>
    <row r="913" ht="15.75" customHeight="1">
      <c r="A913" s="1">
        <v>1028.0</v>
      </c>
      <c r="B913" s="4" t="s">
        <v>897</v>
      </c>
      <c r="C913" s="4" t="str">
        <f>IFERROR(__xludf.DUMMYFUNCTION("GOOGLETRANSLATE(B913,""id"",""en"")"),"['Indihome', 'expensive', 'Lot', 'Out', 'Thinking']")</f>
        <v>['Indihome', 'expensive', 'Lot', 'Out', 'Thinking']</v>
      </c>
      <c r="D913" s="4">
        <v>1.0</v>
      </c>
    </row>
    <row r="914" ht="15.75" customHeight="1">
      <c r="A914" s="1">
        <v>1029.0</v>
      </c>
      <c r="B914" s="4" t="s">
        <v>898</v>
      </c>
      <c r="C914" s="4" t="str">
        <f>IFERROR(__xludf.DUMMYFUNCTION("GOOGLETRANSLATE(B914,""id"",""en"")"),"['APK', 'broken', 'Bener', 'send', 'sms', 'gabisa', 'lol']")</f>
        <v>['APK', 'broken', 'Bener', 'send', 'sms', 'gabisa', 'lol']</v>
      </c>
      <c r="D914" s="4">
        <v>1.0</v>
      </c>
    </row>
    <row r="915" ht="15.75" customHeight="1">
      <c r="A915" s="1">
        <v>1030.0</v>
      </c>
      <c r="B915" s="4" t="s">
        <v>899</v>
      </c>
      <c r="C915" s="4" t="str">
        <f>IFERROR(__xludf.DUMMYFUNCTION("GOOGLETRANSLATE(B915,""id"",""en"")"),"['Application', 'Renew', 'Speed']")</f>
        <v>['Application', 'Renew', 'Speed']</v>
      </c>
      <c r="D915" s="4">
        <v>1.0</v>
      </c>
    </row>
    <row r="916" ht="15.75" customHeight="1">
      <c r="A916" s="1">
        <v>1031.0</v>
      </c>
      <c r="B916" s="4" t="s">
        <v>900</v>
      </c>
      <c r="C916" s="4" t="str">
        <f>IFERROR(__xludf.DUMMYFUNCTION("GOOGLETRANSLATE(B916,""id"",""en"")"),"['Disappointed', 'Indihome', 'net', 'bad', 'annoyed', 'slamming', 'wifi', '']")</f>
        <v>['Disappointed', 'Indihome', 'net', 'bad', 'annoyed', 'slamming', 'wifi', '']</v>
      </c>
      <c r="D916" s="4">
        <v>1.0</v>
      </c>
    </row>
    <row r="917" ht="15.75" customHeight="1">
      <c r="A917" s="1">
        <v>1032.0</v>
      </c>
      <c r="B917" s="4" t="s">
        <v>901</v>
      </c>
      <c r="C917" s="4" t="str">
        <f>IFERROR(__xludf.DUMMYFUNCTION("GOOGLETRANSLATE(B917,""id"",""en"")"),"['Lemotttttt']")</f>
        <v>['Lemotttttt']</v>
      </c>
      <c r="D917" s="4">
        <v>1.0</v>
      </c>
    </row>
    <row r="918" ht="15.75" customHeight="1">
      <c r="A918" s="1">
        <v>1033.0</v>
      </c>
      <c r="B918" s="4" t="s">
        <v>902</v>
      </c>
      <c r="C918" s="4" t="str">
        <f>IFERROR(__xludf.DUMMYFUNCTION("GOOGLETRANSLATE(B918,""id"",""en"")"),"['Indihome', 'Lot']")</f>
        <v>['Indihome', 'Lot']</v>
      </c>
      <c r="D918" s="4">
        <v>1.0</v>
      </c>
    </row>
    <row r="919" ht="15.75" customHeight="1">
      <c r="A919" s="1">
        <v>1034.0</v>
      </c>
      <c r="B919" s="4" t="s">
        <v>903</v>
      </c>
      <c r="C919" s="4" t="str">
        <f>IFERROR(__xludf.DUMMYFUNCTION("GOOGLETRANSLATE(B919,""id"",""en"")"),"['Indihome', 'nets',' slow ',' pay ',' want ',' fast ',' access', 'comfortable', 'lot', 'yesterday', 'net', 'diruma', ' Leet ',' please ',' SENAH ',' System ',' Pay ',' fast ']")</f>
        <v>['Indihome', 'nets',' slow ',' pay ',' want ',' fast ',' access', 'comfortable', 'lot', 'yesterday', 'net', 'diruma', ' Leet ',' please ',' SENAH ',' System ',' Pay ',' fast ']</v>
      </c>
      <c r="D919" s="4">
        <v>1.0</v>
      </c>
    </row>
    <row r="920" ht="15.75" customHeight="1">
      <c r="A920" s="1">
        <v>1035.0</v>
      </c>
      <c r="B920" s="4" t="s">
        <v>904</v>
      </c>
      <c r="C920" s="4" t="str">
        <f>IFERROR(__xludf.DUMMYFUNCTION("GOOGLETRANSLATE(B920,""id"",""en"")"),"['application', 'like', 'error', 'expandable', 'ugly']")</f>
        <v>['application', 'like', 'error', 'expandable', 'ugly']</v>
      </c>
      <c r="D920" s="4">
        <v>1.0</v>
      </c>
    </row>
    <row r="921" ht="15.75" customHeight="1">
      <c r="A921" s="1">
        <v>1036.0</v>
      </c>
      <c r="B921" s="4" t="s">
        <v>905</v>
      </c>
      <c r="C921" s="4" t="str">
        <f>IFERROR(__xludf.DUMMYFUNCTION("GOOGLETRANSLATE(B921,""id"",""en"")"),"['', 'Price', 'Naek', 'Internet', 'Lot', 'Report', 'Gada', 'Action', 'FUP', 'Down', 'GB', 'GB', 'GAD ',' Information ',' Buru ',' threat ',' deh ']")</f>
        <v>['', 'Price', 'Naek', 'Internet', 'Lot', 'Report', 'Gada', 'Action', 'FUP', 'Down', 'GB', 'GB', 'GAD ',' Information ',' Buru ',' threat ',' deh ']</v>
      </c>
      <c r="D921" s="4">
        <v>1.0</v>
      </c>
    </row>
    <row r="922" ht="15.75" customHeight="1">
      <c r="A922" s="1">
        <v>1037.0</v>
      </c>
      <c r="B922" s="4" t="s">
        <v>906</v>
      </c>
      <c r="C922" s="4" t="str">
        <f>IFERROR(__xludf.DUMMYFUNCTION("GOOGLETRANSLATE(B922,""id"",""en"")"),"['Good', 'Service', 'Thankyou', 'Indihome', ""]")</f>
        <v>['Good', 'Service', 'Thankyou', 'Indihome', "]</v>
      </c>
      <c r="D922" s="4">
        <v>5.0</v>
      </c>
    </row>
    <row r="923" ht="15.75" customHeight="1">
      <c r="A923" s="1">
        <v>1038.0</v>
      </c>
      <c r="B923" s="4" t="s">
        <v>907</v>
      </c>
      <c r="C923" s="4" t="str">
        <f>IFERROR(__xludf.DUMMYFUNCTION("GOOGLETRANSLATE(B923,""id"",""en"")"),"['Application', 'Renew', 'Speed', '']")</f>
        <v>['Application', 'Renew', 'Speed', '']</v>
      </c>
      <c r="D923" s="4">
        <v>5.0</v>
      </c>
    </row>
    <row r="924" ht="15.75" customHeight="1">
      <c r="A924" s="1">
        <v>1040.0</v>
      </c>
      <c r="B924" s="4" t="s">
        <v>908</v>
      </c>
      <c r="C924" s="4" t="str">
        <f>IFERROR(__xludf.DUMMYFUNCTION("GOOGLETRANSLATE(B924,""id"",""en"")"),"['Application', 'Login', 'Liat', 'appears',' menu ',' login ',' Gerin ',' see ',' appear ',' menu ',' please ',' repay ',' Day ',' already ',' Kek ',' That's']")</f>
        <v>['Application', 'Login', 'Liat', 'appears',' menu ',' login ',' Gerin ',' see ',' appear ',' menu ',' please ',' repay ',' Day ',' already ',' Kek ',' That's']</v>
      </c>
      <c r="D924" s="4">
        <v>2.0</v>
      </c>
    </row>
    <row r="925" ht="15.75" customHeight="1">
      <c r="A925" s="1">
        <v>1041.0</v>
      </c>
      <c r="B925" s="4" t="s">
        <v>909</v>
      </c>
      <c r="C925" s="4" t="str">
        <f>IFERROR(__xludf.DUMMYFUNCTION("GOOGLETRANSLATE(B925,""id"",""en"")"),"['internet', 'kagak', 'make', 'person', 'ngelag', 'kya', 'nunngu', 'snail', 'kokok']")</f>
        <v>['internet', 'kagak', 'make', 'person', 'ngelag', 'kya', 'nunngu', 'snail', 'kokok']</v>
      </c>
      <c r="D925" s="4">
        <v>1.0</v>
      </c>
    </row>
    <row r="926" ht="15.75" customHeight="1">
      <c r="A926" s="1">
        <v>1042.0</v>
      </c>
      <c r="B926" s="4" t="s">
        <v>910</v>
      </c>
      <c r="C926" s="4" t="str">
        <f>IFERROR(__xludf.DUMMYFUNCTION("GOOGLETRANSLATE(B926,""id"",""en"")"),"['go to', 'ride', 'fast', 'Mbps', 'Mbps', 'Definitely', 'tags', 'complain', 'go to', 'blm', 'news', 'call' Go up ',' fast ',' bad ']")</f>
        <v>['go to', 'ride', 'fast', 'Mbps', 'Mbps', 'Definitely', 'tags', 'complain', 'go to', 'blm', 'news', 'call' Go up ',' fast ',' bad ']</v>
      </c>
      <c r="D926" s="4">
        <v>1.0</v>
      </c>
    </row>
    <row r="927" ht="15.75" customHeight="1">
      <c r="A927" s="1">
        <v>1043.0</v>
      </c>
      <c r="B927" s="4" t="s">
        <v>911</v>
      </c>
      <c r="C927" s="4" t="str">
        <f>IFERROR(__xludf.DUMMYFUNCTION("GOOGLETRANSLATE(B927,""id"",""en"")"),"['APK', 'Look', 'Details', 'Tagih', 'Open', '']")</f>
        <v>['APK', 'Look', 'Details', 'Tagih', 'Open', '']</v>
      </c>
      <c r="D927" s="4">
        <v>2.0</v>
      </c>
    </row>
    <row r="928" ht="15.75" customHeight="1">
      <c r="A928" s="1">
        <v>1044.0</v>
      </c>
      <c r="B928" s="4" t="s">
        <v>912</v>
      </c>
      <c r="C928" s="4" t="str">
        <f>IFERROR(__xludf.DUMMYFUNCTION("GOOGLETRANSLATE(B928,""id"",""en"")"),"['Slow', 'Response', 'Laggang', 'Megakan', 'Adu']")</f>
        <v>['Slow', 'Response', 'Laggang', 'Megakan', 'Adu']</v>
      </c>
      <c r="D928" s="4">
        <v>1.0</v>
      </c>
    </row>
    <row r="929" ht="15.75" customHeight="1">
      <c r="A929" s="1">
        <v>1045.0</v>
      </c>
      <c r="B929" s="4" t="s">
        <v>913</v>
      </c>
      <c r="C929" s="4" t="str">
        <f>IFERROR(__xludf.DUMMYFUNCTION("GOOGLETRANSLATE(B929,""id"",""en"")"),"['buy', 'add', 'easy', 'really', 'direct', 'active']")</f>
        <v>['buy', 'add', 'easy', 'really', 'direct', 'active']</v>
      </c>
      <c r="D929" s="4">
        <v>5.0</v>
      </c>
    </row>
    <row r="930" ht="15.75" customHeight="1">
      <c r="A930" s="1">
        <v>1046.0</v>
      </c>
      <c r="B930" s="4" t="s">
        <v>914</v>
      </c>
      <c r="C930" s="4" t="str">
        <f>IFERROR(__xludf.DUMMYFUNCTION("GOOGLETRANSLATE(B930,""id"",""en"")"),"['already', 'good', 'merchand', 'LOTIN', 'Min']")</f>
        <v>['already', 'good', 'merchand', 'LOTIN', 'Min']</v>
      </c>
      <c r="D930" s="4">
        <v>5.0</v>
      </c>
    </row>
    <row r="931" ht="15.75" customHeight="1">
      <c r="A931" s="1">
        <v>1047.0</v>
      </c>
      <c r="B931" s="4" t="s">
        <v>915</v>
      </c>
      <c r="C931" s="4" t="str">
        <f>IFERROR(__xludf.DUMMYFUNCTION("GOOGLETRANSLATE(B931,""id"",""en"")"),"['Application', 'Indihome', 'benefits', 'really', 'buy', 'add', 'easy']")</f>
        <v>['Application', 'Indihome', 'benefits', 'really', 'buy', 'add', 'easy']</v>
      </c>
      <c r="D931" s="4">
        <v>5.0</v>
      </c>
    </row>
    <row r="932" ht="15.75" customHeight="1">
      <c r="A932" s="1">
        <v>1048.0</v>
      </c>
      <c r="B932" s="4" t="s">
        <v>916</v>
      </c>
      <c r="C932" s="4" t="str">
        <f>IFERROR(__xludf.DUMMYFUNCTION("GOOGLETRANSLATE(B932,""id"",""en"")"),"['Good', 'really', 'my apk']")</f>
        <v>['Good', 'really', 'my apk']</v>
      </c>
      <c r="D932" s="4">
        <v>5.0</v>
      </c>
    </row>
    <row r="933" ht="15.75" customHeight="1">
      <c r="A933" s="1">
        <v>1049.0</v>
      </c>
      <c r="B933" s="4" t="s">
        <v>917</v>
      </c>
      <c r="C933" s="4" t="str">
        <f>IFERROR(__xludf.DUMMYFUNCTION("GOOGLETRANSLATE(B933,""id"",""en"")"),"['Cancel', 'Subscribe', 'Indihome', 'FAIL']")</f>
        <v>['Cancel', 'Subscribe', 'Indihome', 'FAIL']</v>
      </c>
      <c r="D933" s="4">
        <v>1.0</v>
      </c>
    </row>
    <row r="934" ht="15.75" customHeight="1">
      <c r="A934" s="1">
        <v>1050.0</v>
      </c>
      <c r="B934" s="4" t="s">
        <v>918</v>
      </c>
      <c r="C934" s="4" t="str">
        <f>IFERROR(__xludf.DUMMYFUNCTION("GOOGLETRANSLATE(B934,""id"",""en"")"),"['Difficult', 'enter']")</f>
        <v>['Difficult', 'enter']</v>
      </c>
      <c r="D934" s="4">
        <v>5.0</v>
      </c>
    </row>
    <row r="935" ht="15.75" customHeight="1">
      <c r="A935" s="1">
        <v>1051.0</v>
      </c>
      <c r="B935" s="4" t="s">
        <v>919</v>
      </c>
      <c r="C935" s="4" t="str">
        <f>IFERROR(__xludf.DUMMYFUNCTION("GOOGLETRANSLATE(B935,""id"",""en"")"),"['Report', 'disturbing', 'fast', 'direct', 'hyphen', 'technical', 'cool', 'forward','AA ']")</f>
        <v>['Report', 'disturbing', 'fast', 'direct', 'hyphen', 'technical', 'cool', 'forward','AA ']</v>
      </c>
      <c r="D935" s="4">
        <v>5.0</v>
      </c>
    </row>
    <row r="936" ht="15.75" customHeight="1">
      <c r="A936" s="1">
        <v>1052.0</v>
      </c>
      <c r="B936" s="4" t="s">
        <v>920</v>
      </c>
      <c r="C936" s="4" t="str">
        <f>IFERROR(__xludf.DUMMYFUNCTION("GOOGLETRANSLATE(B936,""id"",""en"")"),"['Bener', 'WiFi', 'Worth', 'Trash', 'Subscribe', 'WiFi', 'Think', 'Already', 'Since', 'Fast', 'Internet', 'Sampek', ' kbps', 'fast', 'download', 'Mbps',' down ',' drastically ',' really ',' emang ',' wifi ',' garbage ']")</f>
        <v>['Bener', 'WiFi', 'Worth', 'Trash', 'Subscribe', 'WiFi', 'Think', 'Already', 'Since', 'Fast', 'Internet', 'Sampek', ' kbps', 'fast', 'download', 'Mbps',' down ',' drastically ',' really ',' emang ',' wifi ',' garbage ']</v>
      </c>
      <c r="D936" s="4">
        <v>1.0</v>
      </c>
    </row>
    <row r="937" ht="15.75" customHeight="1">
      <c r="A937" s="1">
        <v>1053.0</v>
      </c>
      <c r="B937" s="4" t="s">
        <v>921</v>
      </c>
      <c r="C937" s="4" t="str">
        <f>IFERROR(__xludf.DUMMYFUNCTION("GOOGLETRANSLATE(B937,""id"",""en"")"),"['signal', 'lot', 'really', 'stable', 'already', 'subscribe', 'signal', 'ugly']")</f>
        <v>['signal', 'lot', 'really', 'stable', 'already', 'subscribe', 'signal', 'ugly']</v>
      </c>
      <c r="D937" s="4">
        <v>1.0</v>
      </c>
    </row>
    <row r="938" ht="15.75" customHeight="1">
      <c r="A938" s="1">
        <v>1054.0</v>
      </c>
      <c r="B938" s="4" t="s">
        <v>922</v>
      </c>
      <c r="C938" s="4" t="str">
        <f>IFERROR(__xludf.DUMMYFUNCTION("GOOGLETRANSLATE(B938,""id"",""en"")"),"['Tide', 'reach', 'cable', 'install', 'neighbor', 'install', 'Indihome', 'distance', ""]")</f>
        <v>['Tide', 'reach', 'cable', 'install', 'neighbor', 'install', 'Indihome', 'distance', "]</v>
      </c>
      <c r="D938" s="4">
        <v>5.0</v>
      </c>
    </row>
    <row r="939" ht="15.75" customHeight="1">
      <c r="A939" s="1">
        <v>1055.0</v>
      </c>
      <c r="B939" s="4" t="s">
        <v>923</v>
      </c>
      <c r="C939" s="4" t="str">
        <f>IFERROR(__xludf.DUMMYFUNCTION("GOOGLETRANSLATE(B939,""id"",""en"")"),"['internet', 'fast', 'nelp', 'satisfied']")</f>
        <v>['internet', 'fast', 'nelp', 'satisfied']</v>
      </c>
      <c r="D939" s="4">
        <v>5.0</v>
      </c>
    </row>
    <row r="940" ht="15.75" customHeight="1">
      <c r="A940" s="1">
        <v>1056.0</v>
      </c>
      <c r="B940" s="4" t="s">
        <v>924</v>
      </c>
      <c r="C940" s="4" t="str">
        <f>IFERROR(__xludf.DUMMYFUNCTION("GOOGLETRANSLATE(B940,""id"",""en"")"),"['Failed', 'Renew', 'Speed']")</f>
        <v>['Failed', 'Renew', 'Speed']</v>
      </c>
      <c r="D940" s="4">
        <v>1.0</v>
      </c>
    </row>
    <row r="941" ht="15.75" customHeight="1">
      <c r="A941" s="1">
        <v>1057.0</v>
      </c>
      <c r="B941" s="4" t="s">
        <v>925</v>
      </c>
      <c r="C941" s="4" t="str">
        <f>IFERROR(__xludf.DUMMYFUNCTION("GOOGLETRANSLATE(B941,""id"",""en"")"),"['Info', 'available', 'application', 'Different', 'I', 'technician', 'jargon', 'reach', 'remote', 'country', 'according to', 'Alas',' Net ',' Full ',' Wait ',' Wait ',' Business', 'Attract', 'Subscribe']")</f>
        <v>['Info', 'available', 'application', 'Different', 'I', 'technician', 'jargon', 'reach', 'remote', 'country', 'according to', 'Alas',' Net ',' Full ',' Wait ',' Wait ',' Business', 'Attract', 'Subscribe']</v>
      </c>
      <c r="D941" s="4">
        <v>1.0</v>
      </c>
    </row>
    <row r="942" ht="15.75" customHeight="1">
      <c r="A942" s="1">
        <v>1059.0</v>
      </c>
      <c r="B942" s="4" t="s">
        <v>926</v>
      </c>
      <c r="C942" s="4" t="str">
        <f>IFERROR(__xludf.DUMMYFUNCTION("GOOGLETRANSLATE(B942,""id"",""en"")"),"['Talikin', 'money', 'deposit', 'cave', 'month', 'bro,' subscribe ',' reversed ',' inbok ',' service ',' application ',' sosmed ',' Response ',' Promise ',' Doang ',' Realization ',' Defended ',' Money ',' Deposit ', ""]")</f>
        <v>['Talikin', 'money', 'deposit', 'cave', 'month', 'bro,' subscribe ',' reversed ',' inbok ',' service ',' application ',' sosmed ',' Response ',' Promise ',' Doang ',' Realization ',' Defended ',' Money ',' Deposit ', "]</v>
      </c>
      <c r="D942" s="4">
        <v>1.0</v>
      </c>
    </row>
    <row r="943" ht="15.75" customHeight="1">
      <c r="A943" s="1">
        <v>1060.0</v>
      </c>
      <c r="B943" s="4" t="s">
        <v>927</v>
      </c>
      <c r="C943" s="4" t="str">
        <f>IFERROR(__xludf.DUMMYFUNCTION("GOOGLETRANSLATE(B943,""id"",""en"")"),"['Install', 'Indihome', 'home', 'msh', 'hrs',' waiting ',' pole ',' net ',' full ',' hope ',' area ',' village ',' Coconut ',' citayam ',' pairs', 'pole', 'favors',' indihome ',' home ', ""]")</f>
        <v>['Install', 'Indihome', 'home', 'msh', 'hrs',' waiting ',' pole ',' net ',' full ',' hope ',' area ',' village ',' Coconut ',' citayam ',' pairs', 'pole', 'favors',' indihome ',' home ', "]</v>
      </c>
      <c r="D943" s="4">
        <v>4.0</v>
      </c>
    </row>
    <row r="944" ht="15.75" customHeight="1">
      <c r="A944" s="1">
        <v>1061.0</v>
      </c>
      <c r="B944" s="4" t="s">
        <v>928</v>
      </c>
      <c r="C944" s="4" t="str">
        <f>IFERROR(__xludf.DUMMYFUNCTION("GOOGLETRANSLATE(B944,""id"",""en"")"),"['Buy', 'Package', 'Problems', 'Sis', 'Application', 'Yesterday', 'Current']")</f>
        <v>['Buy', 'Package', 'Problems', 'Sis', 'Application', 'Yesterday', 'Current']</v>
      </c>
      <c r="D944" s="4">
        <v>4.0</v>
      </c>
    </row>
    <row r="945" ht="15.75" customHeight="1">
      <c r="A945" s="1">
        <v>1062.0</v>
      </c>
      <c r="B945" s="4" t="s">
        <v>929</v>
      </c>
      <c r="C945" s="4" t="str">
        <f>IFERROR(__xludf.DUMMYFUNCTION("GOOGLETRANSLATE(B945,""id"",""en"")"),"['Install', 'Indihome', 'Region', 'Kampung', 'Coconut', 'Citayam', 'Msh', 'HRS', 'Wait', 'Pole', 'Net', 'Full', ' Moga ',' fast ',' pairs', 'pole']")</f>
        <v>['Install', 'Indihome', 'Region', 'Kampung', 'Coconut', 'Citayam', 'Msh', 'HRS', 'Wait', 'Pole', 'Net', 'Full', ' Moga ',' fast ',' pairs', 'pole']</v>
      </c>
      <c r="D945" s="4">
        <v>5.0</v>
      </c>
    </row>
    <row r="946" ht="15.75" customHeight="1">
      <c r="A946" s="1">
        <v>1063.0</v>
      </c>
      <c r="B946" s="4" t="s">
        <v>930</v>
      </c>
      <c r="C946" s="4" t="str">
        <f>IFERROR(__xludf.DUMMYFUNCTION("GOOGLETRANSLATE(B946,""id"",""en"")"),"['Package', 'Sya', 'Good', 'Thank you', 'Indihome']")</f>
        <v>['Package', 'Sya', 'Good', 'Thank you', 'Indihome']</v>
      </c>
      <c r="D946" s="4">
        <v>5.0</v>
      </c>
    </row>
    <row r="947" ht="15.75" customHeight="1">
      <c r="A947" s="1">
        <v>1064.0</v>
      </c>
      <c r="B947" s="4" t="s">
        <v>931</v>
      </c>
      <c r="C947" s="4" t="str">
        <f>IFERROR(__xludf.DUMMYFUNCTION("GOOGLETRANSLATE(B947,""id"",""en"")"),"['Disappointed', 'Indihome', 'Application', 'Error', 'NDK', 'Open', '']")</f>
        <v>['Disappointed', 'Indihome', 'Application', 'Error', 'NDK', 'Open', '']</v>
      </c>
      <c r="D947" s="4">
        <v>1.0</v>
      </c>
    </row>
    <row r="948" ht="15.75" customHeight="1">
      <c r="A948" s="1">
        <v>1065.0</v>
      </c>
      <c r="B948" s="4" t="s">
        <v>932</v>
      </c>
      <c r="C948" s="4" t="str">
        <f>IFERROR(__xludf.DUMMYFUNCTION("GOOGLETRANSLATE(B948,""id"",""en"")"),"['Indihome', 'place', 'Must', 'Loss', 'Report', 'TPI', 'continued', ""]")</f>
        <v>['Indihome', 'place', 'Must', 'Loss', 'Report', 'TPI', 'continued', "]</v>
      </c>
      <c r="D948" s="4">
        <v>1.0</v>
      </c>
    </row>
    <row r="949" ht="15.75" customHeight="1">
      <c r="A949" s="1">
        <v>1066.0</v>
      </c>
      <c r="B949" s="4" t="s">
        <v>933</v>
      </c>
      <c r="C949" s="4" t="str">
        <f>IFERROR(__xludf.DUMMYFUNCTION("GOOGLETRANSLATE(B949,""id"",""en"")"),"['wifi', 'dead', 'tags', 'month', 'please', 'professional']")</f>
        <v>['wifi', 'dead', 'tags', 'month', 'please', 'professional']</v>
      </c>
      <c r="D949" s="4">
        <v>3.0</v>
      </c>
    </row>
    <row r="950" ht="15.75" customHeight="1">
      <c r="A950" s="1">
        <v>1068.0</v>
      </c>
      <c r="B950" s="4" t="s">
        <v>934</v>
      </c>
      <c r="C950" s="4" t="str">
        <f>IFERROR(__xludf.DUMMYFUNCTION("GOOGLETRANSLATE(B950,""id"",""en"")"),"['net', 'signal', 'ugly', 'Telkom', 'Indihome', 'Amanah', 'Tipu', 'Subscribe', 'according to', 'Promise', 'Subscribe', 'Indihome', ' February ',' PAS ',' Promise ',' Price ',' Package ',' Mbps', 'FUP', 'GB', 'Price', 'Check', 'Application', 'Indihome', 'I"&amp;"nstall' , 'FUP', 'down', 'check', 'right', 'down', 'GB', 'complain', 'indihome', 'bright', 'indihome', 'clear', 'entered', ' Sense ', ""]")</f>
        <v>['net', 'signal', 'ugly', 'Telkom', 'Indihome', 'Amanah', 'Tipu', 'Subscribe', 'according to', 'Promise', 'Subscribe', 'Indihome', ' February ',' PAS ',' Promise ',' Price ',' Package ',' Mbps', 'FUP', 'GB', 'Price', 'Check', 'Application', 'Indihome', 'Install' , 'FUP', 'down', 'check', 'right', 'down', 'GB', 'complain', 'indihome', 'bright', 'indihome', 'clear', 'entered', ' Sense ', "]</v>
      </c>
      <c r="D950" s="4">
        <v>1.0</v>
      </c>
    </row>
    <row r="951" ht="15.75" customHeight="1">
      <c r="A951" s="1">
        <v>1069.0</v>
      </c>
      <c r="B951" s="4" t="s">
        <v>935</v>
      </c>
      <c r="C951" s="4" t="str">
        <f>IFERROR(__xludf.DUMMYFUNCTION("GOOGLETRANSLATE(B951,""id"",""en"")"),"['', 'direction', 'application', 'just', 'function', 'must', 'bad', 'pay', 'ribetin', 'klu', 'late', 'hit', 'fine ']")</f>
        <v>['', 'direction', 'application', 'just', 'function', 'must', 'bad', 'pay', 'ribetin', 'klu', 'late', 'hit', 'fine ']</v>
      </c>
      <c r="D951" s="4">
        <v>1.0</v>
      </c>
    </row>
    <row r="952" ht="15.75" customHeight="1">
      <c r="A952" s="1">
        <v>1070.0</v>
      </c>
      <c r="B952" s="4" t="s">
        <v>108</v>
      </c>
      <c r="C952" s="4" t="str">
        <f>IFERROR(__xludf.DUMMYFUNCTION("GOOGLETRANSLATE(B952,""id"",""en"")"),"['', '']")</f>
        <v>['', '']</v>
      </c>
      <c r="D952" s="4">
        <v>5.0</v>
      </c>
    </row>
    <row r="953" ht="15.75" customHeight="1">
      <c r="A953" s="1">
        <v>1071.0</v>
      </c>
      <c r="B953" s="4" t="s">
        <v>936</v>
      </c>
      <c r="C953" s="4" t="str">
        <f>IFERROR(__xludf.DUMMYFUNCTION("GOOGLETRANSLATE(B953,""id"",""en"")"),"['oath', 'no', 'comfortable', 'use', 'indihome', 'slow', 'right', 'pay', 'expensive', 'performance', 'zero', 'move', ' Application ',' BUMN ',' Performance ',' Destroyed ']")</f>
        <v>['oath', 'no', 'comfortable', 'use', 'indihome', 'slow', 'right', 'pay', 'expensive', 'performance', 'zero', 'move', ' Application ',' BUMN ',' Performance ',' Destroyed ']</v>
      </c>
      <c r="D953" s="4">
        <v>1.0</v>
      </c>
    </row>
    <row r="954" ht="15.75" customHeight="1">
      <c r="A954" s="1">
        <v>1072.0</v>
      </c>
      <c r="B954" s="4" t="s">
        <v>937</v>
      </c>
      <c r="C954" s="4" t="str">
        <f>IFERROR(__xludf.DUMMYFUNCTION("GOOGLETRANSLATE(B954,""id"",""en"")"),"['Application', 'Batalin', 'Subscribe', 'Simles', 'FAILURE', 'SPECIAL', 'INDIHOME', 'NETWORK', 'LEGAR', 'Use', 'Mbps']")</f>
        <v>['Application', 'Batalin', 'Subscribe', 'Simles', 'FAILURE', 'SPECIAL', 'INDIHOME', 'NETWORK', 'LEGAR', 'Use', 'Mbps']</v>
      </c>
      <c r="D954" s="4">
        <v>1.0</v>
      </c>
    </row>
    <row r="955" ht="15.75" customHeight="1">
      <c r="A955" s="1">
        <v>1073.0</v>
      </c>
      <c r="B955" s="4" t="s">
        <v>938</v>
      </c>
      <c r="C955" s="4" t="str">
        <f>IFERROR(__xludf.DUMMYFUNCTION("GOOGLETRANSLATE(B955,""id"",""en"")"),"['effort', 'corruption', 'nets',' Nge ',' lag ',' severe ',' people ',' complaints', 'ngak', 'business',' foreign ',' competitiveness', ' TELKOM ',' INDIHOME ']")</f>
        <v>['effort', 'corruption', 'nets',' Nge ',' lag ',' severe ',' people ',' complaints', 'ngak', 'business',' foreign ',' competitiveness', ' TELKOM ',' INDIHOME ']</v>
      </c>
      <c r="D955" s="4">
        <v>1.0</v>
      </c>
    </row>
    <row r="956" ht="15.75" customHeight="1">
      <c r="A956" s="1">
        <v>1074.0</v>
      </c>
      <c r="B956" s="4" t="s">
        <v>939</v>
      </c>
      <c r="C956" s="4" t="str">
        <f>IFERROR(__xludf.DUMMYFUNCTION("GOOGLETRANSLATE(B956,""id"",""en"")"),"['already', 'subscribe', 'indihome', 'use', 'net', 'good', 'complain', 'entry', 'net', 'ugly', 'ugly', 'due to' Disturbs', 'work', 'because', 'use', 'internet', 'crucial', 'work', 'strategy', 'marketing', 'indihome', 'smooth', 'ugly', 'message' , 'Subscri"&amp;"be', 'already', 'that's', 'net', 'shame', ""]")</f>
        <v>['already', 'subscribe', 'indihome', 'use', 'net', 'good', 'complain', 'entry', 'net', 'ugly', 'ugly', 'due to' Disturbs', 'work', 'because', 'use', 'internet', 'crucial', 'work', 'strategy', 'marketing', 'indihome', 'smooth', 'ugly', 'message' , 'Subscribe', 'already', 'that's', 'net', 'shame', "]</v>
      </c>
      <c r="D956" s="4">
        <v>1.0</v>
      </c>
    </row>
    <row r="957" ht="15.75" customHeight="1">
      <c r="A957" s="1">
        <v>1075.0</v>
      </c>
      <c r="B957" s="4" t="s">
        <v>940</v>
      </c>
      <c r="C957" s="4" t="str">
        <f>IFERROR(__xludf.DUMMYFUNCTION("GOOGLETRANSLATE(B957,""id"",""en"")"),"['MOSAPAN', 'TROBEL', 'Tok', 'ilang', 'Planggar', 'Gara', 'signal', 'lag']")</f>
        <v>['MOSAPAN', 'TROBEL', 'Tok', 'ilang', 'Planggar', 'Gara', 'signal', 'lag']</v>
      </c>
      <c r="D957" s="4">
        <v>1.0</v>
      </c>
    </row>
    <row r="958" ht="15.75" customHeight="1">
      <c r="A958" s="1">
        <v>1076.0</v>
      </c>
      <c r="B958" s="4" t="s">
        <v>941</v>
      </c>
      <c r="C958" s="4" t="str">
        <f>IFERROR(__xludf.DUMMYFUNCTION("GOOGLETRANSLATE(B958,""id"",""en"")"),"['Please', 'Wait', 'Ajg', 'Lahh', 'Udh', 'Clock', 'Cave', 'Wait']")</f>
        <v>['Please', 'Wait', 'Ajg', 'Lahh', 'Udh', 'Clock', 'Cave', 'Wait']</v>
      </c>
      <c r="D958" s="4">
        <v>1.0</v>
      </c>
    </row>
    <row r="959" ht="15.75" customHeight="1">
      <c r="A959" s="1">
        <v>1077.0</v>
      </c>
      <c r="B959" s="4" t="s">
        <v>942</v>
      </c>
      <c r="C959" s="4" t="str">
        <f>IFERROR(__xludf.DUMMYFUNCTION("GOOGLETRANSLATE(B959,""id"",""en"")"),"['cave', 'ama', 'cave', 'push', 'rank', 'war', 'ngellag', 'run out', 'dead', 'lose', 'purpose', 'kyk', ' cave ',' Neng ',' calm ',' daily ',' emotion ',' morning ',' gebrak ',' table ',' noon ',' slam ',' night ',' burn ',' house ' , 'Gara', 'Gars',' ngel"&amp;"eggggggggggggggggg ',' cave ',' playopia ',' games', 'bits',' bisaaaaa ',' ngelaggg ',' trs', 'ngelag', ' TRSSSS ',' Cave ',' Have ',' Play ',' What ',' Pou ',' Please ',' Laaa ',' Cave ',' Open ',' Play ',' Store ',' comment ' , 'delay', 'severe']")</f>
        <v>['cave', 'ama', 'cave', 'push', 'rank', 'war', 'ngellag', 'run out', 'dead', 'lose', 'purpose', 'kyk', ' cave ',' Neng ',' calm ',' daily ',' emotion ',' morning ',' gebrak ',' table ',' noon ',' slam ',' night ',' burn ',' house ' , 'Gara', 'Gars',' ngeleggggggggggggggggg ',' cave ',' playopia ',' games', 'bits',' bisaaaaa ',' ngelaggg ',' trs', 'ngelag', ' TRSSSS ',' Cave ',' Have ',' Play ',' What ',' Pou ',' Please ',' Laaa ',' Cave ',' Open ',' Play ',' Store ',' comment ' , 'delay', 'severe']</v>
      </c>
      <c r="D959" s="4">
        <v>1.0</v>
      </c>
    </row>
    <row r="960" ht="15.75" customHeight="1">
      <c r="A960" s="1">
        <v>1078.0</v>
      </c>
      <c r="B960" s="4" t="s">
        <v>943</v>
      </c>
      <c r="C960" s="4" t="str">
        <f>IFERROR(__xludf.DUMMYFUNCTION("GOOGLETRANSLATE(B960,""id"",""en"")"),"['Indihome', 'might', 'slow', 'really', 'trobel', 'net', 'so', 'dlu', 'pke', 'provaider', 'biznet', '']")</f>
        <v>['Indihome', 'might', 'slow', 'really', 'trobel', 'net', 'so', 'dlu', 'pke', 'provaider', 'biznet', '']</v>
      </c>
      <c r="D960" s="4">
        <v>1.0</v>
      </c>
    </row>
    <row r="961" ht="15.75" customHeight="1">
      <c r="A961" s="1">
        <v>1080.0</v>
      </c>
      <c r="B961" s="4" t="s">
        <v>944</v>
      </c>
      <c r="C961" s="4" t="str">
        <f>IFERROR(__xludf.DUMMYFUNCTION("GOOGLETRANSLATE(B961,""id"",""en"")"),"['Renew', 'Ajah', 'Isp', 'ISP', 'LBH', 'Move', 'Pain', 'Heart', 'DNG', 'Indihome', 'Skelas',' BUMN ',' People ',' Sndiri ',' Ajah ',' Bad ',' Apalgi ',' International ',' Woy ',' renew ']")</f>
        <v>['Renew', 'Ajah', 'Isp', 'ISP', 'LBH', 'Move', 'Pain', 'Heart', 'DNG', 'Indihome', 'Skelas',' BUMN ',' People ',' Sndiri ',' Ajah ',' Bad ',' Apalgi ',' International ',' Woy ',' renew ']</v>
      </c>
      <c r="D961" s="4">
        <v>1.0</v>
      </c>
    </row>
    <row r="962" ht="15.75" customHeight="1">
      <c r="A962" s="1">
        <v>1081.0</v>
      </c>
      <c r="B962" s="4" t="s">
        <v>945</v>
      </c>
      <c r="C962" s="4" t="str">
        <f>IFERROR(__xludf.DUMMYFUNCTION("GOOGLETRANSLATE(B962,""id"",""en"")"),"['love']")</f>
        <v>['love']</v>
      </c>
      <c r="D962" s="4">
        <v>1.0</v>
      </c>
    </row>
    <row r="963" ht="15.75" customHeight="1">
      <c r="A963" s="1">
        <v>1082.0</v>
      </c>
      <c r="B963" s="4" t="s">
        <v>946</v>
      </c>
      <c r="C963" s="4" t="str">
        <f>IFERROR(__xludf.DUMMYFUNCTION("GOOGLETRANSLATE(B963,""id"",""en"")"),"['Error', 'Trus', 'Verication', 'KTP', ""]")</f>
        <v>['Error', 'Trus', 'Verication', 'KTP', "]</v>
      </c>
      <c r="D963" s="4">
        <v>1.0</v>
      </c>
    </row>
    <row r="964" ht="15.75" customHeight="1">
      <c r="A964" s="1">
        <v>1084.0</v>
      </c>
      <c r="B964" s="4" t="s">
        <v>947</v>
      </c>
      <c r="C964" s="4" t="str">
        <f>IFERROR(__xludf.DUMMYFUNCTION("GOOGLETRANSLATE(B964,""id"",""en"")"),"['Bener', 'Bener', 'Indihome', 'ride', 'tags',' notification ',' Alas', 'ADD', 'On', 'Speed', 'Down', 'complain', ' Customer ',' Service ',' friendly ',' service ',' special ',' Tasikmalaya ',' direct ',' center ',' response ',' what ',' disappointed ',' "&amp;"late ',' pay ' , '']")</f>
        <v>['Bener', 'Bener', 'Indihome', 'ride', 'tags',' notification ',' Alas', 'ADD', 'On', 'Speed', 'Down', 'complain', ' Customer ',' Service ',' friendly ',' service ',' special ',' Tasikmalaya ',' direct ',' center ',' response ',' what ',' disappointed ',' late ',' pay ' , '']</v>
      </c>
      <c r="D964" s="4">
        <v>1.0</v>
      </c>
    </row>
    <row r="965" ht="15.75" customHeight="1">
      <c r="A965" s="1">
        <v>1085.0</v>
      </c>
      <c r="B965" s="4" t="s">
        <v>948</v>
      </c>
      <c r="C965" s="4" t="str">
        <f>IFERROR(__xludf.DUMMYFUNCTION("GOOGLETRANSLATE(B965,""id"",""en"")"),"['Details', 'tags', 'check', 'detail', 'details', 'appear', '']")</f>
        <v>['Details', 'tags', 'check', 'detail', 'details', 'appear', '']</v>
      </c>
      <c r="D965" s="4">
        <v>2.0</v>
      </c>
    </row>
    <row r="966" ht="15.75" customHeight="1">
      <c r="A966" s="1">
        <v>1087.0</v>
      </c>
      <c r="B966" s="4" t="s">
        <v>949</v>
      </c>
      <c r="C966" s="4" t="str">
        <f>IFERROR(__xludf.DUMMYFUNCTION("GOOGLETRANSLATE(B966,""id"",""en"")"),"['Change', 'People', 'Application', 'Error', 'Class', 'BUMN', 'Application', 'Error']")</f>
        <v>['Change', 'People', 'Application', 'Error', 'Class', 'BUMN', 'Application', 'Error']</v>
      </c>
      <c r="D966" s="4">
        <v>1.0</v>
      </c>
    </row>
    <row r="967" ht="15.75" customHeight="1">
      <c r="A967" s="1">
        <v>1088.0</v>
      </c>
      <c r="B967" s="4" t="s">
        <v>950</v>
      </c>
      <c r="C967" s="4" t="str">
        <f>IFERROR(__xludf.DUMMYFUNCTION("GOOGLETRANSLATE(B967,""id"",""en"")"),"['application', '']")</f>
        <v>['application', '']</v>
      </c>
      <c r="D967" s="4">
        <v>3.0</v>
      </c>
    </row>
    <row r="968" ht="15.75" customHeight="1">
      <c r="A968" s="1">
        <v>1089.0</v>
      </c>
      <c r="B968" s="4" t="s">
        <v>951</v>
      </c>
      <c r="C968" s="4" t="str">
        <f>IFERROR(__xludf.DUMMYFUNCTION("GOOGLETRANSLATE(B968,""id"",""en"")"),"['Application', 'jammed', 'jammed', 'Ajaaaaa', '']")</f>
        <v>['Application', 'jammed', 'jammed', 'Ajaaaaa', '']</v>
      </c>
      <c r="D968" s="4">
        <v>1.0</v>
      </c>
    </row>
    <row r="969" ht="15.75" customHeight="1">
      <c r="A969" s="1">
        <v>1090.0</v>
      </c>
      <c r="B969" s="4" t="s">
        <v>952</v>
      </c>
      <c r="C969" s="4" t="str">
        <f>IFERROR(__xludf.DUMMYFUNCTION("GOOGLETRANSLATE(B969,""id"",""en"")"),"['Report', 'Deer', 'Lekuar', 'Ticket', 'Technical', 'Just', 'See', 'Sampek', 'Lost', 'News',' Layan ',' ugly ',' ']")</f>
        <v>['Report', 'Deer', 'Lekuar', 'Ticket', 'Technical', 'Just', 'See', 'Sampek', 'Lost', 'News',' Layan ',' ugly ',' ']</v>
      </c>
      <c r="D969" s="4">
        <v>1.0</v>
      </c>
    </row>
    <row r="970" ht="15.75" customHeight="1">
      <c r="A970" s="1">
        <v>1092.0</v>
      </c>
      <c r="B970" s="4" t="s">
        <v>953</v>
      </c>
      <c r="C970" s="4" t="str">
        <f>IFERROR(__xludf.DUMMYFUNCTION("GOOGLETRANSLATE(B970,""id"",""en"")"),"['Login', 'Error', 'Mulu', 'already', 'Register', 'Account', 'Severe', 'You']")</f>
        <v>['Login', 'Error', 'Mulu', 'already', 'Register', 'Account', 'Severe', 'You']</v>
      </c>
      <c r="D970" s="4">
        <v>2.0</v>
      </c>
    </row>
    <row r="971" ht="15.75" customHeight="1">
      <c r="A971" s="1">
        <v>1093.0</v>
      </c>
      <c r="B971" s="4" t="s">
        <v>954</v>
      </c>
      <c r="C971" s="4" t="str">
        <f>IFERROR(__xludf.DUMMYFUNCTION("GOOGLETRANSLATE(B971,""id"",""en"")"),"['feature', 'tags', 'month', 'missing', 'ride', 'price', 'notification']")</f>
        <v>['feature', 'tags', 'month', 'missing', 'ride', 'price', 'notification']</v>
      </c>
      <c r="D971" s="4">
        <v>3.0</v>
      </c>
    </row>
    <row r="972" ht="15.75" customHeight="1">
      <c r="A972" s="1">
        <v>1094.0</v>
      </c>
      <c r="B972" s="4" t="s">
        <v>955</v>
      </c>
      <c r="C972" s="4" t="str">
        <f>IFERROR(__xludf.DUMMYFUNCTION("GOOGLETRANSLATE(B972,""id"",""en"")"),"['service', 'Indihome', 'ugly', 'pay', 'late', 'fine', '']")</f>
        <v>['service', 'Indihome', 'ugly', 'pay', 'late', 'fine', '']</v>
      </c>
      <c r="D972" s="4">
        <v>1.0</v>
      </c>
    </row>
    <row r="973" ht="15.75" customHeight="1">
      <c r="A973" s="1">
        <v>1095.0</v>
      </c>
      <c r="B973" s="4" t="s">
        <v>956</v>
      </c>
      <c r="C973" s="4" t="str">
        <f>IFERROR(__xludf.DUMMYFUNCTION("GOOGLETRANSLATE(B973,""id"",""en"")"),"['Error', '']")</f>
        <v>['Error', '']</v>
      </c>
      <c r="D973" s="4">
        <v>1.0</v>
      </c>
    </row>
    <row r="974" ht="15.75" customHeight="1">
      <c r="A974" s="1">
        <v>1096.0</v>
      </c>
      <c r="B974" s="4" t="s">
        <v>957</v>
      </c>
      <c r="C974" s="4" t="str">
        <f>IFERROR(__xludf.DUMMYFUNCTION("GOOGLETRANSLATE(B974,""id"",""en"")"),"['UDH', 'Sunday', 'Dead', 'Heats',' ugly ',' please ',' hand ',' call ',' Area ',' Disturbs', 'Mass',' neighbor ',' fluent']")</f>
        <v>['UDH', 'Sunday', 'Dead', 'Heats',' ugly ',' please ',' hand ',' call ',' Area ',' Disturbs', 'Mass',' neighbor ',' fluent']</v>
      </c>
      <c r="D974" s="4">
        <v>1.0</v>
      </c>
    </row>
    <row r="975" ht="15.75" customHeight="1">
      <c r="A975" s="1">
        <v>1097.0</v>
      </c>
      <c r="B975" s="4" t="s">
        <v>958</v>
      </c>
      <c r="C975" s="4" t="str">
        <f>IFERROR(__xludf.DUMMYFUNCTION("GOOGLETRANSLATE(B975,""id"",""en"")"),"['Ngellag']")</f>
        <v>['Ngellag']</v>
      </c>
      <c r="D975" s="4">
        <v>1.0</v>
      </c>
    </row>
    <row r="976" ht="15.75" customHeight="1">
      <c r="A976" s="1">
        <v>1098.0</v>
      </c>
      <c r="B976" s="4" t="s">
        <v>959</v>
      </c>
      <c r="C976" s="4" t="str">
        <f>IFERROR(__xludf.DUMMYFUNCTION("GOOGLETRANSLATE(B976,""id"",""en"")"),"['', 'understand', 'application', 'Sudh', 'Registration', 'then', 'Login', 'TPI']")</f>
        <v>['', 'understand', 'application', 'Sudh', 'Registration', 'then', 'Login', 'TPI']</v>
      </c>
      <c r="D976" s="4">
        <v>1.0</v>
      </c>
    </row>
    <row r="977" ht="15.75" customHeight="1">
      <c r="A977" s="1">
        <v>1099.0</v>
      </c>
      <c r="B977" s="4" t="s">
        <v>960</v>
      </c>
      <c r="C977" s="4" t="str">
        <f>IFERROR(__xludf.DUMMYFUNCTION("GOOGLETRANSLATE(B977,""id"",""en"")"),"['already', 'internet', 'slow', 'play', 'game', 'ping', 'tuur', 'send', 'code', 'verification', 'slow', 'Hadeh', ' ']")</f>
        <v>['already', 'internet', 'slow', 'play', 'game', 'ping', 'tuur', 'send', 'code', 'verification', 'slow', 'Hadeh', ' ']</v>
      </c>
      <c r="D977" s="4">
        <v>1.0</v>
      </c>
    </row>
    <row r="978" ht="15.75" customHeight="1">
      <c r="A978" s="1">
        <v>1100.0</v>
      </c>
      <c r="B978" s="4" t="s">
        <v>961</v>
      </c>
      <c r="C978" s="4" t="str">
        <f>IFERROR(__xludf.DUMMYFUNCTION("GOOGLETRANSLATE(B978,""id"",""en"")"),"['login']")</f>
        <v>['login']</v>
      </c>
      <c r="D978" s="4">
        <v>2.0</v>
      </c>
    </row>
    <row r="979" ht="15.75" customHeight="1">
      <c r="A979" s="1">
        <v>1101.0</v>
      </c>
      <c r="B979" s="4" t="s">
        <v>962</v>
      </c>
      <c r="C979" s="4" t="str">
        <f>IFERROR(__xludf.DUMMYFUNCTION("GOOGLETRANSLATE(B979,""id"",""en"")"),"['Business', 'Telecommunications', 'Application', 'Android', 'Indihome', 'Disabled', 'Disappointed', ""]")</f>
        <v>['Business', 'Telecommunications', 'Application', 'Android', 'Indihome', 'Disabled', 'Disappointed', "]</v>
      </c>
      <c r="D979" s="4">
        <v>1.0</v>
      </c>
    </row>
    <row r="980" ht="15.75" customHeight="1">
      <c r="A980" s="1">
        <v>1102.0</v>
      </c>
      <c r="B980" s="4" t="s">
        <v>963</v>
      </c>
      <c r="C980" s="4" t="str">
        <f>IFERROR(__xludf.DUMMYFUNCTION("GOOGLETRANSLATE(B980,""id"",""en"")"),"['WiFi', 'expensive', 'SELAGIT', 'nets',' rich ',' pig ',' wifi ',' thousand ',' wifi ',' rich ',' so ',' natural ',' Anjg ',' annoyed ',' wifi ',' stupid ']")</f>
        <v>['WiFi', 'expensive', 'SELAGIT', 'nets',' rich ',' pig ',' wifi ',' thousand ',' wifi ',' rich ',' so ',' natural ',' Anjg ',' annoyed ',' wifi ',' stupid ']</v>
      </c>
      <c r="D980" s="4">
        <v>1.0</v>
      </c>
    </row>
    <row r="981" ht="15.75" customHeight="1">
      <c r="A981" s="1">
        <v>1103.0</v>
      </c>
      <c r="B981" s="4" t="s">
        <v>964</v>
      </c>
      <c r="C981" s="4" t="str">
        <f>IFERROR(__xludf.DUMMYFUNCTION("GOOGLETRANSLATE(B981,""id"",""en"")"),"['Internet', 'ngellag', 'really', 'how', 'teach', 'online', 'disturbing', 'ngellag', 'poko', 'chaotic', 'really', 'indihome', ' Stars', 'Kek', 'UDH', 'Rating', '']")</f>
        <v>['Internet', 'ngellag', 'really', 'how', 'teach', 'online', 'disturbing', 'ngellag', 'poko', 'chaotic', 'really', 'indihome', ' Stars', 'Kek', 'UDH', 'Rating', '']</v>
      </c>
      <c r="D981" s="4">
        <v>1.0</v>
      </c>
    </row>
    <row r="982" ht="15.75" customHeight="1">
      <c r="A982" s="1">
        <v>1104.0</v>
      </c>
      <c r="B982" s="4" t="s">
        <v>965</v>
      </c>
      <c r="C982" s="4" t="str">
        <f>IFERROR(__xludf.DUMMYFUNCTION("GOOGLETRANSLATE(B982,""id"",""en"")"),"['service', 'unplug', 'device', 'severe', 'process',' refund ',' money ',' guarantee ',' original ',' indihome ',' professional ',' work ',' ']")</f>
        <v>['service', 'unplug', 'device', 'severe', 'process',' refund ',' money ',' guarantee ',' original ',' indihome ',' professional ',' work ',' ']</v>
      </c>
      <c r="D982" s="4">
        <v>1.0</v>
      </c>
    </row>
    <row r="983" ht="15.75" customHeight="1">
      <c r="A983" s="1">
        <v>1105.0</v>
      </c>
      <c r="B983" s="4" t="s">
        <v>966</v>
      </c>
      <c r="C983" s="4" t="str">
        <f>IFERROR(__xludf.DUMMYFUNCTION("GOOGLETRANSLATE(B983,""id"",""en"")"),"['Application', 'Urus', 'Ngelag', 'Comfortable', 'Please', 'Good']")</f>
        <v>['Application', 'Urus', 'Ngelag', 'Comfortable', 'Please', 'Good']</v>
      </c>
      <c r="D983" s="4">
        <v>1.0</v>
      </c>
    </row>
    <row r="984" ht="15.75" customHeight="1">
      <c r="A984" s="1">
        <v>1106.0</v>
      </c>
      <c r="B984" s="4" t="s">
        <v>967</v>
      </c>
      <c r="C984" s="4" t="str">
        <f>IFERROR(__xludf.DUMMYFUNCTION("GOOGLETRANSLATE(B984,""id"",""en"")"),"['APK', 'BANGJE']")</f>
        <v>['APK', 'BANGJE']</v>
      </c>
      <c r="D984" s="4">
        <v>1.0</v>
      </c>
    </row>
    <row r="985" ht="15.75" customHeight="1">
      <c r="A985" s="1">
        <v>1107.0</v>
      </c>
      <c r="B985" s="4" t="s">
        <v>968</v>
      </c>
      <c r="C985" s="4" t="str">
        <f>IFERROR(__xludf.DUMMYFUNCTION("GOOGLETRANSLATE(B985,""id"",""en"")"),"['Hello', 'Application', 'Plat', 'Red', 'Brand', 'Already', 'Intention', 'Application', 'Results',' Comfortable ',' Guna ',' Indihome ',' Ayoo ',' Appointed ',' More ',' ']")</f>
        <v>['Hello', 'Application', 'Plat', 'Red', 'Brand', 'Already', 'Intention', 'Application', 'Results',' Comfortable ',' Guna ',' Indihome ',' Ayoo ',' Appointed ',' More ',' ']</v>
      </c>
      <c r="D985" s="4">
        <v>1.0</v>
      </c>
    </row>
    <row r="986" ht="15.75" customHeight="1">
      <c r="A986" s="1">
        <v>1108.0</v>
      </c>
      <c r="B986" s="4" t="s">
        <v>969</v>
      </c>
      <c r="C986" s="4" t="str">
        <f>IFERROR(__xludf.DUMMYFUNCTION("GOOGLETRANSLATE(B986,""id"",""en"")"),"['Guna', 'Subscribe', 'Indihome', 'Nature', 'Taste', 'getting', 'Down', 'Quality', 'Up', 'Price', 'Disturbs',' Alas', ' Thinking ',' Normal ',' Good ',' Iring ',' Road ',' Package ',' MB ',' Gadgets', 'HUBUK', 'NATURAL', 'Disturbs',' Reach ',' FUP ' , 'Lo"&amp;"t', 'Gin', 'write', 'character', 'letter']")</f>
        <v>['Guna', 'Subscribe', 'Indihome', 'Nature', 'Taste', 'getting', 'Down', 'Quality', 'Up', 'Price', 'Disturbs',' Alas', ' Thinking ',' Normal ',' Good ',' Iring ',' Road ',' Package ',' MB ',' Gadgets', 'HUBUK', 'NATURAL', 'Disturbs',' Reach ',' FUP ' , 'Lot', 'Gin', 'write', 'character', 'letter']</v>
      </c>
      <c r="D986" s="4">
        <v>1.0</v>
      </c>
    </row>
    <row r="987" ht="15.75" customHeight="1">
      <c r="A987" s="1">
        <v>1109.0</v>
      </c>
      <c r="B987" s="4" t="s">
        <v>970</v>
      </c>
      <c r="C987" s="4" t="str">
        <f>IFERROR(__xludf.DUMMYFUNCTION("GOOGLETRANSLATE(B987,""id"",""en"")"),"['In', 'happy', 'happy', 'failed', 'business', 'plate', 'red']")</f>
        <v>['In', 'happy', 'happy', 'failed', 'business', 'plate', 'red']</v>
      </c>
      <c r="D987" s="4">
        <v>5.0</v>
      </c>
    </row>
    <row r="988" ht="15.75" customHeight="1">
      <c r="A988" s="1">
        <v>1110.0</v>
      </c>
      <c r="B988" s="4" t="s">
        <v>971</v>
      </c>
      <c r="C988" s="4" t="str">
        <f>IFERROR(__xludf.DUMMYFUNCTION("GOOGLETRANSLATE(B988,""id"",""en"")"),"['Application', 'Touch', 'Kirain', 'Error', 'Tau', 'Application']")</f>
        <v>['Application', 'Touch', 'Kirain', 'Error', 'Tau', 'Application']</v>
      </c>
      <c r="D988" s="4">
        <v>1.0</v>
      </c>
    </row>
    <row r="989" ht="15.75" customHeight="1">
      <c r="A989" s="1">
        <v>1111.0</v>
      </c>
      <c r="B989" s="4" t="s">
        <v>972</v>
      </c>
      <c r="C989" s="4" t="str">
        <f>IFERROR(__xludf.DUMMYFUNCTION("GOOGLETRANSLATE(B989,""id"",""en"")"),"['Bug']")</f>
        <v>['Bug']</v>
      </c>
      <c r="D989" s="4">
        <v>1.0</v>
      </c>
    </row>
    <row r="990" ht="15.75" customHeight="1">
      <c r="A990" s="1">
        <v>1112.0</v>
      </c>
      <c r="B990" s="4" t="s">
        <v>973</v>
      </c>
      <c r="C990" s="4" t="str">
        <f>IFERROR(__xludf.DUMMYFUNCTION("GOOGLETRANSLATE(B990,""id"",""en"")"),"['Main', 'Game', 'Ngelag', 'Once', 'Play', 'Sosmed', 'Smooth', 'Ngelag', 'Change', 'wifi']")</f>
        <v>['Main', 'Game', 'Ngelag', 'Once', 'Play', 'Sosmed', 'Smooth', 'Ngelag', 'Change', 'wifi']</v>
      </c>
      <c r="D990" s="4">
        <v>1.0</v>
      </c>
    </row>
    <row r="991" ht="15.75" customHeight="1">
      <c r="A991" s="1">
        <v>1113.0</v>
      </c>
      <c r="B991" s="4" t="s">
        <v>974</v>
      </c>
      <c r="C991" s="4" t="str">
        <f>IFERROR(__xludf.DUMMYFUNCTION("GOOGLETRANSLATE(B991,""id"",""en"")"),"['Stupid', 'love', 'star', 'work', 'Becus', 'Haram', 'money']")</f>
        <v>['Stupid', 'love', 'star', 'work', 'Becus', 'Haram', 'money']</v>
      </c>
      <c r="D991" s="4">
        <v>1.0</v>
      </c>
    </row>
    <row r="992" ht="15.75" customHeight="1">
      <c r="A992" s="1">
        <v>1114.0</v>
      </c>
      <c r="B992" s="4" t="s">
        <v>975</v>
      </c>
      <c r="C992" s="4" t="str">
        <f>IFERROR(__xludf.DUMMYFUNCTION("GOOGLETRANSLATE(B992,""id"",""en"")"),"['Nanyany', 'Min', 'UDH', 'PNGAJUAN', 'Move', 'WiFi', 'Msih', 'check', 'location', 'skrg', 'TPI', 'Intrnet', ' Dead ',' internet ',' wish ',' pdhal ',' pmbyaran ',' smpe ',' date ',' ']")</f>
        <v>['Nanyany', 'Min', 'UDH', 'PNGAJUAN', 'Move', 'WiFi', 'Msih', 'check', 'location', 'skrg', 'TPI', 'Intrnet', ' Dead ',' internet ',' wish ',' pdhal ',' pmbyaran ',' smpe ',' date ',' ']</v>
      </c>
      <c r="D992" s="4">
        <v>1.0</v>
      </c>
    </row>
    <row r="993" ht="15.75" customHeight="1">
      <c r="A993" s="1">
        <v>1115.0</v>
      </c>
      <c r="B993" s="4" t="s">
        <v>976</v>
      </c>
      <c r="C993" s="4" t="str">
        <f>IFERROR(__xludf.DUMMYFUNCTION("GOOGLETRANSLATE(B993,""id"",""en"")"),"['lag', 'then']")</f>
        <v>['lag', 'then']</v>
      </c>
      <c r="D993" s="4">
        <v>1.0</v>
      </c>
    </row>
    <row r="994" ht="15.75" customHeight="1">
      <c r="A994" s="1">
        <v>1116.0</v>
      </c>
      <c r="B994" s="4" t="s">
        <v>977</v>
      </c>
      <c r="C994" s="4" t="str">
        <f>IFERROR(__xludf.DUMMYFUNCTION("GOOGLETRANSLATE(B994,""id"",""en"")"),"['Dipake', 'Adu', 'Mubazir']")</f>
        <v>['Dipake', 'Adu', 'Mubazir']</v>
      </c>
      <c r="D994" s="4">
        <v>1.0</v>
      </c>
    </row>
    <row r="995" ht="15.75" customHeight="1">
      <c r="A995" s="1">
        <v>1117.0</v>
      </c>
      <c r="B995" s="4" t="s">
        <v>318</v>
      </c>
      <c r="C995" s="4" t="str">
        <f>IFERROR(__xludf.DUMMYFUNCTION("GOOGLETRANSLATE(B995,""id"",""en"")"),"['']")</f>
        <v>['']</v>
      </c>
      <c r="D995" s="4">
        <v>1.0</v>
      </c>
    </row>
    <row r="996" ht="15.75" customHeight="1">
      <c r="A996" s="1">
        <v>1118.0</v>
      </c>
      <c r="B996" s="4" t="s">
        <v>978</v>
      </c>
      <c r="C996" s="4" t="str">
        <f>IFERROR(__xludf.DUMMYFUNCTION("GOOGLETRANSLATE(B996,""id"",""en"")"),"['Wes', 'wae']")</f>
        <v>['Wes', 'wae']</v>
      </c>
      <c r="D996" s="4">
        <v>5.0</v>
      </c>
    </row>
    <row r="997" ht="15.75" customHeight="1">
      <c r="A997" s="1">
        <v>1119.0</v>
      </c>
      <c r="B997" s="4" t="s">
        <v>979</v>
      </c>
      <c r="C997" s="4" t="str">
        <f>IFERROR(__xludf.DUMMYFUNCTION("GOOGLETRANSLATE(B997,""id"",""en"")"),"['intention', 'pairs',' wifi ',' teach ',' play ',' games', 'smooth', 'naekin', 'blood', 'doang', 'signal', 'try', ' Stable ',' no ',' buy ',' Nge ',' Game ',' Good ',' Pas', 'Dipake', 'lag', 'Hadehhh', 'Indihome', 'Pantes',' Lost ' , 'competitiveness', '"&amp;"oxygen', 'karna']")</f>
        <v>['intention', 'pairs',' wifi ',' teach ',' play ',' games', 'smooth', 'naekin', 'blood', 'doang', 'signal', 'try', ' Stable ',' no ',' buy ',' Nge ',' Game ',' Good ',' Pas', 'Dipake', 'lag', 'Hadehhh', 'Indihome', 'Pantes',' Lost ' , 'competitiveness', 'oxygen', 'karna']</v>
      </c>
      <c r="D997" s="4">
        <v>1.0</v>
      </c>
    </row>
    <row r="998" ht="15.75" customHeight="1">
      <c r="A998" s="1">
        <v>1120.0</v>
      </c>
      <c r="B998" s="4" t="s">
        <v>980</v>
      </c>
      <c r="C998" s="4" t="str">
        <f>IFERROR(__xludf.DUMMYFUNCTION("GOOGLETRANSLATE(B998,""id"",""en"")"),"['SDAH', 'WEEK', 'application', 'error', 'then', 'GMNA', 'forward', 'application', 'error', 'then', 'please', 'baharu', ' Playanan ',' lbih ']")</f>
        <v>['SDAH', 'WEEK', 'application', 'error', 'then', 'GMNA', 'forward', 'application', 'error', 'then', 'please', 'baharu', ' Playanan ',' lbih ']</v>
      </c>
      <c r="D998" s="4">
        <v>1.0</v>
      </c>
    </row>
    <row r="999" ht="15.75" customHeight="1">
      <c r="A999" s="1">
        <v>1121.0</v>
      </c>
      <c r="B999" s="4" t="s">
        <v>981</v>
      </c>
      <c r="C999" s="4" t="str">
        <f>IFERROR(__xludf.DUMMYFUNCTION("GOOGLETRANSLATE(B999,""id"",""en"")"),"['January', 'Sya', 'moved', 'device', 'address',' TPI ',' smpai ',' skarang ',' technician ',' dtang ',' home ',' sya ',' phone calls', 'kt', 'TPI', 'smpai', 'skrng', 'nggk', 'hsil', 'sya', 'subscribe', 'indihom', 'dri', 'Thun', 'various' , 'Alas',' Kfan "&amp;"',' Indihom ',' Krna ',' Tired ',' Wait ',' Skrng ',' Aju ',' Create ',' Device ',' Indihom ',' Bru ',' directly ',' responded ',' pairs', 'in', 'WKTU', 'clock', 'base', 'cunning', 'right', 'mintk', 'move', 'device', 'nggk' , 'Ngurus', ""]")</f>
        <v>['January', 'Sya', 'moved', 'device', 'address',' TPI ',' smpai ',' skarang ',' technician ',' dtang ',' home ',' sya ',' phone calls', 'kt', 'TPI', 'smpai', 'skrng', 'nggk', 'hsil', 'sya', 'subscribe', 'indihom', 'dri', 'Thun', 'various' , 'Alas',' Kfan ',' Indihom ',' Krna ',' Tired ',' Wait ',' Skrng ',' Aju ',' Create ',' Device ',' Indihom ',' Bru ',' directly ',' responded ',' pairs', 'in', 'WKTU', 'clock', 'base', 'cunning', 'right', 'mintk', 'move', 'device', 'nggk' , 'Ngurus', "]</v>
      </c>
      <c r="D999" s="4">
        <v>1.0</v>
      </c>
    </row>
    <row r="1000" ht="15.75" customHeight="1">
      <c r="A1000" s="1">
        <v>1122.0</v>
      </c>
      <c r="B1000" s="4" t="s">
        <v>982</v>
      </c>
      <c r="C1000" s="4" t="str">
        <f>IFERROR(__xludf.DUMMYFUNCTION("GOOGLETRANSLATE(B1000,""id"",""en"")"),"['garbage', 'Nge', 'down', 'trs']")</f>
        <v>['garbage', 'Nge', 'down', 'trs']</v>
      </c>
      <c r="D1000" s="4">
        <v>1.0</v>
      </c>
    </row>
    <row r="1001" ht="15.75" customHeight="1">
      <c r="A1001" s="1">
        <v>1123.0</v>
      </c>
      <c r="B1001" s="4" t="s">
        <v>983</v>
      </c>
      <c r="C1001" s="4" t="str">
        <f>IFERROR(__xludf.DUMMYFUNCTION("GOOGLETRANSLATE(B1001,""id"",""en"")"),"['Gajelas', 'Indihome', 'Najis', 'Mending', 'Change', 'Bizznet', '']")</f>
        <v>['Gajelas', 'Indihome', 'Najis', 'Mending', 'Change', 'Bizznet', '']</v>
      </c>
      <c r="D1001" s="4">
        <v>1.0</v>
      </c>
    </row>
    <row r="1002" ht="15.75" customHeight="1">
      <c r="A1002" s="1">
        <v>1124.0</v>
      </c>
      <c r="B1002" s="4" t="s">
        <v>984</v>
      </c>
      <c r="C1002" s="4" t="str">
        <f>IFERROR(__xludf.DUMMYFUNCTION("GOOGLETRANSLATE(B1002,""id"",""en"")"),"['Error', 'Mulu', 'Application', 'Benerin', 'Donk', 'FUP', 'Class', 'HAP', 'FUPP', 'So', 'Dedicated']")</f>
        <v>['Error', 'Mulu', 'Application', 'Benerin', 'Donk', 'FUP', 'Class', 'HAP', 'FUPP', 'So', 'Dedicated']</v>
      </c>
      <c r="D1002" s="4">
        <v>1.0</v>
      </c>
    </row>
    <row r="1003" ht="15.75" customHeight="1">
      <c r="A1003" s="1">
        <v>1125.0</v>
      </c>
      <c r="B1003" s="4" t="s">
        <v>470</v>
      </c>
      <c r="C1003" s="4" t="str">
        <f>IFERROR(__xludf.DUMMYFUNCTION("GOOGLETRANSLATE(B1003,""id"",""en"")"),"['Indihome', '']")</f>
        <v>['Indihome', '']</v>
      </c>
      <c r="D1003" s="4">
        <v>5.0</v>
      </c>
    </row>
    <row r="1004" ht="15.75" customHeight="1">
      <c r="A1004" s="1">
        <v>1126.0</v>
      </c>
      <c r="B1004" s="4" t="s">
        <v>985</v>
      </c>
      <c r="C1004" s="4" t="str">
        <f>IFERROR(__xludf.DUMMYFUNCTION("GOOGLETRANSLATE(B1004,""id"",""en"")"),"['Login', 'error', 'write', 'right', 'already', 'login', 'see', 'fast', 'internet', 'use', 'error', 'see', ' "", 'Current', 'Jaya', 'Details', 'Tagih', 'Gaada', 'Meaning', '']")</f>
        <v>['Login', 'error', 'write', 'right', 'already', 'login', 'see', 'fast', 'internet', 'use', 'error', 'see', ' ", 'Current', 'Jaya', 'Details', 'Tagih', 'Gaada', 'Meaning', '']</v>
      </c>
      <c r="D1004" s="4">
        <v>1.0</v>
      </c>
    </row>
    <row r="1005" ht="15.75" customHeight="1">
      <c r="A1005" s="1">
        <v>1127.0</v>
      </c>
      <c r="B1005" s="4" t="s">
        <v>986</v>
      </c>
      <c r="C1005" s="4" t="str">
        <f>IFERROR(__xludf.DUMMYFUNCTION("GOOGLETRANSLATE(B1005,""id"",""en"")"),"['App', 'defective', 'TDI', 'discroot', 'motion', 'taik', 'developer', 'how', '']")</f>
        <v>['App', 'defective', 'TDI', 'discroot', 'motion', 'taik', 'developer', 'how', '']</v>
      </c>
      <c r="D1005" s="4">
        <v>1.0</v>
      </c>
    </row>
    <row r="1006" ht="15.75" customHeight="1">
      <c r="A1006" s="1">
        <v>1128.0</v>
      </c>
      <c r="B1006" s="4" t="s">
        <v>987</v>
      </c>
      <c r="C1006" s="4" t="str">
        <f>IFERROR(__xludf.DUMMYFUNCTION("GOOGLETRANSLATE(B1006,""id"",""en"")"),"['Lot', 'Mbps',' Not bad ',' smooth ',' Mbps', 'Kya', 'Snail', 'Open', 'Status',' Muter ',' Mulu ',' Pay ',' Tagih ',' Fall ',' Tempo ',' ']")</f>
        <v>['Lot', 'Mbps',' Not bad ',' smooth ',' Mbps', 'Kya', 'Snail', 'Open', 'Status',' Muter ',' Mulu ',' Pay ',' Tagih ',' Fall ',' Tempo ',' ']</v>
      </c>
      <c r="D1006" s="4">
        <v>1.0</v>
      </c>
    </row>
    <row r="1007" ht="15.75" customHeight="1">
      <c r="A1007" s="1">
        <v>1129.0</v>
      </c>
      <c r="B1007" s="4" t="s">
        <v>988</v>
      </c>
      <c r="C1007" s="4" t="str">
        <f>IFERROR(__xludf.DUMMYFUNCTION("GOOGLETRANSLATE(B1007,""id"",""en"")"),"['Hang']")</f>
        <v>['Hang']</v>
      </c>
      <c r="D1007" s="4">
        <v>4.0</v>
      </c>
    </row>
    <row r="1008" ht="15.75" customHeight="1">
      <c r="A1008" s="1">
        <v>1130.0</v>
      </c>
      <c r="B1008" s="4" t="s">
        <v>989</v>
      </c>
      <c r="C1008" s="4" t="str">
        <f>IFERROR(__xludf.DUMMYFUNCTION("GOOGLETRANSLATE(B1008,""id"",""en"")"),"['HBS', 'Update', 'Dbuka', 'Shy', 'Telkom', 'App', 'Manalh', 'TNP', 'Solution']")</f>
        <v>['HBS', 'Update', 'Dbuka', 'Shy', 'Telkom', 'App', 'Manalh', 'TNP', 'Solution']</v>
      </c>
      <c r="D1008" s="4">
        <v>1.0</v>
      </c>
    </row>
    <row r="1009" ht="15.75" customHeight="1">
      <c r="A1009" s="1">
        <v>1131.0</v>
      </c>
      <c r="B1009" s="4" t="s">
        <v>990</v>
      </c>
      <c r="C1009" s="4" t="str">
        <f>IFERROR(__xludf.DUMMYFUNCTION("GOOGLETRANSLATE(B1009,""id"",""en"")"),"['ugly', 'class', 'need', 'BUMN', 'application', 'change', 'for', 'connection', 'access', 'slow', ""]")</f>
        <v>['ugly', 'class', 'need', 'BUMN', 'application', 'change', 'for', 'connection', 'access', 'slow', "]</v>
      </c>
      <c r="D1009" s="4">
        <v>1.0</v>
      </c>
    </row>
    <row r="1010" ht="15.75" customHeight="1">
      <c r="A1010" s="1">
        <v>1132.0</v>
      </c>
      <c r="B1010" s="4" t="s">
        <v>991</v>
      </c>
      <c r="C1010" s="4" t="str">
        <f>IFERROR(__xludf.DUMMYFUNCTION("GOOGLETRANSLATE(B1010,""id"",""en"")"),"['wifi', 'ugly', 'net', 'indihome', 'puckek', 'maen', 'pub', 'burden', 'ngotak']")</f>
        <v>['wifi', 'ugly', 'net', 'indihome', 'puckek', 'maen', 'pub', 'burden', 'ngotak']</v>
      </c>
      <c r="D1010" s="4">
        <v>1.0</v>
      </c>
    </row>
    <row r="1011" ht="15.75" customHeight="1">
      <c r="A1011" s="1">
        <v>1133.0</v>
      </c>
      <c r="B1011" s="4" t="s">
        <v>992</v>
      </c>
      <c r="C1011" s="4" t="str">
        <f>IFERROR(__xludf.DUMMYFUNCTION("GOOGLETRANSLATE(B1011,""id"",""en"")"),"['team', 'trouble', 'system', 'good', 'spirit', ""]")</f>
        <v>['team', 'trouble', 'system', 'good', 'spirit', "]</v>
      </c>
      <c r="D1011" s="4">
        <v>4.0</v>
      </c>
    </row>
    <row r="1012" ht="15.75" customHeight="1">
      <c r="A1012" s="1">
        <v>1134.0</v>
      </c>
      <c r="B1012" s="4" t="s">
        <v>993</v>
      </c>
      <c r="C1012" s="4" t="str">
        <f>IFERROR(__xludf.DUMMYFUNCTION("GOOGLETRANSLATE(B1012,""id"",""en"")"),"['subscribe', 'internet', 'price', 'expensive', 'cost', 'tags',' top ',' appeal ',' tags', 'electricity', 'pdhl', 'electricity', ' use ',' really ',' price ',' sell ',' internet ',' stupid ',' community ',' people ',' rich ',' Naturally ',' poor ',' need "&amp;"',' teach ' , 'Online', 'GMN', 'Edan']")</f>
        <v>['subscribe', 'internet', 'price', 'expensive', 'cost', 'tags',' top ',' appeal ',' tags', 'electricity', 'pdhl', 'electricity', ' use ',' really ',' price ',' sell ',' internet ',' stupid ',' community ',' people ',' rich ',' Naturally ',' poor ',' need ',' teach ' , 'Online', 'GMN', 'Edan']</v>
      </c>
      <c r="D1012" s="4">
        <v>1.0</v>
      </c>
    </row>
    <row r="1013" ht="15.75" customHeight="1">
      <c r="A1013" s="1">
        <v>1135.0</v>
      </c>
      <c r="B1013" s="4" t="s">
        <v>994</v>
      </c>
      <c r="C1013" s="4" t="str">
        <f>IFERROR(__xludf.DUMMYFUNCTION("GOOGLETRANSLATE(B1013,""id"",""en"")"),"['Wait', 'connection', 'wifinya', 'good', 'service', 'youtube', 'favors', 'bru', 'thanks']")</f>
        <v>['Wait', 'connection', 'wifinya', 'good', 'service', 'youtube', 'favors', 'bru', 'thanks']</v>
      </c>
      <c r="D1013" s="4">
        <v>1.0</v>
      </c>
    </row>
    <row r="1014" ht="15.75" customHeight="1">
      <c r="A1014" s="1">
        <v>1138.0</v>
      </c>
      <c r="B1014" s="4" t="s">
        <v>995</v>
      </c>
      <c r="C1014" s="4" t="str">
        <f>IFERROR(__xludf.DUMMYFUNCTION("GOOGLETRANSLATE(B1014,""id"",""en"")"),"['application', 'difficult', 'open', 'loading', 'finished', 'finished', 'lazy', ""]")</f>
        <v>['application', 'difficult', 'open', 'loading', 'finished', 'finished', 'lazy', "]</v>
      </c>
      <c r="D1014" s="4">
        <v>1.0</v>
      </c>
    </row>
    <row r="1015" ht="15.75" customHeight="1">
      <c r="A1015" s="1">
        <v>1139.0</v>
      </c>
      <c r="B1015" s="4" t="s">
        <v>996</v>
      </c>
      <c r="C1015" s="4" t="str">
        <f>IFERROR(__xludf.DUMMYFUNCTION("GOOGLETRANSLATE(B1015,""id"",""en"")"),"['APK', 'error']")</f>
        <v>['APK', 'error']</v>
      </c>
      <c r="D1015" s="4">
        <v>1.0</v>
      </c>
    </row>
    <row r="1016" ht="15.75" customHeight="1">
      <c r="A1016" s="1">
        <v>1140.0</v>
      </c>
      <c r="B1016" s="4" t="s">
        <v>997</v>
      </c>
      <c r="C1016" s="4" t="str">
        <f>IFERROR(__xludf.DUMMYFUNCTION("GOOGLETRANSLATE(B1016,""id"",""en"")"),"['application', 'benefits', '']")</f>
        <v>['application', 'benefits', '']</v>
      </c>
      <c r="D1016" s="4">
        <v>1.0</v>
      </c>
    </row>
    <row r="1017" ht="15.75" customHeight="1">
      <c r="A1017" s="1">
        <v>1141.0</v>
      </c>
      <c r="B1017" s="4" t="s">
        <v>998</v>
      </c>
      <c r="C1017" s="4" t="str">
        <f>IFERROR(__xludf.DUMMYFUNCTION("GOOGLETRANSLATE(B1017,""id"",""en"")"),"['', 'good']")</f>
        <v>['', 'good']</v>
      </c>
      <c r="D1017" s="4">
        <v>1.0</v>
      </c>
    </row>
    <row r="1018" ht="15.75" customHeight="1">
      <c r="A1018" s="1">
        <v>1142.0</v>
      </c>
      <c r="B1018" s="4" t="s">
        <v>999</v>
      </c>
      <c r="C1018" s="4" t="str">
        <f>IFERROR(__xludf.DUMMYFUNCTION("GOOGLETRANSLATE(B1018,""id"",""en"")"),"['Lot', 'Severe', 'according to', 'Standard', 'Net', 'Communication', 'National', '']")</f>
        <v>['Lot', 'Severe', 'according to', 'Standard', 'Net', 'Communication', 'National', '']</v>
      </c>
      <c r="D1018" s="4">
        <v>1.0</v>
      </c>
    </row>
    <row r="1019" ht="15.75" customHeight="1">
      <c r="A1019" s="1">
        <v>1143.0</v>
      </c>
      <c r="B1019" s="4" t="s">
        <v>1000</v>
      </c>
      <c r="C1019" s="4" t="str">
        <f>IFERROR(__xludf.DUMMYFUNCTION("GOOGLETRANSLATE(B1019,""id"",""en"")"),"['Lot', 'Indihome', 'please', 'good', 'net', 'net', 'lot', 'semalem', 'signs', 'red', 'resiver']")</f>
        <v>['Lot', 'Indihome', 'please', 'good', 'net', 'net', 'lot', 'semalem', 'signs', 'red', 'resiver']</v>
      </c>
      <c r="D1019" s="4">
        <v>1.0</v>
      </c>
    </row>
    <row r="1020" ht="15.75" customHeight="1">
      <c r="A1020" s="1">
        <v>1144.0</v>
      </c>
      <c r="B1020" s="4" t="s">
        <v>1001</v>
      </c>
      <c r="C1020" s="4" t="str">
        <f>IFERROR(__xludf.DUMMYFUNCTION("GOOGLETRANSLATE(B1020,""id"",""en"")"),"['complain', 'disturbing', 'internet', 'application', 'motion', 'severe']")</f>
        <v>['complain', 'disturbing', 'internet', 'application', 'motion', 'severe']</v>
      </c>
      <c r="D1020" s="4">
        <v>1.0</v>
      </c>
    </row>
    <row r="1021" ht="15.75" customHeight="1">
      <c r="A1021" s="1">
        <v>1145.0</v>
      </c>
      <c r="B1021" s="4" t="s">
        <v>1002</v>
      </c>
      <c r="C1021" s="4" t="str">
        <f>IFERROR(__xludf.DUMMYFUNCTION("GOOGLETRANSLATE(B1021,""id"",""en"")"),"['Application', 'Log', 'Error', 'Mulu']")</f>
        <v>['Application', 'Log', 'Error', 'Mulu']</v>
      </c>
      <c r="D1021" s="4">
        <v>1.0</v>
      </c>
    </row>
    <row r="1022" ht="15.75" customHeight="1">
      <c r="A1022" s="1">
        <v>1147.0</v>
      </c>
      <c r="B1022" s="4" t="s">
        <v>1003</v>
      </c>
      <c r="C1022" s="4" t="str">
        <f>IFERROR(__xludf.DUMMYFUNCTION("GOOGLETRANSLATE(B1022,""id"",""en"")"),"['application', 'ugly', 'really', 'oath', 'error', 'mulu', 'signal', 'ugly', 'really', 'service', 'indihome', 'disappointed']")</f>
        <v>['application', 'ugly', 'really', 'oath', 'error', 'mulu', 'signal', 'ugly', 'really', 'service', 'indihome', 'disappointed']</v>
      </c>
      <c r="D1022" s="4">
        <v>1.0</v>
      </c>
    </row>
    <row r="1023" ht="15.75" customHeight="1">
      <c r="A1023" s="1">
        <v>1148.0</v>
      </c>
      <c r="B1023" s="4" t="s">
        <v>43</v>
      </c>
      <c r="C1023" s="4" t="str">
        <f>IFERROR(__xludf.DUMMYFUNCTION("GOOGLETRANSLATE(B1023,""id"",""en"")"),"['Mantab']")</f>
        <v>['Mantab']</v>
      </c>
      <c r="D1023" s="4">
        <v>5.0</v>
      </c>
    </row>
    <row r="1024" ht="15.75" customHeight="1">
      <c r="A1024" s="1">
        <v>1149.0</v>
      </c>
      <c r="B1024" s="4" t="s">
        <v>1004</v>
      </c>
      <c r="C1024" s="4" t="str">
        <f>IFERROR(__xludf.DUMMYFUNCTION("GOOGLETRANSLATE(B1024,""id"",""en"")"),"['Severe', 'Indihome', 'ugly', 'signal', 'like', 'really', 'ilang', 'signal', 'ping', 'like', 'stable', 'please', ' Good ',' comfortable ',' ']")</f>
        <v>['Severe', 'Indihome', 'ugly', 'signal', 'like', 'really', 'ilang', 'signal', 'ping', 'like', 'stable', 'please', ' Good ',' comfortable ',' ']</v>
      </c>
      <c r="D1024" s="4">
        <v>1.0</v>
      </c>
    </row>
    <row r="1025" ht="15.75" customHeight="1">
      <c r="A1025" s="1">
        <v>1150.0</v>
      </c>
      <c r="B1025" s="4" t="s">
        <v>1005</v>
      </c>
      <c r="C1025" s="4" t="str">
        <f>IFERROR(__xludf.DUMMYFUNCTION("GOOGLETRANSLATE(B1025,""id"",""en"")"),"['application', 'error', 'pay', 'nggk', 'suits', 'tera', ""]")</f>
        <v>['application', 'error', 'pay', 'nggk', 'suits', 'tera', "]</v>
      </c>
      <c r="D1025" s="4">
        <v>1.0</v>
      </c>
    </row>
    <row r="1026" ht="15.75" customHeight="1">
      <c r="A1026" s="1">
        <v>1151.0</v>
      </c>
      <c r="B1026" s="4" t="s">
        <v>1006</v>
      </c>
      <c r="C1026" s="4" t="str">
        <f>IFERROR(__xludf.DUMMYFUNCTION("GOOGLETRANSLATE(B1026,""id"",""en"")"),"['Sorry', 'MBA', 'Mas',' Sya ',' Subscribe ',' WiFi ',' Indihome ',' Mbps', 'Mbps',' Impasses', 'Sya', 'Mnjadi', ' Mbps', 'good', 'bad', 'please', 'good', 'satisfied', 'subscribe', 'main', 'thank', 'love', ""]")</f>
        <v>['Sorry', 'MBA', 'Mas',' Sya ',' Subscribe ',' WiFi ',' Indihome ',' Mbps', 'Mbps',' Impasses', 'Sya', 'Mnjadi', ' Mbps', 'good', 'bad', 'please', 'good', 'satisfied', 'subscribe', 'main', 'thank', 'love', "]</v>
      </c>
      <c r="D1026" s="4">
        <v>1.0</v>
      </c>
    </row>
    <row r="1027" ht="15.75" customHeight="1">
      <c r="A1027" s="1">
        <v>1152.0</v>
      </c>
      <c r="B1027" s="4" t="s">
        <v>1007</v>
      </c>
      <c r="C1027" s="4" t="str">
        <f>IFERROR(__xludf.DUMMYFUNCTION("GOOGLETRANSLATE(B1027,""id"",""en"")"),"['Times',' Disturbs', 'GMNA', 'Disturbs',' TRS ',' Pay ',' get ',' fine ',' Internet ',' Putin ',' Costs', 'Add', ' Hadehhh ',' internet ',' ']")</f>
        <v>['Times',' Disturbs', 'GMNA', 'Disturbs',' TRS ',' Pay ',' get ',' fine ',' Internet ',' Putin ',' Costs', 'Add', ' Hadehhh ',' internet ',' ']</v>
      </c>
      <c r="D1027" s="4">
        <v>1.0</v>
      </c>
    </row>
    <row r="1028" ht="15.75" customHeight="1">
      <c r="A1028" s="1">
        <v>1153.0</v>
      </c>
      <c r="B1028" s="4" t="s">
        <v>1008</v>
      </c>
      <c r="C1028" s="4" t="str">
        <f>IFERROR(__xludf.DUMMYFUNCTION("GOOGLETRANSLATE(B1028,""id"",""en"")"),"['application', 'Nga', 'use', 'telephone', 'ngatas', 'name', 'application', 'adu', 'nga', 'response', 'garbage']")</f>
        <v>['application', 'Nga', 'use', 'telephone', 'ngatas', 'name', 'application', 'adu', 'nga', 'response', 'garbage']</v>
      </c>
      <c r="D1028" s="4">
        <v>1.0</v>
      </c>
    </row>
    <row r="1029" ht="15.75" customHeight="1">
      <c r="A1029" s="1">
        <v>1154.0</v>
      </c>
      <c r="B1029" s="4" t="s">
        <v>1009</v>
      </c>
      <c r="C1029" s="4" t="str">
        <f>IFERROR(__xludf.DUMMYFUNCTION("GOOGLETRANSLATE(B1029,""id"",""en"")"),"['application', 'business',' internet cafe ',' user ',' download ',' data ',' outside ',' factory ',' relewed ',' renew ',' sod ',' process', ' internet cafe ',' closed ',' take ',' sod ',' renew ',' pay ',' tap ',' telkom ',' kayak ',' gin ', ""]")</f>
        <v>['application', 'business',' internet cafe ',' user ',' download ',' data ',' outside ',' factory ',' relewed ',' renew ',' sod ',' process', ' internet cafe ',' closed ',' take ',' sod ',' renew ',' pay ',' tap ',' telkom ',' kayak ',' gin ', "]</v>
      </c>
      <c r="D1029" s="4">
        <v>1.0</v>
      </c>
    </row>
    <row r="1030" ht="15.75" customHeight="1">
      <c r="A1030" s="1">
        <v>1155.0</v>
      </c>
      <c r="B1030" s="4" t="s">
        <v>1010</v>
      </c>
      <c r="C1030" s="4" t="str">
        <f>IFERROR(__xludf.DUMMYFUNCTION("GOOGLETRANSLATE(B1030,""id"",""en"")"),"['Disappointed', 'Indihome', 'Pairs', 'Sunday', 'News', 'Provider', 'Region', 'Install', 'Indihome']")</f>
        <v>['Disappointed', 'Indihome', 'Pairs', 'Sunday', 'News', 'Provider', 'Region', 'Install', 'Indihome']</v>
      </c>
      <c r="D1030" s="4">
        <v>1.0</v>
      </c>
    </row>
    <row r="1031" ht="15.75" customHeight="1">
      <c r="A1031" s="1">
        <v>1156.0</v>
      </c>
      <c r="B1031" s="4" t="s">
        <v>1011</v>
      </c>
      <c r="C1031" s="4" t="str">
        <f>IFERROR(__xludf.DUMMYFUNCTION("GOOGLETRANSLATE(B1031,""id"",""en"")"),"['application', 'easy', 'tags',' service ',' list ',' points', 'subscribe', 'indihome', 'rewards',' point ',' tsb ',' blm ',' Exchange ',' subscribe ',' error ',' times', 'exchange', 'solution', 'point', 'scorched', 'year', 'exchange', 'Rewards',' outside"&amp;" ',' Bandung ' , 'Select', 'suggestion', 'Please', 'SENAH', 'System', '']")</f>
        <v>['application', 'easy', 'tags',' service ',' list ',' points', 'subscribe', 'indihome', 'rewards',' point ',' tsb ',' blm ',' Exchange ',' subscribe ',' error ',' times', 'exchange', 'solution', 'point', 'scorched', 'year', 'exchange', 'Rewards',' outside ',' Bandung ' , 'Select', 'suggestion', 'Please', 'SENAH', 'System', '']</v>
      </c>
      <c r="D1031" s="4">
        <v>2.0</v>
      </c>
    </row>
    <row r="1032" ht="15.75" customHeight="1">
      <c r="A1032" s="1">
        <v>1157.0</v>
      </c>
      <c r="B1032" s="4" t="s">
        <v>1012</v>
      </c>
      <c r="C1032" s="4" t="str">
        <f>IFERROR(__xludf.DUMMYFUNCTION("GOOGLETRANSLATE(B1032,""id"",""en"")"),"['Steady', 'super', 'fast']")</f>
        <v>['Steady', 'super', 'fast']</v>
      </c>
      <c r="D1032" s="4">
        <v>5.0</v>
      </c>
    </row>
    <row r="1033" ht="15.75" customHeight="1">
      <c r="A1033" s="1">
        <v>1158.0</v>
      </c>
      <c r="B1033" s="4" t="s">
        <v>18</v>
      </c>
      <c r="C1033" s="4" t="str">
        <f>IFERROR(__xludf.DUMMYFUNCTION("GOOGLETRANSLATE(B1033,""id"",""en"")"),"['steady']")</f>
        <v>['steady']</v>
      </c>
      <c r="D1033" s="4">
        <v>5.0</v>
      </c>
    </row>
    <row r="1034" ht="15.75" customHeight="1">
      <c r="A1034" s="1">
        <v>1159.0</v>
      </c>
      <c r="B1034" s="4" t="s">
        <v>1013</v>
      </c>
      <c r="C1034" s="4" t="str">
        <f>IFERROR(__xludf.DUMMYFUNCTION("GOOGLETRANSLATE(B1034,""id"",""en"")"),"['back', 'button', 'Download', 'Tagih', 'Pay', 'Thank', 'You']")</f>
        <v>['back', 'button', 'Download', 'Tagih', 'Pay', 'Thank', 'You']</v>
      </c>
      <c r="D1034" s="4">
        <v>4.0</v>
      </c>
    </row>
    <row r="1035" ht="15.75" customHeight="1">
      <c r="A1035" s="1">
        <v>1160.0</v>
      </c>
      <c r="B1035" s="4" t="s">
        <v>1014</v>
      </c>
      <c r="C1035" s="4" t="str">
        <f>IFERROR(__xludf.DUMMYFUNCTION("GOOGLETRANSLATE(B1035,""id"",""en"")"),"['Details', 'tags', 'lost', 'Gembel', 'cat', 'sack', '']")</f>
        <v>['Details', 'tags', 'lost', 'Gembel', 'cat', 'sack', '']</v>
      </c>
      <c r="D1035" s="4">
        <v>1.0</v>
      </c>
    </row>
    <row r="1036" ht="15.75" customHeight="1">
      <c r="A1036" s="1">
        <v>1161.0</v>
      </c>
      <c r="B1036" s="4" t="s">
        <v>1015</v>
      </c>
      <c r="C1036" s="4" t="str">
        <f>IFERROR(__xludf.DUMMYFUNCTION("GOOGLETRANSLATE(B1036,""id"",""en"")"),"['Cancel', 'move', 'wifi', 'address',' address', 'max', 'clock', 'clock', 'hubbling', 'indihome', 'paid', 'tags',' Layan ',' ']")</f>
        <v>['Cancel', 'move', 'wifi', 'address',' address', 'max', 'clock', 'clock', 'hubbling', 'indihome', 'paid', 'tags',' Layan ',' ']</v>
      </c>
      <c r="D1036" s="4">
        <v>1.0</v>
      </c>
    </row>
    <row r="1037" ht="15.75" customHeight="1">
      <c r="A1037" s="1">
        <v>1162.0</v>
      </c>
      <c r="B1037" s="4" t="s">
        <v>1016</v>
      </c>
      <c r="C1037" s="4" t="str">
        <f>IFERROR(__xludf.DUMMYFUNCTION("GOOGLETRANSLATE(B1037,""id"",""en"")"),"['poor', 'tags', 'notification', 'subscribe']")</f>
        <v>['poor', 'tags', 'notification', 'subscribe']</v>
      </c>
      <c r="D1037" s="4">
        <v>1.0</v>
      </c>
    </row>
    <row r="1038" ht="15.75" customHeight="1">
      <c r="A1038" s="1">
        <v>1163.0</v>
      </c>
      <c r="B1038" s="4" t="s">
        <v>1017</v>
      </c>
      <c r="C1038" s="4" t="str">
        <f>IFERROR(__xludf.DUMMYFUNCTION("GOOGLETRANSLATE(B1038,""id"",""en"")"),"['friend', 'friend', 'work', 'Ditelkom', 'Indihome', 'offer', 'services',' pairs', 'wifi', 'cheap', 'pay', 'told', ' Transfer ',' ']")</f>
        <v>['friend', 'friend', 'work', 'Ditelkom', 'Indihome', 'offer', 'services',' pairs', 'wifi', 'cheap', 'pay', 'told', ' Transfer ',' ']</v>
      </c>
      <c r="D1038" s="4">
        <v>1.0</v>
      </c>
    </row>
    <row r="1039" ht="15.75" customHeight="1">
      <c r="A1039" s="1">
        <v>1164.0</v>
      </c>
      <c r="B1039" s="4" t="s">
        <v>1018</v>
      </c>
      <c r="C1039" s="4" t="str">
        <f>IFERROR(__xludf.DUMMYFUNCTION("GOOGLETRANSLATE(B1039,""id"",""en"")"),"['Steady', 'bro', 'ane']")</f>
        <v>['Steady', 'bro', 'ane']</v>
      </c>
      <c r="D1039" s="4">
        <v>5.0</v>
      </c>
    </row>
    <row r="1040" ht="15.75" customHeight="1">
      <c r="A1040" s="1">
        <v>1165.0</v>
      </c>
      <c r="B1040" s="4" t="s">
        <v>1019</v>
      </c>
      <c r="C1040" s="4" t="str">
        <f>IFERROR(__xludf.DUMMYFUNCTION("GOOGLETRANSLATE(B1040,""id"",""en"")"),"['Nomer', 'Indihome', 'Open', 'TAGIH']")</f>
        <v>['Nomer', 'Indihome', 'Open', 'TAGIH']</v>
      </c>
      <c r="D1040" s="4">
        <v>2.0</v>
      </c>
    </row>
    <row r="1041" ht="15.75" customHeight="1">
      <c r="A1041" s="1">
        <v>1166.0</v>
      </c>
      <c r="B1041" s="4" t="s">
        <v>1020</v>
      </c>
      <c r="C1041" s="4" t="str">
        <f>IFERROR(__xludf.DUMMYFUNCTION("GOOGLETRANSLATE(B1041,""id"",""en"")"),"['shy', 'Kasi', 'star', 'need', 'BUMN', 'good', 'please', 'donk', 'good', ""]")</f>
        <v>['shy', 'Kasi', 'star', 'need', 'BUMN', 'good', 'please', 'donk', 'good', "]</v>
      </c>
      <c r="D1041" s="4">
        <v>1.0</v>
      </c>
    </row>
    <row r="1042" ht="15.75" customHeight="1">
      <c r="A1042" s="1">
        <v>1167.0</v>
      </c>
      <c r="B1042" s="4" t="s">
        <v>1021</v>
      </c>
      <c r="C1042" s="4" t="str">
        <f>IFERROR(__xludf.DUMMYFUNCTION("GOOGLETRANSLATE(B1042,""id"",""en"")"),"['Abis',' update ',' knp ',' log ',' difficult ',' already ',' login ',' ngelink ',' internet ',' enter ',' see ',' tap ',' Please, 'Good', 'Details', 'Capital', 'Internet', 'Use', 'Pay', 'Different', 'Please', ""]")</f>
        <v>['Abis',' update ',' knp ',' log ',' difficult ',' already ',' login ',' ngelink ',' internet ',' enter ',' see ',' tap ',' Please, 'Good', 'Details', 'Capital', 'Internet', 'Use', 'Pay', 'Different', 'Please', "]</v>
      </c>
      <c r="D1042" s="4">
        <v>1.0</v>
      </c>
    </row>
    <row r="1043" ht="15.75" customHeight="1">
      <c r="A1043" s="1">
        <v>1168.0</v>
      </c>
      <c r="B1043" s="4" t="s">
        <v>1022</v>
      </c>
      <c r="C1043" s="4" t="str">
        <f>IFERROR(__xludf.DUMMYFUNCTION("GOOGLETRANSLATE(B1043,""id"",""en"")"),"['', 'Disappointed', 'Very', 'Sinst', 'Indihome', 'in', 'Week', 'Application', 'Indihome', 'Problems',' Check ',' Use ',' Loading ',' SOD ',' FAIL ']")</f>
        <v>['', 'Disappointed', 'Very', 'Sinst', 'Indihome', 'in', 'Week', 'Application', 'Indihome', 'Problems',' Check ',' Use ',' Loading ',' SOD ',' FAIL ']</v>
      </c>
      <c r="D1043" s="4">
        <v>1.0</v>
      </c>
    </row>
    <row r="1044" ht="15.75" customHeight="1">
      <c r="A1044" s="1">
        <v>1169.0</v>
      </c>
      <c r="B1044" s="4" t="s">
        <v>1023</v>
      </c>
      <c r="C1044" s="4" t="str">
        <f>IFERROR(__xludf.DUMMYFUNCTION("GOOGLETRANSLATE(B1044,""id"",""en"")"),"['progriser', 'pling', 'chaotic', 'psang', 'broke', 'abis',' report ',' lot ',' ado ',' bloc ',' jngan ',' forced ',' mso ',' system ',' social gathering ',' indihome ',' jangam ',' sehri ',' play ',' minutes', 'gnguan', 'hubbling', 'silla', 'restar', 'mo"&amp;"dem' , 'already', 'okay', 'restar', 'modem', 'msi', '']")</f>
        <v>['progriser', 'pling', 'chaotic', 'psang', 'broke', 'abis',' report ',' lot ',' ado ',' bloc ',' jngan ',' forced ',' mso ',' system ',' social gathering ',' indihome ',' jangam ',' sehri ',' play ',' minutes', 'gnguan', 'hubbling', 'silla', 'restar', 'modem' , 'already', 'okay', 'restar', 'modem', 'msi', '']</v>
      </c>
      <c r="D1044" s="4">
        <v>1.0</v>
      </c>
    </row>
    <row r="1045" ht="15.75" customHeight="1">
      <c r="A1045" s="1">
        <v>1170.0</v>
      </c>
      <c r="B1045" s="4" t="s">
        <v>1024</v>
      </c>
      <c r="C1045" s="4" t="str">
        <f>IFERROR(__xludf.DUMMYFUNCTION("GOOGLETRANSLATE(B1045,""id"",""en"")"),"['Application', 'Errr', 'Ngehang', 'Jln', 'Report', 'Disturbs', 'Difficult', 'Number', 'Call', 'Center', 'Report', 'Disturbs']")</f>
        <v>['Application', 'Errr', 'Ngehang', 'Jln', 'Report', 'Disturbs', 'Difficult', 'Number', 'Call', 'Center', 'Report', 'Disturbs']</v>
      </c>
      <c r="D1045" s="4">
        <v>1.0</v>
      </c>
    </row>
    <row r="1046" ht="15.75" customHeight="1">
      <c r="A1046" s="1">
        <v>1171.0</v>
      </c>
      <c r="B1046" s="4" t="s">
        <v>1025</v>
      </c>
      <c r="C1046" s="4" t="str">
        <f>IFERROR(__xludf.DUMMYFUNCTION("GOOGLETRANSLATE(B1046,""id"",""en"")"),"['Ngellag', 'really', 'Benerin', 'Napa', ""]")</f>
        <v>['Ngellag', 'really', 'Benerin', 'Napa', "]</v>
      </c>
      <c r="D1046" s="4">
        <v>1.0</v>
      </c>
    </row>
    <row r="1047" ht="15.75" customHeight="1">
      <c r="A1047" s="1">
        <v>1172.0</v>
      </c>
      <c r="B1047" s="4" t="s">
        <v>1026</v>
      </c>
      <c r="C1047" s="4" t="str">
        <f>IFERROR(__xludf.DUMMYFUNCTION("GOOGLETRANSLATE(B1047,""id"",""en"")"),"['expensive', 'doang', 'once', 'problem', 'good', 'galagi', 'galagi', 'deh', ""]")</f>
        <v>['expensive', 'doang', 'once', 'problem', 'good', 'galagi', 'galagi', 'deh', "]</v>
      </c>
      <c r="D1047" s="4">
        <v>1.0</v>
      </c>
    </row>
    <row r="1048" ht="15.75" customHeight="1">
      <c r="A1048" s="1">
        <v>1173.0</v>
      </c>
      <c r="B1048" s="4" t="s">
        <v>1027</v>
      </c>
      <c r="C1048" s="4" t="str">
        <f>IFERROR(__xludf.DUMMYFUNCTION("GOOGLETRANSLATE(B1048,""id"",""en"")"),"['Honest', 'disappointed', 'kpda', 'indihome', 'lag', 'play', 'game', 'online', 'ping', 'yellow', 'red', 'aploud', ' Tasks', 'lag', 'watch', 'YouTube', 'Tiktok', 'cmn', 'muter', 'please', 'good', 'because', 'lang', 'indihome', 'ber' , '']")</f>
        <v>['Honest', 'disappointed', 'kpda', 'indihome', 'lag', 'play', 'game', 'online', 'ping', 'yellow', 'red', 'aploud', ' Tasks', 'lag', 'watch', 'YouTube', 'Tiktok', 'cmn', 'muter', 'please', 'good', 'because', 'lang', 'indihome', 'ber' , '']</v>
      </c>
      <c r="D1048" s="4">
        <v>1.0</v>
      </c>
    </row>
    <row r="1049" ht="15.75" customHeight="1">
      <c r="A1049" s="1">
        <v>1174.0</v>
      </c>
      <c r="B1049" s="4" t="s">
        <v>1028</v>
      </c>
      <c r="C1049" s="4" t="str">
        <f>IFERROR(__xludf.DUMMYFUNCTION("GOOGLETRANSLATE(B1049,""id"",""en"")"),"['Application', 'Lot', 'Database', 'Rapihin', 'Registration', 'Update', 'Ribet', 'Details',' Pay ',' Mana ',' Appear ',' Subscribe ',' Check ',' Details', 'Pay', '']")</f>
        <v>['Application', 'Lot', 'Database', 'Rapihin', 'Registration', 'Update', 'Ribet', 'Details',' Pay ',' Mana ',' Appear ',' Subscribe ',' Check ',' Details', 'Pay', '']</v>
      </c>
      <c r="D1049" s="4">
        <v>1.0</v>
      </c>
    </row>
    <row r="1050" ht="15.75" customHeight="1">
      <c r="A1050" s="1">
        <v>1175.0</v>
      </c>
      <c r="B1050" s="4" t="s">
        <v>260</v>
      </c>
      <c r="C1050" s="4" t="str">
        <f>IFERROR(__xludf.DUMMYFUNCTION("GOOGLETRANSLATE(B1050,""id"",""en"")"),"['Application', 'LEG']")</f>
        <v>['Application', 'LEG']</v>
      </c>
      <c r="D1050" s="4">
        <v>1.0</v>
      </c>
    </row>
    <row r="1051" ht="15.75" customHeight="1">
      <c r="A1051" s="1">
        <v>1176.0</v>
      </c>
      <c r="B1051" s="4" t="s">
        <v>312</v>
      </c>
      <c r="C1051" s="4" t="str">
        <f>IFERROR(__xludf.DUMMYFUNCTION("GOOGLETRANSLATE(B1051,""id"",""en"")"),"['Renew', 'Speed']")</f>
        <v>['Renew', 'Speed']</v>
      </c>
      <c r="D1051" s="4">
        <v>2.0</v>
      </c>
    </row>
    <row r="1052" ht="15.75" customHeight="1">
      <c r="A1052" s="1">
        <v>1178.0</v>
      </c>
      <c r="B1052" s="4" t="s">
        <v>1029</v>
      </c>
      <c r="C1052" s="4" t="str">
        <f>IFERROR(__xludf.DUMMYFUNCTION("GOOGLETRANSLATE(B1052,""id"",""en"")"),"['Renew', 'Speed', 'Error', '']")</f>
        <v>['Renew', 'Speed', 'Error', '']</v>
      </c>
      <c r="D1052" s="4">
        <v>3.0</v>
      </c>
    </row>
    <row r="1053" ht="15.75" customHeight="1">
      <c r="A1053" s="1">
        <v>1179.0</v>
      </c>
      <c r="B1053" s="4" t="s">
        <v>1030</v>
      </c>
      <c r="C1053" s="4" t="str">
        <f>IFERROR(__xludf.DUMMYFUNCTION("GOOGLETRANSLATE(B1053,""id"",""en"")"),"['Love', 'Star', 'Tetep', 'Comment', 'Ksh', 'Star', 'What', 'Application', 'Butut', 'Rich', 'Gin', 'Install', ' loginnya ',' difficult ',' severe ',' results', 'enter', 'dashboard', 'notification', 'complete', 'profile', 'column', 'skip', 'next', 'click' "&amp;", 'As a result', 'stuck', 'situ', 'effort', 'name', 'org', 'service', 'dilapidated', 'bngt', 'tags', 'according to', '']")</f>
        <v>['Love', 'Star', 'Tetep', 'Comment', 'Ksh', 'Star', 'What', 'Application', 'Butut', 'Rich', 'Gin', 'Install', ' loginnya ',' difficult ',' severe ',' results', 'enter', 'dashboard', 'notification', 'complete', 'profile', 'column', 'skip', 'next', 'click' , 'As a result', 'stuck', 'situ', 'effort', 'name', 'org', 'service', 'dilapidated', 'bngt', 'tags', 'according to', '']</v>
      </c>
      <c r="D1053" s="4">
        <v>1.0</v>
      </c>
    </row>
    <row r="1054" ht="15.75" customHeight="1">
      <c r="A1054" s="1">
        <v>1180.0</v>
      </c>
      <c r="B1054" s="4" t="s">
        <v>1031</v>
      </c>
      <c r="C1054" s="4" t="str">
        <f>IFERROR(__xludf.DUMMYFUNCTION("GOOGLETRANSLATE(B1054,""id"",""en"")"),"['Okay', 'Deh', 'Bintang', 'Karna', 'Telkom', 'Present', 'Kembang', 'Field', 'Telecommunications',' Suda ',' Help ',' Society ',' Indonesia ',' less', 'more', 'in', 'service', 'effort', 'Naturally', 'service', 'community', 'Herenth', 'Indonesia', 'Easy', "&amp;"'hopefully' , 'Depa', 'service', 'enthusiasm', 'Telkom', ""]")</f>
        <v>['Okay', 'Deh', 'Bintang', 'Karna', 'Telkom', 'Present', 'Kembang', 'Field', 'Telecommunications',' Suda ',' Help ',' Society ',' Indonesia ',' less', 'more', 'in', 'service', 'effort', 'Naturally', 'service', 'community', 'Herenth', 'Indonesia', 'Easy', 'hopefully' , 'Depa', 'service', 'enthusiasm', 'Telkom', "]</v>
      </c>
      <c r="D1054" s="4">
        <v>5.0</v>
      </c>
    </row>
    <row r="1055" ht="15.75" customHeight="1">
      <c r="A1055" s="1">
        <v>1181.0</v>
      </c>
      <c r="B1055" s="4" t="s">
        <v>1032</v>
      </c>
      <c r="C1055" s="4" t="str">
        <f>IFERROR(__xludf.DUMMYFUNCTION("GOOGLETRANSLATE(B1055,""id"",""en"")"),"['chat', 'use', 'wrong', 'system', 'please', 'good', 'service', 'tags', 'front', 'need', 'satisfied', 'subscribe']")</f>
        <v>['chat', 'use', 'wrong', 'system', 'please', 'good', 'service', 'tags', 'front', 'need', 'satisfied', 'subscribe']</v>
      </c>
      <c r="D1055" s="4">
        <v>1.0</v>
      </c>
    </row>
    <row r="1056" ht="15.75" customHeight="1">
      <c r="A1056" s="1">
        <v>1182.0</v>
      </c>
      <c r="B1056" s="4" t="s">
        <v>1033</v>
      </c>
      <c r="C1056" s="4" t="str">
        <f>IFERROR(__xludf.DUMMYFUNCTION("GOOGLETRANSLATE(B1056,""id"",""en"")"),"['Yesterday', 'Delete', 'Application', 'Error', 'Install', 'Return', 'Track', 'Install', 'Indihome', 'Notification', 'Pay', 'Deposit', ' Reset ',' Times', 'Report', '']")</f>
        <v>['Yesterday', 'Delete', 'Application', 'Error', 'Install', 'Return', 'Track', 'Install', 'Indihome', 'Notification', 'Pay', 'Deposit', ' Reset ',' Times', 'Report', '']</v>
      </c>
      <c r="D1056" s="4">
        <v>3.0</v>
      </c>
    </row>
    <row r="1057" ht="15.75" customHeight="1">
      <c r="A1057" s="1">
        <v>1183.0</v>
      </c>
      <c r="B1057" s="4" t="s">
        <v>1034</v>
      </c>
      <c r="C1057" s="4" t="str">
        <f>IFERROR(__xludf.DUMMYFUNCTION("GOOGLETRANSLATE(B1057,""id"",""en"")"),"['Application', 'full', 'error', 'failed']")</f>
        <v>['Application', 'full', 'error', 'failed']</v>
      </c>
      <c r="D1057" s="4">
        <v>1.0</v>
      </c>
    </row>
    <row r="1058" ht="15.75" customHeight="1">
      <c r="A1058" s="1">
        <v>1184.0</v>
      </c>
      <c r="B1058" s="4" t="s">
        <v>1035</v>
      </c>
      <c r="C1058" s="4" t="str">
        <f>IFERROR(__xludf.DUMMYFUNCTION("GOOGLETRANSLATE(B1058,""id"",""en"")"),"['Access', 'Application', 'Slow', 'Internet', 'Game', 'Fast', 'Adu', 'Layan', 'Heried', 'MUAS', '']")</f>
        <v>['Access', 'Application', 'Slow', 'Internet', 'Game', 'Fast', 'Adu', 'Layan', 'Heried', 'MUAS', '']</v>
      </c>
      <c r="D1058" s="4">
        <v>1.0</v>
      </c>
    </row>
    <row r="1059" ht="15.75" customHeight="1">
      <c r="A1059" s="1">
        <v>1185.0</v>
      </c>
      <c r="B1059" s="4" t="s">
        <v>1036</v>
      </c>
      <c r="C1059" s="4" t="str">
        <f>IFERROR(__xludf.DUMMYFUNCTION("GOOGLETRANSLATE(B1059,""id"",""en"")"),"['ratingnye', 'ugly', 'expensive', 'doang', 'lot', 'yes']")</f>
        <v>['ratingnye', 'ugly', 'expensive', 'doang', 'lot', 'yes']</v>
      </c>
      <c r="D1059" s="4">
        <v>1.0</v>
      </c>
    </row>
    <row r="1060" ht="15.75" customHeight="1">
      <c r="A1060" s="1">
        <v>1186.0</v>
      </c>
      <c r="B1060" s="4" t="s">
        <v>1037</v>
      </c>
      <c r="C1060" s="4" t="str">
        <f>IFERROR(__xludf.DUMMYFUNCTION("GOOGLETRANSLATE(B1060,""id"",""en"")"),"['tags',' effort ',' giant ',' tensing ',' serve ',' disappointed ',' lose ',' provider ',' menu ',' minus', 'star', 'love', ' Minus', '']")</f>
        <v>['tags',' effort ',' giant ',' tensing ',' serve ',' disappointed ',' lose ',' provider ',' menu ',' minus', 'star', 'love', ' Minus', '']</v>
      </c>
      <c r="D1060" s="4">
        <v>1.0</v>
      </c>
    </row>
    <row r="1061" ht="15.75" customHeight="1">
      <c r="A1061" s="1">
        <v>1187.0</v>
      </c>
      <c r="B1061" s="4" t="s">
        <v>1038</v>
      </c>
      <c r="C1061" s="4" t="str">
        <f>IFERROR(__xludf.DUMMYFUNCTION("GOOGLETRANSLATE(B1061,""id"",""en"")"),"['Application', 'Lot', 'really', ""]")</f>
        <v>['Application', 'Lot', 'really', "]</v>
      </c>
      <c r="D1061" s="4">
        <v>3.0</v>
      </c>
    </row>
    <row r="1062" ht="15.75" customHeight="1">
      <c r="A1062" s="1">
        <v>1188.0</v>
      </c>
      <c r="B1062" s="4" t="s">
        <v>1039</v>
      </c>
      <c r="C1062" s="4" t="str">
        <f>IFERROR(__xludf.DUMMYFUNCTION("GOOGLETRANSLATE(B1062,""id"",""en"")"),"['Level', 'Performance']")</f>
        <v>['Level', 'Performance']</v>
      </c>
      <c r="D1062" s="4">
        <v>3.0</v>
      </c>
    </row>
    <row r="1063" ht="15.75" customHeight="1">
      <c r="A1063" s="1">
        <v>1189.0</v>
      </c>
      <c r="B1063" s="4" t="s">
        <v>1040</v>
      </c>
      <c r="C1063" s="4" t="str">
        <f>IFERROR(__xludf.DUMMYFUNCTION("GOOGLETRANSLATE(B1063,""id"",""en"")"),"['internet', 'ugly', 'really', 'mending', 'biznet']")</f>
        <v>['internet', 'ugly', 'really', 'mending', 'biznet']</v>
      </c>
      <c r="D1063" s="4">
        <v>1.0</v>
      </c>
    </row>
    <row r="1064" ht="15.75" customHeight="1">
      <c r="A1064" s="1">
        <v>1190.0</v>
      </c>
      <c r="B1064" s="4" t="s">
        <v>1041</v>
      </c>
      <c r="C1064" s="4" t="str">
        <f>IFERROR(__xludf.DUMMYFUNCTION("GOOGLETRANSLATE(B1064,""id"",""en"")"),"['Report', 'difficult', 'replied', 'muter', 'muter', 'just', 'application', '']")</f>
        <v>['Report', 'difficult', 'replied', 'muter', 'muter', 'just', 'application', '']</v>
      </c>
      <c r="D1064" s="4">
        <v>1.0</v>
      </c>
    </row>
    <row r="1065" ht="15.75" customHeight="1">
      <c r="A1065" s="1">
        <v>1191.0</v>
      </c>
      <c r="B1065" s="4" t="s">
        <v>1042</v>
      </c>
      <c r="C1065" s="4" t="str">
        <f>IFERROR(__xludf.DUMMYFUNCTION("GOOGLETRANSLATE(B1065,""id"",""en"")"),"['application', 'no', 'use', 'no', 'for', '']")</f>
        <v>['application', 'no', 'use', 'no', 'for', '']</v>
      </c>
      <c r="D1065" s="4">
        <v>1.0</v>
      </c>
    </row>
    <row r="1066" ht="15.75" customHeight="1">
      <c r="A1066" s="1">
        <v>1192.0</v>
      </c>
      <c r="B1066" s="4" t="s">
        <v>1043</v>
      </c>
      <c r="C1066" s="4" t="str">
        <f>IFERROR(__xludf.DUMMYFUNCTION("GOOGLETRANSLATE(B1066,""id"",""en"")"),"['chaotic', 'really', 'lot', 'error', 'mulu', 'net', 'application', '']")</f>
        <v>['chaotic', 'really', 'lot', 'error', 'mulu', 'net', 'application', '']</v>
      </c>
      <c r="D1066" s="4">
        <v>2.0</v>
      </c>
    </row>
    <row r="1067" ht="15.75" customHeight="1">
      <c r="A1067" s="1">
        <v>1193.0</v>
      </c>
      <c r="B1067" s="4" t="s">
        <v>1044</v>
      </c>
      <c r="C1067" s="4" t="str">
        <f>IFERROR(__xludf.DUMMYFUNCTION("GOOGLETRANSLATE(B1067,""id"",""en"")"),"['WiFi', 'Haram', 'Udh', 'Disturbs', 'Please', 'Good', 'Gara', 'WiFi', 'Pay', 'TPI', 'Taste', ""]")</f>
        <v>['WiFi', 'Haram', 'Udh', 'Disturbs', 'Please', 'Good', 'Gara', 'WiFi', 'Pay', 'TPI', 'Taste', "]</v>
      </c>
      <c r="D1067" s="4">
        <v>1.0</v>
      </c>
    </row>
    <row r="1068" ht="15.75" customHeight="1">
      <c r="A1068" s="1">
        <v>1194.0</v>
      </c>
      <c r="B1068" s="4" t="s">
        <v>1045</v>
      </c>
      <c r="C1068" s="4" t="str">
        <f>IFERROR(__xludf.DUMMYFUNCTION("GOOGLETRANSLATE(B1068,""id"",""en"")"),"['Get', 'Reply', 'Indihome', 'Nang', 'Date', 'Internet', 'Date', 'Please', 'See', 'Line', 'Indihome', 'Different', ' Different ',' Tasks', 'Experts',' Professional ',' Field ',' Ngakalin ',' Tok ',' Hose ',' Box ',' Closed ',' Pole ',' Line ',' already ' "&amp;", 'Mana', 'Come here', 'Yesterday', 'What', 'error', 'cable', 'electricity', 'hit', 'water', 'responsibility', 'boss', ""]")</f>
        <v>['Get', 'Reply', 'Indihome', 'Nang', 'Date', 'Internet', 'Date', 'Please', 'See', 'Line', 'Indihome', 'Different', ' Different ',' Tasks', 'Experts',' Professional ',' Field ',' Ngakalin ',' Tok ',' Hose ',' Box ',' Closed ',' Pole ',' Line ',' already ' , 'Mana', 'Come here', 'Yesterday', 'What', 'error', 'cable', 'electricity', 'hit', 'water', 'responsibility', 'boss', "]</v>
      </c>
      <c r="D1068" s="4">
        <v>1.0</v>
      </c>
    </row>
    <row r="1069" ht="15.75" customHeight="1">
      <c r="A1069" s="1">
        <v>1195.0</v>
      </c>
      <c r="B1069" s="4" t="s">
        <v>1046</v>
      </c>
      <c r="C1069" s="4" t="str">
        <f>IFERROR(__xludf.DUMMYFUNCTION("GOOGLETRANSLATE(B1069,""id"",""en"")"),"['Report', 'reset', 'times', 'rapon', 'unplug', 'stop', 'subscribe', ""]")</f>
        <v>['Report', 'reset', 'times', 'rapon', 'unplug', 'stop', 'subscribe', "]</v>
      </c>
      <c r="D1069" s="4">
        <v>3.0</v>
      </c>
    </row>
    <row r="1070" ht="15.75" customHeight="1">
      <c r="A1070" s="1">
        <v>1196.0</v>
      </c>
      <c r="B1070" s="4" t="s">
        <v>1047</v>
      </c>
      <c r="C1070" s="4" t="str">
        <f>IFERROR(__xludf.DUMMYFUNCTION("GOOGLETRANSLATE(B1070,""id"",""en"")"),"['Amanah', 'Indihome', 'AJU', 'Refund', 'deposit', 'week', 'call', 'admin', 'broke', 'telkom', 'telephone', 'night', ' Hours', 'clock', 'rest', 'Keep', 'Ridho', ""]")</f>
        <v>['Amanah', 'Indihome', 'AJU', 'Refund', 'deposit', 'week', 'call', 'admin', 'broke', 'telkom', 'telephone', 'night', ' Hours', 'clock', 'rest', 'Keep', 'Ridho', "]</v>
      </c>
      <c r="D1070" s="4">
        <v>1.0</v>
      </c>
    </row>
    <row r="1071" ht="15.75" customHeight="1">
      <c r="A1071" s="1">
        <v>1197.0</v>
      </c>
      <c r="B1071" s="4" t="s">
        <v>1048</v>
      </c>
      <c r="C1071" s="4" t="str">
        <f>IFERROR(__xludf.DUMMYFUNCTION("GOOGLETRANSLATE(B1071,""id"",""en"")"),"['Disappointed', 'Indihome', 'respond', 'internet', 'use', 'fast', 'respond', 'understand', 'for', 'respond', 'day', 'confirm', ' What ',' late ',' pay ',' disappointed ',' ']")</f>
        <v>['Disappointed', 'Indihome', 'respond', 'internet', 'use', 'fast', 'respond', 'understand', 'for', 'respond', 'day', 'confirm', ' What ',' late ',' pay ',' disappointed ',' ']</v>
      </c>
      <c r="D1071" s="4">
        <v>1.0</v>
      </c>
    </row>
    <row r="1072" ht="15.75" customHeight="1">
      <c r="A1072" s="1">
        <v>1198.0</v>
      </c>
      <c r="B1072" s="4" t="s">
        <v>1049</v>
      </c>
      <c r="C1072" s="4" t="str">
        <f>IFERROR(__xludf.DUMMYFUNCTION("GOOGLETRANSLATE(B1072,""id"",""en"")"),"['Application', 'stable', 'Nge', 'Hang', 'Add', 'Error', 'Mulu', ""]")</f>
        <v>['Application', 'stable', 'Nge', 'Hang', 'Add', 'Error', 'Mulu', "]</v>
      </c>
      <c r="D1072" s="4">
        <v>1.0</v>
      </c>
    </row>
    <row r="1073" ht="15.75" customHeight="1">
      <c r="A1073" s="1">
        <v>1199.0</v>
      </c>
      <c r="B1073" s="4" t="s">
        <v>1050</v>
      </c>
      <c r="C1073" s="4" t="str">
        <f>IFERROR(__xludf.DUMMYFUNCTION("GOOGLETRANSLATE(B1073,""id"",""en"")"),"['application', 'crazy', 'udh', 'open', 'gerinin', 'diem', 'screen', 'times',' enter ',' application ',' motion ',' check ',' tags', 'difficult', 'really']")</f>
        <v>['application', 'crazy', 'udh', 'open', 'gerinin', 'diem', 'screen', 'times',' enter ',' application ',' motion ',' check ',' tags', 'difficult', 'really']</v>
      </c>
      <c r="D1073" s="4">
        <v>1.0</v>
      </c>
    </row>
    <row r="1074" ht="15.75" customHeight="1">
      <c r="A1074" s="1">
        <v>1200.0</v>
      </c>
      <c r="B1074" s="4" t="s">
        <v>1051</v>
      </c>
      <c r="C1074" s="4" t="str">
        <f>IFERROR(__xludf.DUMMYFUNCTION("GOOGLETRANSLATE(B1074,""id"",""en"")"),"['Severe', 'Severe', 'Install', 'Verification', 'Dipelek', 'GIGEN', 'RICH', 'PRT', 'SYSRQ', 'Keyboard', 'Peagin', ""]")</f>
        <v>['Severe', 'Severe', 'Install', 'Verification', 'Dipelek', 'GIGEN', 'RICH', 'PRT', 'SYSRQ', 'Keyboard', 'Peagin', "]</v>
      </c>
      <c r="D1074" s="4">
        <v>1.0</v>
      </c>
    </row>
    <row r="1075" ht="15.75" customHeight="1">
      <c r="A1075" s="1">
        <v>1201.0</v>
      </c>
      <c r="B1075" s="4" t="s">
        <v>1052</v>
      </c>
      <c r="C1075" s="4" t="str">
        <f>IFERROR(__xludf.DUMMYFUNCTION("GOOGLETRANSLATE(B1075,""id"",""en"")"),"['Knpa', 'difficult', 'enter', 'failed', 'then']")</f>
        <v>['Knpa', 'difficult', 'enter', 'failed', 'then']</v>
      </c>
      <c r="D1075" s="4">
        <v>1.0</v>
      </c>
    </row>
    <row r="1076" ht="15.75" customHeight="1">
      <c r="A1076" s="1">
        <v>1202.0</v>
      </c>
      <c r="B1076" s="4" t="s">
        <v>1053</v>
      </c>
      <c r="C1076" s="4" t="str">
        <f>IFERROR(__xludf.DUMMYFUNCTION("GOOGLETRANSLATE(B1076,""id"",""en"")"),"['Install', 'Open', 'Login', 'Enter', 'Application', 'Lot', 'Bener', ""]")</f>
        <v>['Install', 'Open', 'Login', 'Enter', 'Application', 'Lot', 'Bener', "]</v>
      </c>
      <c r="D1076" s="4">
        <v>1.0</v>
      </c>
    </row>
    <row r="1077" ht="15.75" customHeight="1">
      <c r="A1077" s="1">
        <v>1203.0</v>
      </c>
      <c r="B1077" s="4" t="s">
        <v>1054</v>
      </c>
      <c r="C1077" s="4" t="str">
        <f>IFERROR(__xludf.DUMMYFUNCTION("GOOGLETRANSLATE(B1077,""id"",""en"")"),"['Halamnya', 'not', 'responding', 'sometimes', 'reload', 'response', 'on', 'nets', 'signal', 'safe']")</f>
        <v>['Halamnya', 'not', 'responding', 'sometimes', 'reload', 'response', 'on', 'nets', 'signal', 'safe']</v>
      </c>
      <c r="D1077" s="4">
        <v>1.0</v>
      </c>
    </row>
    <row r="1078" ht="15.75" customHeight="1">
      <c r="A1078" s="1">
        <v>1204.0</v>
      </c>
      <c r="B1078" s="4" t="s">
        <v>1055</v>
      </c>
      <c r="C1078" s="4" t="str">
        <f>IFERROR(__xludf.DUMMYFUNCTION("GOOGLETRANSLATE(B1078,""id"",""en"")"),"['Details', 'details', 'tags', 'month', 'missing', 'eCek', 'tags', 'month', 'delicious', 'direct', 'application', '']")</f>
        <v>['Details', 'details', 'tags', 'month', 'missing', 'eCek', 'tags', 'month', 'delicious', 'direct', 'application', '']</v>
      </c>
      <c r="D1078" s="4">
        <v>1.0</v>
      </c>
    </row>
    <row r="1079" ht="15.75" customHeight="1">
      <c r="A1079" s="1">
        <v>1205.0</v>
      </c>
      <c r="B1079" s="4" t="s">
        <v>1056</v>
      </c>
      <c r="C1079" s="4" t="str">
        <f>IFERROR(__xludf.DUMMYFUNCTION("GOOGLETRANSLATE(B1079,""id"",""en"")"),"['Application', 'Indihome', 'severe', 'lot', 'really', 'details',' tags', 'see', 'use', 'error', 'staple', 'disappointed', ' ']")</f>
        <v>['Application', 'Indihome', 'severe', 'lot', 'really', 'details',' tags', 'see', 'use', 'error', 'staple', 'disappointed', ' ']</v>
      </c>
      <c r="D1079" s="4">
        <v>1.0</v>
      </c>
    </row>
    <row r="1080" ht="15.75" customHeight="1">
      <c r="A1080" s="1">
        <v>1206.0</v>
      </c>
      <c r="B1080" s="4" t="s">
        <v>1057</v>
      </c>
      <c r="C1080" s="4" t="str">
        <f>IFERROR(__xludf.DUMMYFUNCTION("GOOGLETRANSLATE(B1080,""id"",""en"")"),"['cave', 'Samsung', 'Ultra', 'Severe', 'really', 'lag', 'see', 'menu', 'severe', 'forgiveness']")</f>
        <v>['cave', 'Samsung', 'Ultra', 'Severe', 'really', 'lag', 'see', 'menu', 'severe', 'forgiveness']</v>
      </c>
      <c r="D1080" s="4">
        <v>1.0</v>
      </c>
    </row>
    <row r="1081" ht="15.75" customHeight="1">
      <c r="A1081" s="1">
        <v>1207.0</v>
      </c>
      <c r="B1081" s="4" t="s">
        <v>1058</v>
      </c>
      <c r="C1081" s="4" t="str">
        <f>IFERROR(__xludf.DUMMYFUNCTION("GOOGLETRANSLATE(B1081,""id"",""en"")"),"['hard', 'login', 'stack', 'page', 'code', 'OTP', 'Developer', ""]")</f>
        <v>['hard', 'login', 'stack', 'page', 'code', 'OTP', 'Developer', "]</v>
      </c>
      <c r="D1081" s="4">
        <v>1.0</v>
      </c>
    </row>
    <row r="1082" ht="15.75" customHeight="1">
      <c r="A1082" s="1">
        <v>1208.0</v>
      </c>
      <c r="B1082" s="4" t="s">
        <v>1059</v>
      </c>
      <c r="C1082" s="4" t="str">
        <f>IFERROR(__xludf.DUMMYFUNCTION("GOOGLETRANSLATE(B1082,""id"",""en"")"),"['', 'Error']")</f>
        <v>['', 'Error']</v>
      </c>
      <c r="D1082" s="4">
        <v>1.0</v>
      </c>
    </row>
    <row r="1083" ht="15.75" customHeight="1">
      <c r="A1083" s="1">
        <v>1209.0</v>
      </c>
      <c r="B1083" s="4" t="s">
        <v>1060</v>
      </c>
      <c r="C1083" s="4" t="str">
        <f>IFERROR(__xludf.DUMMYFUNCTION("GOOGLETRANSLATE(B1083,""id"",""en"")"),"['Application', 'Bug', 'Loading', 'Severe']")</f>
        <v>['Application', 'Bug', 'Loading', 'Severe']</v>
      </c>
      <c r="D1083" s="4">
        <v>1.0</v>
      </c>
    </row>
    <row r="1084" ht="15.75" customHeight="1">
      <c r="A1084" s="1">
        <v>1210.0</v>
      </c>
      <c r="B1084" s="4" t="s">
        <v>1061</v>
      </c>
      <c r="C1084" s="4" t="str">
        <f>IFERROR(__xludf.DUMMYFUNCTION("GOOGLETRANSLATE(B1084,""id"",""en"")"),"['Exit', 'month']")</f>
        <v>['Exit', 'month']</v>
      </c>
      <c r="D1084" s="4">
        <v>5.0</v>
      </c>
    </row>
    <row r="1085" ht="15.75" customHeight="1">
      <c r="A1085" s="1">
        <v>1211.0</v>
      </c>
      <c r="B1085" s="4" t="s">
        <v>961</v>
      </c>
      <c r="C1085" s="4" t="str">
        <f>IFERROR(__xludf.DUMMYFUNCTION("GOOGLETRANSLATE(B1085,""id"",""en"")"),"['login']")</f>
        <v>['login']</v>
      </c>
      <c r="D1085" s="4">
        <v>1.0</v>
      </c>
    </row>
    <row r="1086" ht="15.75" customHeight="1">
      <c r="A1086" s="1">
        <v>1212.0</v>
      </c>
      <c r="B1086" s="4" t="s">
        <v>1062</v>
      </c>
      <c r="C1086" s="4" t="str">
        <f>IFERROR(__xludf.DUMMYFUNCTION("GOOGLETRANSLATE(B1086,""id"",""en"")"),"['oath', 'Login', 'PDAH', 'Code', 'OTP', 'Bner', ""]")</f>
        <v>['oath', 'Login', 'PDAH', 'Code', 'OTP', 'Bner', "]</v>
      </c>
      <c r="D1086" s="4">
        <v>1.0</v>
      </c>
    </row>
    <row r="1087" ht="15.75" customHeight="1">
      <c r="A1087" s="1">
        <v>1213.0</v>
      </c>
      <c r="B1087" s="4" t="s">
        <v>1063</v>
      </c>
      <c r="C1087" s="4" t="str">
        <f>IFERROR(__xludf.DUMMYFUNCTION("GOOGLETRANSLATE(B1087,""id"",""en"")"),"['Tama', 'pairs',' net ',' smooth ',' lot ',' already ',' package ',' good ',' pay ',' smooth ',' deposit ',' lot ',' no', '']")</f>
        <v>['Tama', 'pairs',' net ',' smooth ',' lot ',' already ',' package ',' good ',' pay ',' smooth ',' deposit ',' lot ',' no', '']</v>
      </c>
      <c r="D1087" s="4">
        <v>1.0</v>
      </c>
    </row>
    <row r="1088" ht="15.75" customHeight="1">
      <c r="A1088" s="1">
        <v>1214.0</v>
      </c>
      <c r="B1088" s="4" t="s">
        <v>1064</v>
      </c>
      <c r="C1088" s="4" t="str">
        <f>IFERROR(__xludf.DUMMYFUNCTION("GOOGLETRANSLATE(B1088,""id"",""en"")"),"['Indihome', 'Tide', 'Tau', 'Trouble', 'How', 'CCT', 'Indihome', 'Bad']")</f>
        <v>['Indihome', 'Tide', 'Tau', 'Trouble', 'How', 'CCT', 'Indihome', 'Bad']</v>
      </c>
      <c r="D1088" s="4">
        <v>1.0</v>
      </c>
    </row>
    <row r="1089" ht="15.75" customHeight="1">
      <c r="A1089" s="1">
        <v>1215.0</v>
      </c>
      <c r="B1089" s="4" t="s">
        <v>1065</v>
      </c>
      <c r="C1089" s="4" t="str">
        <f>IFERROR(__xludf.DUMMYFUNCTION("GOOGLETRANSLATE(B1089,""id"",""en"")"),"['slow', 'response', 'complain']")</f>
        <v>['slow', 'response', 'complain']</v>
      </c>
      <c r="D1089" s="4">
        <v>1.0</v>
      </c>
    </row>
    <row r="1090" ht="15.75" customHeight="1">
      <c r="A1090" s="1">
        <v>1216.0</v>
      </c>
      <c r="B1090" s="4" t="s">
        <v>1066</v>
      </c>
      <c r="C1090" s="4" t="str">
        <f>IFERROR(__xludf.DUMMYFUNCTION("GOOGLETRANSLATE(B1090,""id"",""en"")"),"['APK', 'Lot', 'like', 'Ngehank', 'That's',' right ',' Loading ',' appears', 'UDH', 'update', 'application', 'smpe', ' Reinstall ',' Tetep ',' Slalu ',' Ngehank ',' Dri ',' Space ',' Save ',' Safe ',' Please ',' Good ',' Makasihh ']")</f>
        <v>['APK', 'Lot', 'like', 'Ngehank', 'That's',' right ',' Loading ',' appears', 'UDH', 'update', 'application', 'smpe', ' Reinstall ',' Tetep ',' Slalu ',' Ngehank ',' Dri ',' Space ',' Save ',' Safe ',' Please ',' Good ',' Makasihh ']</v>
      </c>
      <c r="D1090" s="4">
        <v>2.0</v>
      </c>
    </row>
    <row r="1091" ht="15.75" customHeight="1">
      <c r="A1091" s="1">
        <v>1217.0</v>
      </c>
      <c r="B1091" s="4" t="s">
        <v>1067</v>
      </c>
      <c r="C1091" s="4" t="str">
        <f>IFERROR(__xludf.DUMMYFUNCTION("GOOGLETRANSLATE(B1091,""id"",""en"")"),"['Tide', 'technician', 'pedestal', 'line', 'full', 'panel', 'close', 'emang', 'full', 'panel', 'disappointed', 'class',' Indihome ',' net ',' fiber ',' optics', 'difficult', 'take care']")</f>
        <v>['Tide', 'technician', 'pedestal', 'line', 'full', 'panel', 'close', 'emang', 'full', 'panel', 'disappointed', 'class',' Indihome ',' net ',' fiber ',' optics', 'difficult', 'take care']</v>
      </c>
      <c r="D1091" s="4">
        <v>1.0</v>
      </c>
    </row>
    <row r="1092" ht="15.75" customHeight="1">
      <c r="A1092" s="1">
        <v>1218.0</v>
      </c>
      <c r="B1092" s="4" t="s">
        <v>1068</v>
      </c>
      <c r="C1092" s="4" t="str">
        <f>IFERROR(__xludf.DUMMYFUNCTION("GOOGLETRANSLATE(B1092,""id"",""en"")"),"['Out', 'update', 'strange', 'login', 'enter', 'code', 'otp', 'wait', 'minute', 'can', 'enter', 'high school', ' OTP ',' OTP ',' option ',' geometry ',' cave ',' skip ',' failed ',' login ',' cave ',' yes', 'enter', 'password', 'wrong' , 'Mulu', 'mingkk',"&amp;" 'cave', 'forget', 'push', 'forget', 'password', 'fail', 'replace', 'password', 'application', 'complicated', ' Login ',' Cave ',' Login ',' Liat ',' Internet ',' Pay ',' Pay ',' Kagak ', ""]")</f>
        <v>['Out', 'update', 'strange', 'login', 'enter', 'code', 'otp', 'wait', 'minute', 'can', 'enter', 'high school', ' OTP ',' OTP ',' option ',' geometry ',' cave ',' skip ',' failed ',' login ',' cave ',' yes', 'enter', 'password', 'wrong' , 'Mulu', 'mingkk', 'cave', 'forget', 'push', 'forget', 'password', 'fail', 'replace', 'password', 'application', 'complicated', ' Login ',' Cave ',' Login ',' Liat ',' Internet ',' Pay ',' Pay ',' Kagak ', "]</v>
      </c>
      <c r="D1092" s="4">
        <v>1.0</v>
      </c>
    </row>
    <row r="1093" ht="15.75" customHeight="1">
      <c r="A1093" s="1">
        <v>1219.0</v>
      </c>
      <c r="B1093" s="4" t="s">
        <v>1069</v>
      </c>
      <c r="C1093" s="4" t="str">
        <f>IFERROR(__xludf.DUMMYFUNCTION("GOOGLETRANSLATE(B1093,""id"",""en"")"),"['application', 'intention', 'gabisa', 'open', 'wifi', 'rich', 'disturbing', 'week', 'week', 'report', 'service', 'gabisa', ' disappointed']")</f>
        <v>['application', 'intention', 'gabisa', 'open', 'wifi', 'rich', 'disturbing', 'week', 'week', 'report', 'service', 'gabisa', ' disappointed']</v>
      </c>
      <c r="D1093" s="4">
        <v>1.0</v>
      </c>
    </row>
    <row r="1094" ht="15.75" customHeight="1">
      <c r="A1094" s="1">
        <v>1220.0</v>
      </c>
      <c r="B1094" s="4" t="s">
        <v>363</v>
      </c>
      <c r="C1094" s="4" t="str">
        <f>IFERROR(__xludf.DUMMYFUNCTION("GOOGLETRANSLATE(B1094,""id"",""en"")"),"['Useless']")</f>
        <v>['Useless']</v>
      </c>
      <c r="D1094" s="4">
        <v>2.0</v>
      </c>
    </row>
    <row r="1095" ht="15.75" customHeight="1">
      <c r="A1095" s="1">
        <v>1221.0</v>
      </c>
      <c r="B1095" s="4" t="s">
        <v>1070</v>
      </c>
      <c r="C1095" s="4" t="str">
        <f>IFERROR(__xludf.DUMMYFUNCTION("GOOGLETRANSLATE(B1095,""id"",""en"")"),"['', 'really', 'Error', 'Loading', 'Doang', 'appears']")</f>
        <v>['', 'really', 'Error', 'Loading', 'Doang', 'appears']</v>
      </c>
      <c r="D1095" s="4">
        <v>1.0</v>
      </c>
    </row>
    <row r="1096" ht="15.75" customHeight="1">
      <c r="A1096" s="1">
        <v>1222.0</v>
      </c>
      <c r="B1096" s="4" t="s">
        <v>1071</v>
      </c>
      <c r="C1096" s="4" t="str">
        <f>IFERROR(__xludf.DUMMYFUNCTION("GOOGLETRANSLATE(B1096,""id"",""en"")"),"['Application', 'Open', 'Lot']")</f>
        <v>['Application', 'Open', 'Lot']</v>
      </c>
      <c r="D1096" s="4">
        <v>1.0</v>
      </c>
    </row>
    <row r="1097" ht="15.75" customHeight="1">
      <c r="A1097" s="1">
        <v>1223.0</v>
      </c>
      <c r="B1097" s="4" t="s">
        <v>1072</v>
      </c>
      <c r="C1097" s="4" t="str">
        <f>IFERROR(__xludf.DUMMYFUNCTION("GOOGLETRANSLATE(B1097,""id"",""en"")"),"['Like']")</f>
        <v>['Like']</v>
      </c>
      <c r="D1097" s="4">
        <v>5.0</v>
      </c>
    </row>
    <row r="1098" ht="15.75" customHeight="1">
      <c r="A1098" s="1">
        <v>1224.0</v>
      </c>
      <c r="B1098" s="4" t="s">
        <v>1073</v>
      </c>
      <c r="C1098" s="4" t="str">
        <f>IFERROR(__xludf.DUMMYFUNCTION("GOOGLETRANSLATE(B1098,""id"",""en"")"),"['Disappointed', 'Application', 'Indihome', 'Price', 'Catchplay', 'COMMUNDING']")</f>
        <v>['Disappointed', 'Application', 'Indihome', 'Price', 'Catchplay', 'COMMUNDING']</v>
      </c>
      <c r="D1098" s="4">
        <v>1.0</v>
      </c>
    </row>
    <row r="1099" ht="15.75" customHeight="1">
      <c r="A1099" s="1">
        <v>1225.0</v>
      </c>
      <c r="B1099" s="4" t="s">
        <v>1074</v>
      </c>
      <c r="C1099" s="4" t="str">
        <f>IFERROR(__xludf.DUMMYFUNCTION("GOOGLETRANSLATE(B1099,""id"",""en"")"),"['Good', 'Indihome', 'Moga', 'Jaya']")</f>
        <v>['Good', 'Indihome', 'Moga', 'Jaya']</v>
      </c>
      <c r="D1099" s="4">
        <v>5.0</v>
      </c>
    </row>
    <row r="1100" ht="15.75" customHeight="1">
      <c r="A1100" s="1">
        <v>1226.0</v>
      </c>
      <c r="B1100" s="4" t="s">
        <v>1075</v>
      </c>
      <c r="C1100" s="4" t="str">
        <f>IFERROR(__xludf.DUMMYFUNCTION("GOOGLETRANSLATE(B1100,""id"",""en"")"),"['otensikasi', 'wifi']")</f>
        <v>['otensikasi', 'wifi']</v>
      </c>
      <c r="D1100" s="4">
        <v>3.0</v>
      </c>
    </row>
    <row r="1101" ht="15.75" customHeight="1">
      <c r="A1101" s="1">
        <v>1227.0</v>
      </c>
      <c r="B1101" s="4" t="s">
        <v>1076</v>
      </c>
      <c r="C1101" s="4" t="str">
        <f>IFERROR(__xludf.DUMMYFUNCTION("GOOGLETRANSLATE(B1101,""id"",""en"")"),"['Historical', 'Details', 'Guna', 'Update', '']")</f>
        <v>['Historical', 'Details', 'Guna', 'Update', '']</v>
      </c>
      <c r="D1101" s="4">
        <v>2.0</v>
      </c>
    </row>
    <row r="1102" ht="15.75" customHeight="1">
      <c r="A1102" s="1">
        <v>1228.0</v>
      </c>
      <c r="B1102" s="4" t="s">
        <v>1077</v>
      </c>
      <c r="C1102" s="4" t="str">
        <f>IFERROR(__xludf.DUMMYFUNCTION("GOOGLETRANSLATE(B1102,""id"",""en"")"),"['Details', 'Keloloa', 'Indihome', 'Easy', 'BNYK', 'BUG', '']")</f>
        <v>['Details', 'Keloloa', 'Indihome', 'Easy', 'BNYK', 'BUG', '']</v>
      </c>
      <c r="D1102" s="4">
        <v>1.0</v>
      </c>
    </row>
    <row r="1103" ht="15.75" customHeight="1">
      <c r="A1103" s="1">
        <v>1229.0</v>
      </c>
      <c r="B1103" s="4" t="s">
        <v>1078</v>
      </c>
      <c r="C1103" s="4" t="str">
        <f>IFERROR(__xludf.DUMMYFUNCTION("GOOGLETRANSLATE(B1103,""id"",""en"")"),"['Out', 'Upgrade', 'Mbps', 'Leet', 'Disconnect', 'Connect', 'Disappointed', 'Heavy', ""]")</f>
        <v>['Out', 'Upgrade', 'Mbps', 'Leet', 'Disconnect', 'Connect', 'Disappointed', 'Heavy', "]</v>
      </c>
      <c r="D1103" s="4">
        <v>1.0</v>
      </c>
    </row>
    <row r="1104" ht="15.75" customHeight="1">
      <c r="A1104" s="1">
        <v>1230.0</v>
      </c>
      <c r="B1104" s="4" t="s">
        <v>1079</v>
      </c>
      <c r="C1104" s="4" t="str">
        <f>IFERROR(__xludf.DUMMYFUNCTION("GOOGLETRANSLATE(B1104,""id"",""en"")"),"['bad', 'application', 'Loading', 'slow', '']")</f>
        <v>['bad', 'application', 'Loading', 'slow', '']</v>
      </c>
      <c r="D1104" s="4">
        <v>1.0</v>
      </c>
    </row>
    <row r="1105" ht="15.75" customHeight="1">
      <c r="A1105" s="1">
        <v>1231.0</v>
      </c>
      <c r="B1105" s="4" t="s">
        <v>1080</v>
      </c>
      <c r="C1105" s="4" t="str">
        <f>IFERROR(__xludf.DUMMYFUNCTION("GOOGLETRANSLATE(B1105,""id"",""en"")"),"['Indhome', 'ugly', 'lot', 'pay', 'wifi', 'late', 'service', 'disappointed']")</f>
        <v>['Indhome', 'ugly', 'lot', 'pay', 'wifi', 'late', 'service', 'disappointed']</v>
      </c>
      <c r="D1105" s="4">
        <v>1.0</v>
      </c>
    </row>
    <row r="1106" ht="15.75" customHeight="1">
      <c r="A1106" s="1">
        <v>1232.0</v>
      </c>
      <c r="B1106" s="4" t="s">
        <v>1081</v>
      </c>
      <c r="C1106" s="4" t="str">
        <f>IFERROR(__xludf.DUMMYFUNCTION("GOOGLETRANSLATE(B1106,""id"",""en"")"),"['Login', 'failed', 'wonder']")</f>
        <v>['Login', 'failed', 'wonder']</v>
      </c>
      <c r="D1106" s="4">
        <v>1.0</v>
      </c>
    </row>
    <row r="1107" ht="15.75" customHeight="1">
      <c r="A1107" s="1">
        <v>1233.0</v>
      </c>
      <c r="B1107" s="4" t="s">
        <v>1082</v>
      </c>
      <c r="C1107" s="4" t="str">
        <f>IFERROR(__xludf.DUMMYFUNCTION("GOOGLETRANSLATE(B1107,""id"",""en"")"),"['Application', 'Good', 'Click', 'Help', 'Tensing', 'Times',' Muter ',' TELKOM ',' TELKOM ',' service ',' class', 'the world', ' Shame ',' Application ',' Difficult ',' Access', 'Subscribe', 'Indihome', 'Good', 'Layan', 'Subscribe', 'Disappointed', ""]")</f>
        <v>['Application', 'Good', 'Click', 'Help', 'Tensing', 'Times',' Muter ',' TELKOM ',' TELKOM ',' service ',' class', 'the world', ' Shame ',' Application ',' Difficult ',' Access', 'Subscribe', 'Indihome', 'Good', 'Layan', 'Subscribe', 'Disappointed', "]</v>
      </c>
      <c r="D1107" s="4">
        <v>1.0</v>
      </c>
    </row>
    <row r="1108" ht="15.75" customHeight="1">
      <c r="A1108" s="1">
        <v>1234.0</v>
      </c>
      <c r="B1108" s="4" t="s">
        <v>1083</v>
      </c>
      <c r="C1108" s="4" t="str">
        <f>IFERROR(__xludf.DUMMYFUNCTION("GOOGLETRANSLATE(B1108,""id"",""en"")"),"['difficult', 'really', 'login', 'pdhal', 'easy', 'skrg', 'log', 'biometrics',' then ',' reset ',' password ',' difficult ',' Hadoohh ']")</f>
        <v>['difficult', 'really', 'login', 'pdhal', 'easy', 'skrg', 'log', 'biometrics',' then ',' reset ',' password ',' difficult ',' Hadoohh ']</v>
      </c>
      <c r="D1108" s="4">
        <v>1.0</v>
      </c>
    </row>
    <row r="1109" ht="15.75" customHeight="1">
      <c r="A1109" s="1">
        <v>1235.0</v>
      </c>
      <c r="B1109" s="4" t="s">
        <v>1084</v>
      </c>
      <c r="C1109" s="4" t="str">
        <f>IFERROR(__xludf.DUMMYFUNCTION("GOOGLETRANSLATE(B1109,""id"",""en"")"),"['', 'kmrn', 'open', 'application', 'nggk', 'blank', 'then', 'nggk', 'appears',' nominal ',' tap ',' udh ',' try ',' Uninstall ',' then ',' install ',' reset ',' Tetep ',' response ',' muter ',' then ',' nggk ',' byr ',' tghn ',' via ', 'Application', 'de"&amp;"h']")</f>
        <v>['', 'kmrn', 'open', 'application', 'nggk', 'blank', 'then', 'nggk', 'appears',' nominal ',' tap ',' udh ',' try ',' Uninstall ',' then ',' install ',' reset ',' Tetep ',' response ',' muter ',' then ',' nggk ',' byr ',' tghn ',' via ', 'Application', 'deh']</v>
      </c>
      <c r="D1109" s="4">
        <v>2.0</v>
      </c>
    </row>
    <row r="1110" ht="15.75" customHeight="1">
      <c r="A1110" s="1">
        <v>1236.0</v>
      </c>
      <c r="B1110" s="4" t="s">
        <v>1085</v>
      </c>
      <c r="C1110" s="4" t="str">
        <f>IFERROR(__xludf.DUMMYFUNCTION("GOOGLETRANSLATE(B1110,""id"",""en"")"),"['application', 'bad', 'Download']")</f>
        <v>['application', 'bad', 'Download']</v>
      </c>
      <c r="D1110" s="4">
        <v>1.0</v>
      </c>
    </row>
    <row r="1111" ht="15.75" customHeight="1">
      <c r="A1111" s="1">
        <v>1237.0</v>
      </c>
      <c r="B1111" s="4" t="s">
        <v>1086</v>
      </c>
      <c r="C1111" s="4" t="str">
        <f>IFERROR(__xludf.DUMMYFUNCTION("GOOGLETRANSLATE(B1111,""id"",""en"")"),"['application', 'lot', 'difficult', 'road']")</f>
        <v>['application', 'lot', 'difficult', 'road']</v>
      </c>
      <c r="D1111" s="4">
        <v>1.0</v>
      </c>
    </row>
    <row r="1112" ht="15.75" customHeight="1">
      <c r="A1112" s="1">
        <v>1238.0</v>
      </c>
      <c r="B1112" s="4" t="s">
        <v>1087</v>
      </c>
      <c r="C1112" s="4" t="str">
        <f>IFERROR(__xludf.DUMMYFUNCTION("GOOGLETRANSLATE(B1112,""id"",""en"")"),"['Registration', 'account', 'Myindihome', 'Failed', 'Please', 'Solution', 'Trims', '']")</f>
        <v>['Registration', 'account', 'Myindihome', 'Failed', 'Please', 'Solution', 'Trims', '']</v>
      </c>
      <c r="D1112" s="4">
        <v>2.0</v>
      </c>
    </row>
    <row r="1113" ht="15.75" customHeight="1">
      <c r="A1113" s="1">
        <v>1239.0</v>
      </c>
      <c r="B1113" s="4" t="s">
        <v>1088</v>
      </c>
      <c r="C1113" s="4" t="str">
        <f>IFERROR(__xludf.DUMMYFUNCTION("GOOGLETRANSLATE(B1113,""id"",""en"")"),"['Help', 'really', 'easy', 'ngeecrash', 'already', 'good']")</f>
        <v>['Help', 'really', 'easy', 'ngeecrash', 'already', 'good']</v>
      </c>
      <c r="D1113" s="4">
        <v>4.0</v>
      </c>
    </row>
    <row r="1114" ht="15.75" customHeight="1">
      <c r="A1114" s="1">
        <v>1240.0</v>
      </c>
      <c r="B1114" s="4" t="s">
        <v>1089</v>
      </c>
      <c r="C1114" s="4" t="str">
        <f>IFERROR(__xludf.DUMMYFUNCTION("GOOGLETRANSLATE(B1114,""id"",""en"")"),"['Myi', 'Error', ""]")</f>
        <v>['Myi', 'Error', "]</v>
      </c>
      <c r="D1114" s="4">
        <v>2.0</v>
      </c>
    </row>
    <row r="1115" ht="15.75" customHeight="1">
      <c r="A1115" s="1">
        <v>1241.0</v>
      </c>
      <c r="B1115" s="4" t="s">
        <v>1090</v>
      </c>
      <c r="C1115" s="4" t="str">
        <f>IFERROR(__xludf.DUMMYFUNCTION("GOOGLETRANSLATE(B1115,""id"",""en"")"),"['Login', 'Indihome', '']")</f>
        <v>['Login', 'Indihome', '']</v>
      </c>
      <c r="D1115" s="4">
        <v>1.0</v>
      </c>
    </row>
    <row r="1116" ht="15.75" customHeight="1">
      <c r="A1116" s="1">
        <v>1242.0</v>
      </c>
      <c r="B1116" s="4" t="s">
        <v>1091</v>
      </c>
      <c r="C1116" s="4" t="str">
        <f>IFERROR(__xludf.DUMMYFUNCTION("GOOGLETRANSLATE(B1116,""id"",""en"")"),"['Severe', 'Application', 'Difficult', 'Login', 'Application', 'Login']")</f>
        <v>['Severe', 'Application', 'Difficult', 'Login', 'Application', 'Login']</v>
      </c>
      <c r="D1116" s="4">
        <v>1.0</v>
      </c>
    </row>
    <row r="1117" ht="15.75" customHeight="1">
      <c r="A1117" s="1">
        <v>1243.0</v>
      </c>
      <c r="B1117" s="4" t="s">
        <v>1092</v>
      </c>
      <c r="C1117" s="4" t="str">
        <f>IFERROR(__xludf.DUMMYFUNCTION("GOOGLETRANSLATE(B1117,""id"",""en"")"),"['Upset', 'application', 'doang', 'difficult', 'really', 'check', 'use', 'see', 'tags']")</f>
        <v>['Upset', 'application', 'doang', 'difficult', 'really', 'check', 'use', 'see', 'tags']</v>
      </c>
      <c r="D1117" s="4">
        <v>4.0</v>
      </c>
    </row>
    <row r="1118" ht="15.75" customHeight="1">
      <c r="A1118" s="1">
        <v>1244.0</v>
      </c>
      <c r="B1118" s="4" t="s">
        <v>1093</v>
      </c>
      <c r="C1118" s="4" t="str">
        <f>IFERROR(__xludf.DUMMYFUNCTION("GOOGLETRANSLATE(B1118,""id"",""en"")"),"['trimakasih', 'proof', 'help', 'level', 'service', 'indihome', 'use', 'indihome', 'cool', ""]")</f>
        <v>['trimakasih', 'proof', 'help', 'level', 'service', 'indihome', 'use', 'indihome', 'cool', "]</v>
      </c>
      <c r="D1118" s="4">
        <v>4.0</v>
      </c>
    </row>
    <row r="1119" ht="15.75" customHeight="1">
      <c r="A1119" s="1">
        <v>1245.0</v>
      </c>
      <c r="B1119" s="4" t="s">
        <v>1094</v>
      </c>
      <c r="C1119" s="4" t="str">
        <f>IFERROR(__xludf.DUMMYFUNCTION("GOOGLETRANSLATE(B1119,""id"",""en"")"),"['Tide', 'Ride', 'Package', 'Mbps',' Gaada ',' Different ',' Application ',' Appear ',' Package ',' Take ',' Neighbor ',' Split ',' stop ',' subscribe ',' break up ',' cable ',' instead ',' break up ',' jumper ', ""]")</f>
        <v>['Tide', 'Ride', 'Package', 'Mbps',' Gaada ',' Different ',' Application ',' Appear ',' Package ',' Take ',' Neighbor ',' Split ',' stop ',' subscribe ',' break up ',' cable ',' instead ',' break up ',' jumper ', "]</v>
      </c>
      <c r="D1119" s="4">
        <v>1.0</v>
      </c>
    </row>
    <row r="1120" ht="15.75" customHeight="1">
      <c r="A1120" s="1">
        <v>1246.0</v>
      </c>
      <c r="B1120" s="4" t="s">
        <v>1095</v>
      </c>
      <c r="C1120" s="4" t="str">
        <f>IFERROR(__xludf.DUMMYFUNCTION("GOOGLETRANSLATE(B1120,""id"",""en"")"),"['Difficult', 'Login', 'Disturbs']")</f>
        <v>['Difficult', 'Login', 'Disturbs']</v>
      </c>
      <c r="D1120" s="4">
        <v>1.0</v>
      </c>
    </row>
    <row r="1121" ht="15.75" customHeight="1">
      <c r="A1121" s="1">
        <v>1247.0</v>
      </c>
      <c r="B1121" s="4" t="s">
        <v>1096</v>
      </c>
      <c r="C1121" s="4" t="str">
        <f>IFERROR(__xludf.DUMMYFUNCTION("GOOGLETRANSLATE(B1121,""id"",""en"")"),"['Please', 'Good']")</f>
        <v>['Please', 'Good']</v>
      </c>
      <c r="D1121" s="4">
        <v>2.0</v>
      </c>
    </row>
    <row r="1122" ht="15.75" customHeight="1">
      <c r="A1122" s="1">
        <v>1248.0</v>
      </c>
      <c r="B1122" s="4" t="s">
        <v>1097</v>
      </c>
      <c r="C1122" s="4" t="str">
        <f>IFERROR(__xludf.DUMMYFUNCTION("GOOGLETRANSLATE(B1122,""id"",""en"")"),"['', 'Change', 'direction', 'apk', 'suggestion', 'apk', 'dizzy', 'lgsng', 'click', 'update', 'delete', 'hell', 'cache ',' trs', 'download', 'reset', 'right', 'login', 'enter', 'NMR', 'verification', 'already', 'ngaco', 'pdhl', 'nmr', 'already', 'according"&amp;" to', 'stlh', 'right', 'already', 'msk', 'normal', 'know', 'right', 'click', 'button', 'complete', 'ngapa ',' IN ',' button ',' back ',' function ',' stop ',' forced ',' yaaaaah ',' severe ',' really ',' like ',' read ',' post ', 'MSLH', 'criticism', ""]")</f>
        <v>['', 'Change', 'direction', 'apk', 'suggestion', 'apk', 'dizzy', 'lgsng', 'click', 'update', 'delete', 'hell', 'cache ',' trs', 'download', 'reset', 'right', 'login', 'enter', 'NMR', 'verification', 'already', 'ngaco', 'pdhl', 'nmr', 'already', 'according to', 'stlh', 'right', 'already', 'msk', 'normal', 'know', 'right', 'click', 'button', 'complete', 'ngapa ',' IN ',' button ',' back ',' function ',' stop ',' forced ',' yaaaaah ',' severe ',' really ',' like ',' read ',' post ', 'MSLH', 'criticism', "]</v>
      </c>
      <c r="D1122" s="4">
        <v>1.0</v>
      </c>
    </row>
    <row r="1123" ht="15.75" customHeight="1">
      <c r="A1123" s="1">
        <v>1249.0</v>
      </c>
      <c r="B1123" s="4" t="s">
        <v>1098</v>
      </c>
      <c r="C1123" s="4" t="str">
        <f>IFERROR(__xludf.DUMMYFUNCTION("GOOGLETRANSLATE(B1123,""id"",""en"")"),"['Application', 'Ngebug', 'Professional', 'really']")</f>
        <v>['Application', 'Ngebug', 'Professional', 'really']</v>
      </c>
      <c r="D1123" s="4">
        <v>1.0</v>
      </c>
    </row>
    <row r="1124" ht="15.75" customHeight="1">
      <c r="A1124" s="1">
        <v>1250.0</v>
      </c>
      <c r="B1124" s="4" t="s">
        <v>1099</v>
      </c>
      <c r="C1124" s="4" t="str">
        <f>IFERROR(__xludf.DUMMYFUNCTION("GOOGLETRANSLATE(B1124,""id"",""en"")"),"['Disappointed', 'Up', 'Rates', 'Confirm']")</f>
        <v>['Disappointed', 'Up', 'Rates', 'Confirm']</v>
      </c>
      <c r="D1124" s="4">
        <v>1.0</v>
      </c>
    </row>
    <row r="1125" ht="15.75" customHeight="1">
      <c r="A1125" s="1">
        <v>1251.0</v>
      </c>
      <c r="B1125" s="4" t="s">
        <v>1100</v>
      </c>
      <c r="C1125" s="4" t="str">
        <f>IFERROR(__xludf.DUMMYFUNCTION("GOOGLETRANSLATE(B1125,""id"",""en"")"),"['Enter', 'difficult', 'Bangat', 'PKE', 'PKE', 'Email', 'Differar', 'Jdi', 'BGAI', 'MNA', 'Email', 'Differar', ' Indihom ']")</f>
        <v>['Enter', 'difficult', 'Bangat', 'PKE', 'PKE', 'Email', 'Differar', 'Jdi', 'BGAI', 'MNA', 'Email', 'Differar', ' Indihom ']</v>
      </c>
      <c r="D1125" s="4">
        <v>1.0</v>
      </c>
    </row>
    <row r="1126" ht="15.75" customHeight="1">
      <c r="A1126" s="1">
        <v>1252.0</v>
      </c>
      <c r="B1126" s="4" t="s">
        <v>1101</v>
      </c>
      <c r="C1126" s="4" t="str">
        <f>IFERROR(__xludf.DUMMYFUNCTION("GOOGLETRANSLATE(B1126,""id"",""en"")"),"['Log', 'use', 'email', 'number', 'application', '']")</f>
        <v>['Log', 'use', 'email', 'number', 'application', '']</v>
      </c>
      <c r="D1126" s="4">
        <v>1.0</v>
      </c>
    </row>
    <row r="1127" ht="15.75" customHeight="1">
      <c r="A1127" s="1">
        <v>1253.0</v>
      </c>
      <c r="B1127" s="4" t="s">
        <v>1102</v>
      </c>
      <c r="C1127" s="4" t="str">
        <f>IFERROR(__xludf.DUMMYFUNCTION("GOOGLETRANSLATE(B1127,""id"",""en"")"),"['Bug', 'really', 'rich', 'app', 'sled']")</f>
        <v>['Bug', 'really', 'rich', 'app', 'sled']</v>
      </c>
      <c r="D1127" s="4">
        <v>1.0</v>
      </c>
    </row>
    <row r="1128" ht="15.75" customHeight="1">
      <c r="A1128" s="1">
        <v>1254.0</v>
      </c>
      <c r="B1128" s="4" t="s">
        <v>1103</v>
      </c>
      <c r="C1128" s="4" t="str">
        <f>IFERROR(__xludf.DUMMYFUNCTION("GOOGLETRANSLATE(B1128,""id"",""en"")"),"['Hello', 'Sis', 'Subscribe', 'Indihome', 'Difficult', 'Enter', 'Account', 'Application']")</f>
        <v>['Hello', 'Sis', 'Subscribe', 'Indihome', 'Difficult', 'Enter', 'Account', 'Application']</v>
      </c>
      <c r="D1128" s="4">
        <v>4.0</v>
      </c>
    </row>
    <row r="1129" ht="15.75" customHeight="1">
      <c r="A1129" s="1">
        <v>1255.0</v>
      </c>
      <c r="B1129" s="4" t="s">
        <v>1104</v>
      </c>
      <c r="C1129" s="4" t="str">
        <f>IFERROR(__xludf.DUMMYFUNCTION("GOOGLETRANSLATE(B1129,""id"",""en"")"),"['Disappointed', 'Deputy', 'Thank you']")</f>
        <v>['Disappointed', 'Deputy', 'Thank you']</v>
      </c>
      <c r="D1129" s="4">
        <v>1.0</v>
      </c>
    </row>
    <row r="1130" ht="15.75" customHeight="1">
      <c r="A1130" s="1">
        <v>1256.0</v>
      </c>
      <c r="B1130" s="4" t="s">
        <v>1105</v>
      </c>
      <c r="C1130" s="4" t="str">
        <f>IFERROR(__xludf.DUMMYFUNCTION("GOOGLETRANSLATE(B1130,""id"",""en"")"),"['Help', 'TPI', 'Lot']")</f>
        <v>['Help', 'TPI', 'Lot']</v>
      </c>
      <c r="D1130" s="4">
        <v>5.0</v>
      </c>
    </row>
    <row r="1131" ht="15.75" customHeight="1">
      <c r="A1131" s="1">
        <v>1257.0</v>
      </c>
      <c r="B1131" s="4" t="s">
        <v>1106</v>
      </c>
      <c r="C1131" s="4" t="str">
        <f>IFERROR(__xludf.DUMMYFUNCTION("GOOGLETRANSLATE(B1131,""id"",""en"")"),"['Ngga', 'Login', 'account']")</f>
        <v>['Ngga', 'Login', 'account']</v>
      </c>
      <c r="D1131" s="4">
        <v>1.0</v>
      </c>
    </row>
    <row r="1132" ht="15.75" customHeight="1">
      <c r="A1132" s="1">
        <v>1258.0</v>
      </c>
      <c r="B1132" s="4" t="s">
        <v>1107</v>
      </c>
      <c r="C1132" s="4" t="str">
        <f>IFERROR(__xludf.DUMMYFUNCTION("GOOGLETRANSLATE(B1132,""id"",""en"")"),"['application', 'appeared', 'right', 'reinstall', 'login', 'complicated', 'alternating', 'enter', 'class',' indihome ',' koq ',' want ',' Back ',' menu ',' check ',' tags', 'detailed', 'application', 'point', 'thank', 'love', ""]")</f>
        <v>['application', 'appeared', 'right', 'reinstall', 'login', 'complicated', 'alternating', 'enter', 'class',' indihome ',' koq ',' want ',' Back ',' menu ',' check ',' tags', 'detailed', 'application', 'point', 'thank', 'love', "]</v>
      </c>
      <c r="D1132" s="4">
        <v>1.0</v>
      </c>
    </row>
    <row r="1133" ht="15.75" customHeight="1">
      <c r="A1133" s="1">
        <v>1259.0</v>
      </c>
      <c r="B1133" s="4" t="s">
        <v>1108</v>
      </c>
      <c r="C1133" s="4" t="str">
        <f>IFERROR(__xludf.DUMMYFUNCTION("GOOGLETRANSLATE(B1133,""id"",""en"")"),"['Indihome', 'already', 'internet', 'dead', 'report', 'Janjiin', 'technician']")</f>
        <v>['Indihome', 'already', 'internet', 'dead', 'report', 'Janjiin', 'technician']</v>
      </c>
      <c r="D1133" s="4">
        <v>1.0</v>
      </c>
    </row>
    <row r="1134" ht="15.75" customHeight="1">
      <c r="A1134" s="1">
        <v>1260.0</v>
      </c>
      <c r="B1134" s="4" t="s">
        <v>1109</v>
      </c>
      <c r="C1134" s="4" t="str">
        <f>IFERROR(__xludf.DUMMYFUNCTION("GOOGLETRANSLATE(B1134,""id"",""en"")"),"['help', 'verification', 'alternating', '']")</f>
        <v>['help', 'verification', 'alternating', '']</v>
      </c>
      <c r="D1134" s="4">
        <v>1.0</v>
      </c>
    </row>
    <row r="1135" ht="15.75" customHeight="1">
      <c r="A1135" s="1">
        <v>1261.0</v>
      </c>
      <c r="B1135" s="4" t="s">
        <v>1110</v>
      </c>
      <c r="C1135" s="4" t="str">
        <f>IFERROR(__xludf.DUMMYFUNCTION("GOOGLETRANSLATE(B1135,""id"",""en"")"),"['Application', 'problem', 'Nga', 'appears',' then ',' Sya ',' Try ',' Urgadet ',' Tink ',' fast ',' Lwat ',' apps', ' Nga ',' Try ',' Try ',' Nga ',' Nge ',' Lost ',' Lost ',' Lebibagus', 'Net', 'Telkom', 'Bandin', 'Net', 'Indhom' , '']")</f>
        <v>['Application', 'problem', 'Nga', 'appears',' then ',' Sya ',' Try ',' Urgadet ',' Tink ',' fast ',' Lwat ',' apps', ' Nga ',' Try ',' Try ',' Nga ',' Nge ',' Lost ',' Lost ',' Lebibagus', 'Net', 'Telkom', 'Bandin', 'Net', 'Indhom' , '']</v>
      </c>
      <c r="D1135" s="4">
        <v>2.0</v>
      </c>
    </row>
    <row r="1136" ht="15.75" customHeight="1">
      <c r="A1136" s="1">
        <v>1262.0</v>
      </c>
      <c r="B1136" s="4" t="s">
        <v>1111</v>
      </c>
      <c r="C1136" s="4" t="str">
        <f>IFERROR(__xludf.DUMMYFUNCTION("GOOGLETRANSLATE(B1136,""id"",""en"")"),"['Application', 'Login', 'BANGJE']")</f>
        <v>['Application', 'Login', 'BANGJE']</v>
      </c>
      <c r="D1136" s="4">
        <v>1.0</v>
      </c>
    </row>
    <row r="1137" ht="15.75" customHeight="1">
      <c r="A1137" s="1">
        <v>1264.0</v>
      </c>
      <c r="B1137" s="4" t="s">
        <v>1112</v>
      </c>
      <c r="C1137" s="4" t="str">
        <f>IFERROR(__xludf.DUMMYFUNCTION("GOOGLETRANSLATE(B1137,""id"",""en"")"),"['application', 'lot', 'really', 'info', 'tap', 'appear']")</f>
        <v>['application', 'lot', 'really', 'info', 'tap', 'appear']</v>
      </c>
      <c r="D1137" s="4">
        <v>1.0</v>
      </c>
    </row>
    <row r="1138" ht="15.75" customHeight="1">
      <c r="A1138" s="1">
        <v>1265.0</v>
      </c>
      <c r="B1138" s="4" t="s">
        <v>1113</v>
      </c>
      <c r="C1138" s="4" t="str">
        <f>IFERROR(__xludf.DUMMYFUNCTION("GOOGLETRANSLATE(B1138,""id"",""en"")"),"['UDH', 'Download', 'APK', 'INDIHOME', 'Application', 'PAS', 'Login', 'LGI', 'KGK', 'Caskek', 'TAGIN']")</f>
        <v>['UDH', 'Download', 'APK', 'INDIHOME', 'Application', 'PAS', 'Login', 'LGI', 'KGK', 'Caskek', 'TAGIN']</v>
      </c>
      <c r="D1138" s="4">
        <v>3.0</v>
      </c>
    </row>
    <row r="1139" ht="15.75" customHeight="1">
      <c r="A1139" s="1">
        <v>1266.0</v>
      </c>
      <c r="B1139" s="4" t="s">
        <v>1114</v>
      </c>
      <c r="C1139" s="4" t="str">
        <f>IFERROR(__xludf.DUMMYFUNCTION("GOOGLETRANSLATE(B1139,""id"",""en"")"),"['Application', 'Error']")</f>
        <v>['Application', 'Error']</v>
      </c>
      <c r="D1139" s="4">
        <v>1.0</v>
      </c>
    </row>
    <row r="1140" ht="15.75" customHeight="1">
      <c r="A1140" s="1">
        <v>1267.0</v>
      </c>
      <c r="B1140" s="4" t="s">
        <v>1115</v>
      </c>
      <c r="C1140" s="4" t="str">
        <f>IFERROR(__xludf.DUMMYFUNCTION("GOOGLETRANSLATE(B1140,""id"",""en"")"),"['application', 'open', 'Lot', 'detail', 'pay', 'ilangin', 'here', 'update', 'app', 'smakin', 'ugly']")</f>
        <v>['application', 'open', 'Lot', 'detail', 'pay', 'ilangin', 'here', 'update', 'app', 'smakin', 'ugly']</v>
      </c>
      <c r="D1140" s="4">
        <v>1.0</v>
      </c>
    </row>
    <row r="1141" ht="15.75" customHeight="1">
      <c r="A1141" s="1">
        <v>1268.0</v>
      </c>
      <c r="B1141" s="4" t="s">
        <v>1116</v>
      </c>
      <c r="C1141" s="4" t="str">
        <f>IFERROR(__xludf.DUMMYFUNCTION("GOOGLETRANSLATE(B1141,""id"",""en"")"),"['Disappointed', 'service', 'technicians',' Indihome ',' work ',' slow ',' price ',' goods', 'note', 'knp', 'direct', 'sell', ' cable ',' BLG ',' sell ',' subscribe ',' ']")</f>
        <v>['Disappointed', 'service', 'technicians',' Indihome ',' work ',' slow ',' price ',' goods', 'note', 'knp', 'direct', 'sell', ' cable ',' BLG ',' sell ',' subscribe ',' ']</v>
      </c>
      <c r="D1141" s="4">
        <v>1.0</v>
      </c>
    </row>
    <row r="1142" ht="15.75" customHeight="1">
      <c r="A1142" s="1">
        <v>1269.0</v>
      </c>
      <c r="B1142" s="4" t="s">
        <v>1117</v>
      </c>
      <c r="C1142" s="4" t="str">
        <f>IFERROR(__xludf.DUMMYFUNCTION("GOOGLETRANSLATE(B1142,""id"",""en"")"),"['Ribeeet']")</f>
        <v>['Ribeeet']</v>
      </c>
      <c r="D1142" s="4">
        <v>1.0</v>
      </c>
    </row>
    <row r="1143" ht="15.75" customHeight="1">
      <c r="A1143" s="1">
        <v>1270.0</v>
      </c>
      <c r="B1143" s="4" t="s">
        <v>1118</v>
      </c>
      <c r="C1143" s="4" t="str">
        <f>IFERROR(__xludf.DUMMYFUNCTION("GOOGLETRANSLATE(B1143,""id"",""en"")"),"['forgotten', 'password', 'login', 'reset', 'password', 'fail']")</f>
        <v>['forgotten', 'password', 'login', 'reset', 'password', 'fail']</v>
      </c>
      <c r="D1143" s="4">
        <v>1.0</v>
      </c>
    </row>
    <row r="1144" ht="15.75" customHeight="1">
      <c r="A1144" s="1">
        <v>1271.0</v>
      </c>
      <c r="B1144" s="4" t="s">
        <v>1119</v>
      </c>
      <c r="C1144" s="4" t="str">
        <f>IFERROR(__xludf.DUMMYFUNCTION("GOOGLETRANSLATE(B1144,""id"",""en"")"),"['application', 'erek', '']")</f>
        <v>['application', 'erek', '']</v>
      </c>
      <c r="D1144" s="4">
        <v>1.0</v>
      </c>
    </row>
    <row r="1145" ht="15.75" customHeight="1">
      <c r="A1145" s="1">
        <v>1272.0</v>
      </c>
      <c r="B1145" s="4" t="s">
        <v>1120</v>
      </c>
      <c r="C1145" s="4" t="str">
        <f>IFERROR(__xludf.DUMMYFUNCTION("GOOGLETRANSLATE(B1145,""id"",""en"")"),"['Application', 'use', 'refresh']")</f>
        <v>['Application', 'use', 'refresh']</v>
      </c>
      <c r="D1145" s="4">
        <v>1.0</v>
      </c>
    </row>
    <row r="1146" ht="15.75" customHeight="1">
      <c r="A1146" s="1">
        <v>1273.0</v>
      </c>
      <c r="B1146" s="4" t="s">
        <v>1121</v>
      </c>
      <c r="C1146" s="4" t="str">
        <f>IFERROR(__xludf.DUMMYFUNCTION("GOOGLETRANSLATE(B1146,""id"",""en"")"),"['broken', 'gin', 'application', 'new', 'comfortable', 'ehh', 'kek', 'hmm', '']")</f>
        <v>['broken', 'gin', 'application', 'new', 'comfortable', 'ehh', 'kek', 'hmm', '']</v>
      </c>
      <c r="D1146" s="4">
        <v>1.0</v>
      </c>
    </row>
    <row r="1147" ht="15.75" customHeight="1">
      <c r="A1147" s="1">
        <v>1274.0</v>
      </c>
      <c r="B1147" s="4" t="s">
        <v>1122</v>
      </c>
      <c r="C1147" s="4" t="str">
        <f>IFERROR(__xludf.DUMMYFUNCTION("GOOGLETRANSLATE(B1147,""id"",""en"")"),"['Login', 'ugly', 'really', 'application', 'good']")</f>
        <v>['Login', 'ugly', 'really', 'application', 'good']</v>
      </c>
      <c r="D1147" s="4">
        <v>1.0</v>
      </c>
    </row>
    <row r="1148" ht="15.75" customHeight="1">
      <c r="A1148" s="1">
        <v>1275.0</v>
      </c>
      <c r="B1148" s="4" t="s">
        <v>1123</v>
      </c>
      <c r="C1148" s="4" t="str">
        <f>IFERROR(__xludf.DUMMYFUNCTION("GOOGLETRANSLATE(B1148,""id"",""en"")"),"['no', 'app', 'clay', 'tags', 'no', 'signs', 'refresh', 'log', 'out', 'right', 'login', 'no']")</f>
        <v>['no', 'app', 'clay', 'tags', 'no', 'signs', 'refresh', 'log', 'out', 'right', 'login', 'no']</v>
      </c>
      <c r="D1148" s="4">
        <v>1.0</v>
      </c>
    </row>
    <row r="1149" ht="15.75" customHeight="1">
      <c r="A1149" s="1">
        <v>1276.0</v>
      </c>
      <c r="B1149" s="4" t="s">
        <v>1124</v>
      </c>
      <c r="C1149" s="4" t="str">
        <f>IFERROR(__xludf.DUMMYFUNCTION("GOOGLETRANSLATE(B1149,""id"",""en"")"),"['Application', 'Indihome', 'Difficult', 'Access',' History ',' Did ',' Lost ',' Tap ',' Slnjutnya ',' Appear ',' Appear ',' Error ',' Access', 'lazy', 'absenin', '']")</f>
        <v>['Application', 'Indihome', 'Difficult', 'Access',' History ',' Did ',' Lost ',' Tap ',' Slnjutnya ',' Appear ',' Appear ',' Error ',' Access', 'lazy', 'absenin', '']</v>
      </c>
      <c r="D1149" s="4">
        <v>1.0</v>
      </c>
    </row>
    <row r="1150" ht="15.75" customHeight="1">
      <c r="A1150" s="1">
        <v>1277.0</v>
      </c>
      <c r="B1150" s="4" t="s">
        <v>1125</v>
      </c>
      <c r="C1150" s="4" t="str">
        <f>IFERROR(__xludf.DUMMYFUNCTION("GOOGLETRANSLATE(B1150,""id"",""en"")"),"['Knpa', 'Login', 'Confused', 'Liat', 'Tagih']")</f>
        <v>['Knpa', 'Login', 'Confused', 'Liat', 'Tagih']</v>
      </c>
      <c r="D1150" s="4">
        <v>4.0</v>
      </c>
    </row>
    <row r="1151" ht="15.75" customHeight="1">
      <c r="A1151" s="1">
        <v>1278.0</v>
      </c>
      <c r="B1151" s="4" t="s">
        <v>1126</v>
      </c>
      <c r="C1151" s="4" t="str">
        <f>IFERROR(__xludf.DUMMYFUNCTION("GOOGLETRANSLATE(B1151,""id"",""en"")"),"['Errrrrrror']")</f>
        <v>['Errrrrrror']</v>
      </c>
      <c r="D1151" s="4">
        <v>1.0</v>
      </c>
    </row>
    <row r="1152" ht="15.75" customHeight="1">
      <c r="A1152" s="1">
        <v>1279.0</v>
      </c>
      <c r="B1152" s="4" t="s">
        <v>1127</v>
      </c>
      <c r="C1152" s="4" t="str">
        <f>IFERROR(__xludf.DUMMYFUNCTION("GOOGLETRANSLATE(B1152,""id"",""en"")"),"['difficult', 'access', 'signal', 'weak', 'fast', 'sudak', 'apgred']")</f>
        <v>['difficult', 'access', 'signal', 'weak', 'fast', 'sudak', 'apgred']</v>
      </c>
      <c r="D1152" s="4">
        <v>1.0</v>
      </c>
    </row>
    <row r="1153" ht="15.75" customHeight="1">
      <c r="A1153" s="1">
        <v>1280.0</v>
      </c>
      <c r="B1153" s="4" t="s">
        <v>1128</v>
      </c>
      <c r="C1153" s="4" t="str">
        <f>IFERROR(__xludf.DUMMYFUNCTION("GOOGLETRANSLATE(B1153,""id"",""en"")"),"['error', 'info', 'package', 'blank', 'login', 'difficult']")</f>
        <v>['error', 'info', 'package', 'blank', 'login', 'difficult']</v>
      </c>
      <c r="D1153" s="4">
        <v>1.0</v>
      </c>
    </row>
    <row r="1154" ht="15.75" customHeight="1">
      <c r="A1154" s="1">
        <v>1281.0</v>
      </c>
      <c r="B1154" s="4" t="s">
        <v>130</v>
      </c>
      <c r="C1154" s="4" t="str">
        <f>IFERROR(__xludf.DUMMYFUNCTION("GOOGLETRANSLATE(B1154,""id"",""en"")"),"Of course")</f>
        <v>Of course</v>
      </c>
      <c r="D1154" s="4">
        <v>1.0</v>
      </c>
    </row>
    <row r="1155" ht="15.75" customHeight="1">
      <c r="A1155" s="1">
        <v>1282.0</v>
      </c>
      <c r="B1155" s="4" t="s">
        <v>1129</v>
      </c>
      <c r="C1155" s="4" t="str">
        <f>IFERROR(__xludf.DUMMYFUNCTION("GOOGLETRANSLATE(B1155,""id"",""en"")"),"['registration', 'difficult', 'please', 'good', 'ksh', 'star', 'stlah', 'ride']")</f>
        <v>['registration', 'difficult', 'please', 'good', 'ksh', 'star', 'stlah', 'ride']</v>
      </c>
      <c r="D1155" s="4">
        <v>1.0</v>
      </c>
    </row>
    <row r="1156" ht="15.75" customHeight="1">
      <c r="A1156" s="1">
        <v>1283.0</v>
      </c>
      <c r="B1156" s="4" t="s">
        <v>1130</v>
      </c>
      <c r="C1156" s="4" t="str">
        <f>IFERROR(__xludf.DUMMYFUNCTION("GOOGLETRANSLATE(B1156,""id"",""en"")"),"['Help', 'Guna', 'Indhihom']")</f>
        <v>['Help', 'Guna', 'Indhihom']</v>
      </c>
      <c r="D1156" s="4">
        <v>5.0</v>
      </c>
    </row>
    <row r="1157" ht="15.75" customHeight="1">
      <c r="A1157" s="1">
        <v>1284.0</v>
      </c>
      <c r="B1157" s="4" t="s">
        <v>1131</v>
      </c>
      <c r="C1157" s="4" t="str">
        <f>IFERROR(__xludf.DUMMYFUNCTION("GOOGLETRANSLATE(B1157,""id"",""en"")"),"['application', 'access', 'strange', 'really']")</f>
        <v>['application', 'access', 'strange', 'really']</v>
      </c>
      <c r="D1157" s="4">
        <v>1.0</v>
      </c>
    </row>
    <row r="1158" ht="15.75" customHeight="1">
      <c r="A1158" s="1">
        <v>1285.0</v>
      </c>
      <c r="B1158" s="4" t="s">
        <v>1132</v>
      </c>
      <c r="C1158" s="4" t="str">
        <f>IFERROR(__xludf.DUMMYFUNCTION("GOOGLETRANSLATE(B1158,""id"",""en"")"),"['Pay', 'expert', 'hand', 'application', 'let', 'money', 'application', 'myindihome', 'road', 'smooth', 'disappointed', 'class',' Telkom ',' ']")</f>
        <v>['Pay', 'expert', 'hand', 'application', 'let', 'money', 'application', 'myindihome', 'road', 'smooth', 'disappointed', 'class',' Telkom ',' ']</v>
      </c>
      <c r="D1158" s="4">
        <v>1.0</v>
      </c>
    </row>
    <row r="1159" ht="15.75" customHeight="1">
      <c r="A1159" s="1">
        <v>1286.0</v>
      </c>
      <c r="B1159" s="4" t="s">
        <v>1133</v>
      </c>
      <c r="C1159" s="4" t="str">
        <f>IFERROR(__xludf.DUMMYFUNCTION("GOOGLETRANSLATE(B1159,""id"",""en"")"),"['Application', 'Loding', 'Nga', 'appears', ""]")</f>
        <v>['Application', 'Loding', 'Nga', 'appears', "]</v>
      </c>
      <c r="D1159" s="4">
        <v>1.0</v>
      </c>
    </row>
    <row r="1160" ht="15.75" customHeight="1">
      <c r="A1160" s="1">
        <v>1287.0</v>
      </c>
      <c r="B1160" s="4" t="s">
        <v>1134</v>
      </c>
      <c r="C1160" s="4" t="str">
        <f>IFERROR(__xludf.DUMMYFUNCTION("GOOGLETRANSLATE(B1160,""id"",""en"")"),"['skrang', 'blank', 'write', 'white', 'APK', '']")</f>
        <v>['skrang', 'blank', 'write', 'white', 'APK', '']</v>
      </c>
      <c r="D1160" s="4">
        <v>1.0</v>
      </c>
    </row>
    <row r="1161" ht="15.75" customHeight="1">
      <c r="A1161" s="1">
        <v>1288.0</v>
      </c>
      <c r="B1161" s="4" t="s">
        <v>1135</v>
      </c>
      <c r="C1161" s="4" t="str">
        <f>IFERROR(__xludf.DUMMYFUNCTION("GOOGLETRANSLATE(B1161,""id"",""en"")"),"['Sya', 'love', 'suggestion', 'please', 'details', 'pay', 'appear', 'application', '']")</f>
        <v>['Sya', 'love', 'suggestion', 'please', 'details', 'pay', 'appear', 'application', '']</v>
      </c>
      <c r="D1161" s="4">
        <v>3.0</v>
      </c>
    </row>
    <row r="1162" ht="15.75" customHeight="1">
      <c r="A1162" s="1">
        <v>1289.0</v>
      </c>
      <c r="B1162" s="4" t="s">
        <v>1136</v>
      </c>
      <c r="C1162" s="4" t="str">
        <f>IFERROR(__xludf.DUMMYFUNCTION("GOOGLETRANSLATE(B1162,""id"",""en"")"),"['', 'application', 'login', 'relogin', 'failed', 'login']")</f>
        <v>['', 'application', 'login', 'relogin', 'failed', 'login']</v>
      </c>
      <c r="D1162" s="4">
        <v>2.0</v>
      </c>
    </row>
    <row r="1163" ht="15.75" customHeight="1">
      <c r="A1163" s="1">
        <v>1290.0</v>
      </c>
      <c r="B1163" s="4" t="s">
        <v>1137</v>
      </c>
      <c r="C1163" s="4" t="str">
        <f>IFERROR(__xludf.DUMMYFUNCTION("GOOGLETRANSLATE(B1163,""id"",""en"")"),"['villages',' base ',' forced ',' because 'nets',' nets', 'over']")</f>
        <v>['villages',' base ',' forced ',' because 'nets',' nets', 'over']</v>
      </c>
      <c r="D1163" s="4">
        <v>1.0</v>
      </c>
    </row>
    <row r="1164" ht="15.75" customHeight="1">
      <c r="A1164" s="1">
        <v>1291.0</v>
      </c>
      <c r="B1164" s="4" t="s">
        <v>1138</v>
      </c>
      <c r="C1164" s="4" t="str">
        <f>IFERROR(__xludf.DUMMYFUNCTION("GOOGLETRANSLATE(B1164,""id"",""en"")"),"['Sorry', 'application', 'koq', 'muter', 'muter', 'open', 'please', 'update', 'details',' fup ',' deleted ',' good ',' The details', 'lie', 'tqu']")</f>
        <v>['Sorry', 'application', 'koq', 'muter', 'muter', 'open', 'please', 'update', 'details',' fup ',' deleted ',' good ',' The details', 'lie', 'tqu']</v>
      </c>
      <c r="D1164" s="4">
        <v>1.0</v>
      </c>
    </row>
    <row r="1165" ht="15.75" customHeight="1">
      <c r="A1165" s="1">
        <v>1292.0</v>
      </c>
      <c r="B1165" s="4" t="s">
        <v>1139</v>
      </c>
      <c r="C1165" s="4" t="str">
        <f>IFERROR(__xludf.DUMMYFUNCTION("GOOGLETRANSLATE(B1165,""id"",""en"")"),"['application', 'open', 'already', 'internet', 'error', 'report', '']")</f>
        <v>['application', 'open', 'already', 'internet', 'error', 'report', '']</v>
      </c>
      <c r="D1165" s="4">
        <v>1.0</v>
      </c>
    </row>
    <row r="1166" ht="15.75" customHeight="1">
      <c r="A1166" s="1">
        <v>1293.0</v>
      </c>
      <c r="B1166" s="4" t="s">
        <v>1140</v>
      </c>
      <c r="C1166" s="4" t="str">
        <f>IFERROR(__xludf.DUMMYFUNCTION("GOOGLETRANSLATE(B1166,""id"",""en"")"),"['Login', 'account']")</f>
        <v>['Login', 'account']</v>
      </c>
      <c r="D1166" s="4">
        <v>1.0</v>
      </c>
    </row>
    <row r="1167" ht="15.75" customHeight="1">
      <c r="A1167" s="1">
        <v>1294.0</v>
      </c>
      <c r="B1167" s="4" t="s">
        <v>1141</v>
      </c>
      <c r="C1167" s="4" t="str">
        <f>IFERROR(__xludf.DUMMYFUNCTION("GOOGLETRANSLATE(B1167,""id"",""en"")"),"['Gabisa', 'Login', 'Application', 'Already', 'Bener']")</f>
        <v>['Gabisa', 'Login', 'Application', 'Already', 'Bener']</v>
      </c>
      <c r="D1167" s="4">
        <v>1.0</v>
      </c>
    </row>
    <row r="1168" ht="15.75" customHeight="1">
      <c r="A1168" s="1">
        <v>1295.0</v>
      </c>
      <c r="B1168" s="4" t="s">
        <v>1142</v>
      </c>
      <c r="C1168" s="4" t="str">
        <f>IFERROR(__xludf.DUMMYFUNCTION("GOOGLETRANSLATE(B1168,""id"",""en"")"),"['Price', 'reach', 'service', 'level']")</f>
        <v>['Price', 'reach', 'service', 'level']</v>
      </c>
      <c r="D1168" s="4">
        <v>5.0</v>
      </c>
    </row>
    <row r="1169" ht="15.75" customHeight="1">
      <c r="A1169" s="1">
        <v>1296.0</v>
      </c>
      <c r="B1169" s="4" t="s">
        <v>1143</v>
      </c>
      <c r="C1169" s="4" t="str">
        <f>IFERROR(__xludf.DUMMYFUNCTION("GOOGLETRANSLATE(B1169,""id"",""en"")"),"['auto', 'uninstall', 'check', 'available', 'net', 'area', 'home', 'neighbor', 'indihome', 'application', 'easy', 'annoyed']")</f>
        <v>['auto', 'uninstall', 'check', 'available', 'net', 'area', 'home', 'neighbor', 'indihome', 'application', 'easy', 'annoyed']</v>
      </c>
      <c r="D1169" s="4">
        <v>3.0</v>
      </c>
    </row>
    <row r="1170" ht="15.75" customHeight="1">
      <c r="A1170" s="1">
        <v>1297.0</v>
      </c>
      <c r="B1170" s="4" t="s">
        <v>1144</v>
      </c>
      <c r="C1170" s="4" t="str">
        <f>IFERROR(__xludf.DUMMYFUNCTION("GOOGLETRANSLATE(B1170,""id"",""en"")"),"['Net', 'wifi', 'Kenceng', 'Data', 'Kenceng', 'Log', 'Once', 'Log', 'White', ""]")</f>
        <v>['Net', 'wifi', 'Kenceng', 'Data', 'Kenceng', 'Log', 'Once', 'Log', 'White', "]</v>
      </c>
      <c r="D1170" s="4">
        <v>1.0</v>
      </c>
    </row>
    <row r="1171" ht="15.75" customHeight="1">
      <c r="A1171" s="1">
        <v>1298.0</v>
      </c>
      <c r="B1171" s="4" t="s">
        <v>1145</v>
      </c>
      <c r="C1171" s="4" t="str">
        <f>IFERROR(__xludf.DUMMYFUNCTION("GOOGLETRANSLATE(B1171,""id"",""en"")"),"['app', 'gabisa', 'dipake', 'account', 'logout']")</f>
        <v>['app', 'gabisa', 'dipake', 'account', 'logout']</v>
      </c>
      <c r="D1171" s="4">
        <v>1.0</v>
      </c>
    </row>
    <row r="1172" ht="15.75" customHeight="1">
      <c r="A1172" s="1">
        <v>1299.0</v>
      </c>
      <c r="B1172" s="4" t="s">
        <v>1146</v>
      </c>
      <c r="C1172" s="4" t="str">
        <f>IFERROR(__xludf.DUMMYFUNCTION("GOOGLETRANSLATE(B1172,""id"",""en"")"),"['Application', 'really', 'error']")</f>
        <v>['Application', 'really', 'error']</v>
      </c>
      <c r="D1172" s="4">
        <v>1.0</v>
      </c>
    </row>
    <row r="1173" ht="15.75" customHeight="1">
      <c r="A1173" s="1">
        <v>1300.0</v>
      </c>
      <c r="B1173" s="4" t="s">
        <v>1147</v>
      </c>
      <c r="C1173" s="4" t="str">
        <f>IFERROR(__xludf.DUMMYFUNCTION("GOOGLETRANSLATE(B1173,""id"",""en"")"),"['FAIL', 'SORRY', 'Request', 'FAILURE', 'Please', 'reset', 'process', 'that's', ""]")</f>
        <v>['FAIL', 'SORRY', 'Request', 'FAILURE', 'Please', 'reset', 'process', 'that's', "]</v>
      </c>
      <c r="D1173" s="4">
        <v>1.0</v>
      </c>
    </row>
    <row r="1174" ht="15.75" customHeight="1">
      <c r="A1174" s="1">
        <v>1301.0</v>
      </c>
      <c r="B1174" s="4" t="s">
        <v>1148</v>
      </c>
      <c r="C1174" s="4" t="str">
        <f>IFERROR(__xludf.DUMMYFUNCTION("GOOGLETRANSLATE(B1174,""id"",""en"")"),"['check', 'tags', 'loading', 'bad', 'difficult', 'check', 'tap']")</f>
        <v>['check', 'tags', 'loading', 'bad', 'difficult', 'check', 'tap']</v>
      </c>
      <c r="D1174" s="4">
        <v>1.0</v>
      </c>
    </row>
    <row r="1175" ht="15.75" customHeight="1">
      <c r="A1175" s="1">
        <v>1302.0</v>
      </c>
      <c r="B1175" s="4" t="s">
        <v>1149</v>
      </c>
      <c r="C1175" s="4" t="str">
        <f>IFERROR(__xludf.DUMMYFUNCTION("GOOGLETRANSLATE(B1175,""id"",""en"")"),"['Application', 'Lot', '']")</f>
        <v>['Application', 'Lot', '']</v>
      </c>
      <c r="D1175" s="4">
        <v>1.0</v>
      </c>
    </row>
    <row r="1176" ht="15.75" customHeight="1">
      <c r="A1176" s="1">
        <v>1303.0</v>
      </c>
      <c r="B1176" s="4" t="s">
        <v>1150</v>
      </c>
      <c r="C1176" s="4" t="str">
        <f>IFERROR(__xludf.DUMMYFUNCTION("GOOGLETRANSLATE(B1176,""id"",""en"")"),"['use', 'data', 'appears', 'muter', 'tok', 'indihome', '']")</f>
        <v>['use', 'data', 'appears', 'muter', 'tok', 'indihome', '']</v>
      </c>
      <c r="D1176" s="4">
        <v>1.0</v>
      </c>
    </row>
    <row r="1177" ht="15.75" customHeight="1">
      <c r="A1177" s="1">
        <v>1304.0</v>
      </c>
      <c r="B1177" s="4" t="s">
        <v>1151</v>
      </c>
      <c r="C1177" s="4" t="str">
        <f>IFERROR(__xludf.DUMMYFUNCTION("GOOGLETRANSLATE(B1177,""id"",""en"")"),"['application', 'feasible', 'edge', 'page', 'face', 'signs',' reload ',' check ',' tap ',' jga ',' sign ',' reload ',' Application ',' TSV ',' ']")</f>
        <v>['application', 'feasible', 'edge', 'page', 'face', 'signs',' reload ',' check ',' tap ',' jga ',' sign ',' reload ',' Application ',' TSV ',' ']</v>
      </c>
      <c r="D1177" s="4">
        <v>2.0</v>
      </c>
    </row>
    <row r="1178" ht="15.75" customHeight="1">
      <c r="A1178" s="1">
        <v>1305.0</v>
      </c>
      <c r="B1178" s="4" t="s">
        <v>1152</v>
      </c>
      <c r="C1178" s="4" t="str">
        <f>IFERROR(__xludf.DUMMYFUNCTION("GOOGLETRANSLATE(B1178,""id"",""en"")"),"['', 'net', 'good', 'application', 'heavy', 'open', 'fak']")</f>
        <v>['', 'net', 'good', 'application', 'heavy', 'open', 'fak']</v>
      </c>
      <c r="D1178" s="4">
        <v>1.0</v>
      </c>
    </row>
    <row r="1179" ht="15.75" customHeight="1">
      <c r="A1179" s="1">
        <v>1306.0</v>
      </c>
      <c r="B1179" s="4" t="s">
        <v>1153</v>
      </c>
      <c r="C1179" s="4" t="str">
        <f>IFERROR(__xludf.DUMMYFUNCTION("GOOGLETRANSLATE(B1179,""id"",""en"")"),"['apps', 'heavy', 'check', 'use', 'lot']")</f>
        <v>['apps', 'heavy', 'check', 'use', 'lot']</v>
      </c>
      <c r="D1179" s="4">
        <v>1.0</v>
      </c>
    </row>
    <row r="1180" ht="15.75" customHeight="1">
      <c r="A1180" s="1">
        <v>1307.0</v>
      </c>
      <c r="B1180" s="4" t="s">
        <v>1154</v>
      </c>
      <c r="C1180" s="4" t="str">
        <f>IFERROR(__xludf.DUMMYFUNCTION("GOOGLETRANSLATE(B1180,""id"",""en"")"),"['Please', 'Telkom', 'Focus',' Layan ',' Untung ',' Application ',' Myindihome ',' Urus', 'Like', 'Error', 'JRINGAN', 'Stable', ' Uda ',' Add ',' Speed ​​',' Tmbh ',' Ngeleg ',' Funny ']")</f>
        <v>['Please', 'Telkom', 'Focus',' Layan ',' Untung ',' Application ',' Myindihome ',' Urus', 'Like', 'Error', 'JRINGAN', 'Stable', ' Uda ',' Add ',' Speed ​​',' Tmbh ',' Ngeleg ',' Funny ']</v>
      </c>
      <c r="D1180" s="4">
        <v>1.0</v>
      </c>
    </row>
    <row r="1181" ht="15.75" customHeight="1">
      <c r="A1181" s="1">
        <v>1308.0</v>
      </c>
      <c r="B1181" s="4" t="s">
        <v>1155</v>
      </c>
      <c r="C1181" s="4" t="str">
        <f>IFERROR(__xludf.DUMMYFUNCTION("GOOGLETRANSLATE(B1181,""id"",""en"")"),"['Wonder', 'Application', 'Guna', 'Adu', 'Layan', 'Application', 'Lot', 'Error']")</f>
        <v>['Wonder', 'Application', 'Guna', 'Adu', 'Layan', 'Application', 'Lot', 'Error']</v>
      </c>
      <c r="D1181" s="4">
        <v>1.0</v>
      </c>
    </row>
    <row r="1182" ht="15.75" customHeight="1">
      <c r="A1182" s="1">
        <v>1309.0</v>
      </c>
      <c r="B1182" s="4" t="s">
        <v>1156</v>
      </c>
      <c r="C1182" s="4" t="str">
        <f>IFERROR(__xludf.DUMMYFUNCTION("GOOGLETRANSLATE(B1182,""id"",""en"")"),"['Lot', 'admin']")</f>
        <v>['Lot', 'admin']</v>
      </c>
      <c r="D1182" s="4">
        <v>1.0</v>
      </c>
    </row>
    <row r="1183" ht="15.75" customHeight="1">
      <c r="A1183" s="1">
        <v>1310.0</v>
      </c>
      <c r="B1183" s="4" t="s">
        <v>1157</v>
      </c>
      <c r="C1183" s="4" t="str">
        <f>IFERROR(__xludf.DUMMYFUNCTION("GOOGLETRANSLATE(B1183,""id"",""en"")"),"['Ayooo', 'Love', 'Bintang', 'APK', 'Lemottt']")</f>
        <v>['Ayooo', 'Love', 'Bintang', 'APK', 'Lemottt']</v>
      </c>
      <c r="D1183" s="4">
        <v>1.0</v>
      </c>
    </row>
    <row r="1184" ht="15.75" customHeight="1">
      <c r="A1184" s="1">
        <v>1311.0</v>
      </c>
      <c r="B1184" s="4" t="s">
        <v>1158</v>
      </c>
      <c r="C1184" s="4" t="str">
        <f>IFERROR(__xludf.DUMMYFUNCTION("GOOGLETRANSLATE(B1184,""id"",""en"")"),"['Salut', 'apk', 'expensive', 'price', 'quality', 'super', 'slow', '']")</f>
        <v>['Salut', 'apk', 'expensive', 'price', 'quality', 'super', 'slow', '']</v>
      </c>
      <c r="D1184" s="4">
        <v>1.0</v>
      </c>
    </row>
    <row r="1185" ht="15.75" customHeight="1">
      <c r="A1185" s="1">
        <v>1312.0</v>
      </c>
      <c r="B1185" s="4" t="s">
        <v>1159</v>
      </c>
      <c r="C1185" s="4" t="str">
        <f>IFERROR(__xludf.DUMMYFUNCTION("GOOGLETRANSLATE(B1185,""id"",""en"")"),"['Update', 'Speed', 'Mbps', 'Mbps', 'Difficult', 'Ampuuuunnn', 'Deeeh', ""]")</f>
        <v>['Update', 'Speed', 'Mbps', 'Mbps', 'Difficult', 'Ampuuuunnn', 'Deeeh', "]</v>
      </c>
      <c r="D1185" s="4">
        <v>1.0</v>
      </c>
    </row>
    <row r="1186" ht="15.75" customHeight="1">
      <c r="A1186" s="1">
        <v>1313.0</v>
      </c>
      <c r="B1186" s="4" t="s">
        <v>1160</v>
      </c>
      <c r="C1186" s="4" t="str">
        <f>IFERROR(__xludf.DUMMYFUNCTION("GOOGLETRANSLATE(B1186,""id"",""en"")"),"['APK', 'owned', 'BUMN', 'Lemoott']")</f>
        <v>['APK', 'owned', 'BUMN', 'Lemoott']</v>
      </c>
      <c r="D1186" s="4">
        <v>1.0</v>
      </c>
    </row>
    <row r="1187" ht="15.75" customHeight="1">
      <c r="A1187" s="1">
        <v>1314.0</v>
      </c>
      <c r="B1187" s="4" t="s">
        <v>1161</v>
      </c>
      <c r="C1187" s="4" t="str">
        <f>IFERROR(__xludf.DUMMYFUNCTION("GOOGLETRANSLATE(B1187,""id"",""en"")"),"['application', 'LEG', 'QUALITY']")</f>
        <v>['application', 'LEG', 'QUALITY']</v>
      </c>
      <c r="D1187" s="4">
        <v>1.0</v>
      </c>
    </row>
    <row r="1188" ht="15.75" customHeight="1">
      <c r="A1188" s="1">
        <v>1315.0</v>
      </c>
      <c r="B1188" s="4" t="s">
        <v>1162</v>
      </c>
      <c r="C1188" s="4" t="str">
        <f>IFERROR(__xludf.DUMMYFUNCTION("GOOGLETRANSLATE(B1188,""id"",""en"")"),"['difficult', 'open', 'loading', 'lammmaaaa']")</f>
        <v>['difficult', 'open', 'loading', 'lammmaaaa']</v>
      </c>
      <c r="D1188" s="4">
        <v>1.0</v>
      </c>
    </row>
    <row r="1189" ht="15.75" customHeight="1">
      <c r="A1189" s="1">
        <v>1316.0</v>
      </c>
      <c r="B1189" s="4" t="s">
        <v>1163</v>
      </c>
      <c r="C1189" s="4" t="str">
        <f>IFERROR(__xludf.DUMMYFUNCTION("GOOGLETRANSLATE(B1189,""id"",""en"")"),"['Super', 'LEG']")</f>
        <v>['Super', 'LEG']</v>
      </c>
      <c r="D1189" s="4">
        <v>1.0</v>
      </c>
    </row>
    <row r="1190" ht="15.75" customHeight="1">
      <c r="A1190" s="1">
        <v>1317.0</v>
      </c>
      <c r="B1190" s="4" t="s">
        <v>1164</v>
      </c>
      <c r="C1190" s="4" t="str">
        <f>IFERROR(__xludf.DUMMYFUNCTION("GOOGLETRANSLATE(B1190,""id"",""en"")"),"['Application', 'rotten', 'lot']")</f>
        <v>['Application', 'rotten', 'lot']</v>
      </c>
      <c r="D1190" s="4">
        <v>1.0</v>
      </c>
    </row>
    <row r="1191" ht="15.75" customHeight="1">
      <c r="A1191" s="1">
        <v>1318.0</v>
      </c>
      <c r="B1191" s="4" t="s">
        <v>1165</v>
      </c>
      <c r="C1191" s="4" t="str">
        <f>IFERROR(__xludf.DUMMYFUNCTION("GOOGLETRANSLATE(B1191,""id"",""en"")"),"['Login', '']")</f>
        <v>['Login', '']</v>
      </c>
      <c r="D1191" s="4">
        <v>1.0</v>
      </c>
    </row>
    <row r="1192" ht="15.75" customHeight="1">
      <c r="A1192" s="1">
        <v>1319.0</v>
      </c>
      <c r="B1192" s="4" t="s">
        <v>1166</v>
      </c>
      <c r="C1192" s="4" t="str">
        <f>IFERROR(__xludf.DUMMYFUNCTION("GOOGLETRANSLATE(B1192,""id"",""en"")"),"['application', 'slow', 'kirain', 'day', 'doang', 'already', 'day', 'gin', 'gin', 'check', 'tap', 'pay', ' seriously ',' App ',' value ',' bottom ',' right ',' ngeecewain ',' steady ',' ']")</f>
        <v>['application', 'slow', 'kirain', 'day', 'doang', 'already', 'day', 'gin', 'gin', 'check', 'tap', 'pay', ' seriously ',' App ',' value ',' bottom ',' right ',' ngeecewain ',' steady ',' ']</v>
      </c>
      <c r="D1192" s="4">
        <v>2.0</v>
      </c>
    </row>
    <row r="1193" ht="15.75" customHeight="1">
      <c r="A1193" s="1">
        <v>1320.0</v>
      </c>
      <c r="B1193" s="4" t="s">
        <v>1167</v>
      </c>
      <c r="C1193" s="4" t="str">
        <f>IFERROR(__xludf.DUMMYFUNCTION("GOOGLETRANSLATE(B1193,""id"",""en"")"),"['Tide', 'Sampe', 'Datengin', 'Sales',' Saying ',' Register ',' Via ',' APK ',' APK ',' Lot ',' Register ',' Difficult ',' yesterday', '']")</f>
        <v>['Tide', 'Sampe', 'Datengin', 'Sales',' Saying ',' Register ',' Via ',' APK ',' APK ',' Lot ',' Register ',' Difficult ',' yesterday', '']</v>
      </c>
      <c r="D1193" s="4">
        <v>2.0</v>
      </c>
    </row>
    <row r="1194" ht="15.75" customHeight="1">
      <c r="A1194" s="1">
        <v>1321.0</v>
      </c>
      <c r="B1194" s="4" t="s">
        <v>1168</v>
      </c>
      <c r="C1194" s="4" t="str">
        <f>IFERROR(__xludf.DUMMYFUNCTION("GOOGLETRANSLATE(B1194,""id"",""en"")"),"['not clear']")</f>
        <v>['not clear']</v>
      </c>
      <c r="D1194" s="4">
        <v>1.0</v>
      </c>
    </row>
    <row r="1195" ht="15.75" customHeight="1">
      <c r="A1195" s="1">
        <v>1322.0</v>
      </c>
      <c r="B1195" s="4" t="s">
        <v>1169</v>
      </c>
      <c r="C1195" s="4" t="str">
        <f>IFERROR(__xludf.DUMMYFUNCTION("GOOGLETRANSLATE(B1195,""id"",""en"")"),"['', 'forgiveness',' Telkom ',' Gin ',' Snapan ',' apk ',' remember ',' elu ',' ISP ',' cook ',' server ',' apk ',' gin ',' Threat ',' really ',' use ',' muter ',' kek ',' brain ',' nyampe ',' lucky ',' bumn ',' private ',' expensive ',' gpp ', 'sincere',"&amp;" 'kek', 'quality', 'APK', 'chaotic', '']")</f>
        <v>['', 'forgiveness',' Telkom ',' Gin ',' Snapan ',' apk ',' remember ',' elu ',' ISP ',' cook ',' server ',' apk ',' gin ',' Threat ',' really ',' use ',' muter ',' kek ',' brain ',' nyampe ',' lucky ',' bumn ',' private ',' expensive ',' gpp ', 'sincere', 'kek', 'quality', 'APK', 'chaotic', '']</v>
      </c>
      <c r="D1195" s="4">
        <v>1.0</v>
      </c>
    </row>
    <row r="1196" ht="15.75" customHeight="1">
      <c r="A1196" s="1">
        <v>1323.0</v>
      </c>
      <c r="B1196" s="4" t="s">
        <v>1170</v>
      </c>
      <c r="C1196" s="4" t="str">
        <f>IFERROR(__xludf.DUMMYFUNCTION("GOOGLETRANSLATE(B1196,""id"",""en"")"),"['Out', 'Uninstall', 'Install', 'Application', 'Check', 'Take', 'Palace', 'No "",' Login ',' then ',' Error ',' appears ',' Notif ',' Step ',' Solution ',' GMANA ',' AMIN ',' ']")</f>
        <v>['Out', 'Uninstall', 'Install', 'Application', 'Check', 'Take', 'Palace', 'No ",' Login ',' then ',' Error ',' appears ',' Notif ',' Step ',' Solution ',' GMANA ',' AMIN ',' ']</v>
      </c>
      <c r="D1196" s="4">
        <v>2.0</v>
      </c>
    </row>
    <row r="1197" ht="15.75" customHeight="1">
      <c r="A1197" s="1">
        <v>1324.0</v>
      </c>
      <c r="B1197" s="4" t="s">
        <v>1171</v>
      </c>
      <c r="C1197" s="4" t="str">
        <f>IFERROR(__xludf.DUMMYFUNCTION("GOOGLETRANSLATE(B1197,""id"",""en"")"),"['ugly', 'really', 'application', 'open']")</f>
        <v>['ugly', 'really', 'application', 'open']</v>
      </c>
      <c r="D1197" s="4">
        <v>1.0</v>
      </c>
    </row>
    <row r="1198" ht="15.75" customHeight="1">
      <c r="A1198" s="1">
        <v>1325.0</v>
      </c>
      <c r="B1198" s="4" t="s">
        <v>1172</v>
      </c>
      <c r="C1198" s="4" t="str">
        <f>IFERROR(__xludf.DUMMYFUNCTION("GOOGLETRANSLATE(B1198,""id"",""en"")"),"['application', 'Lot', 'difficult', 'connoted', 'details', 'pay', 'appear', '']")</f>
        <v>['application', 'Lot', 'difficult', 'connoted', 'details', 'pay', 'appear', '']</v>
      </c>
      <c r="D1198" s="4">
        <v>1.0</v>
      </c>
    </row>
    <row r="1199" ht="15.75" customHeight="1">
      <c r="A1199" s="1">
        <v>1326.0</v>
      </c>
      <c r="B1199" s="4" t="s">
        <v>1173</v>
      </c>
      <c r="C1199" s="4" t="str">
        <f>IFERROR(__xludf.DUMMYFUNCTION("GOOGLETRANSLATE(B1199,""id"",""en"")"),"['Long', 'log', 'hrs', 'new', '']")</f>
        <v>['Long', 'log', 'hrs', 'new', '']</v>
      </c>
      <c r="D1199" s="4">
        <v>1.0</v>
      </c>
    </row>
    <row r="1200" ht="15.75" customHeight="1">
      <c r="A1200" s="1">
        <v>1327.0</v>
      </c>
      <c r="B1200" s="4" t="s">
        <v>1174</v>
      </c>
      <c r="C1200" s="4" t="str">
        <f>IFERROR(__xludf.DUMMYFUNCTION("GOOGLETRANSLATE(B1200,""id"",""en"")"),"['Gajelas', 'APK', 'Login', 'Indihome', 'Difficult', 'Error', 'Failed', 'LSH', 'Males', 'APK']")</f>
        <v>['Gajelas', 'APK', 'Login', 'Indihome', 'Difficult', 'Error', 'Failed', 'LSH', 'Males', 'APK']</v>
      </c>
      <c r="D1200" s="4">
        <v>1.0</v>
      </c>
    </row>
    <row r="1201" ht="15.75" customHeight="1">
      <c r="A1201" s="1">
        <v>1328.0</v>
      </c>
      <c r="B1201" s="4" t="s">
        <v>1175</v>
      </c>
      <c r="C1201" s="4" t="str">
        <f>IFERROR(__xludf.DUMMYFUNCTION("GOOGLETRANSLATE(B1201,""id"",""en"")"),"['Kren']")</f>
        <v>['Kren']</v>
      </c>
      <c r="D1201" s="4">
        <v>5.0</v>
      </c>
    </row>
    <row r="1202" ht="15.75" customHeight="1">
      <c r="A1202" s="1">
        <v>1329.0</v>
      </c>
      <c r="B1202" s="4" t="s">
        <v>1176</v>
      </c>
      <c r="C1202" s="4" t="str">
        <f>IFERROR(__xludf.DUMMYFUNCTION("GOOGLETRANSLATE(B1202,""id"",""en"")"),"['account', 'Indihome', 'UDH', 'Try', 'fail']")</f>
        <v>['account', 'Indihome', 'UDH', 'Try', 'fail']</v>
      </c>
      <c r="D1202" s="4">
        <v>5.0</v>
      </c>
    </row>
    <row r="1203" ht="15.75" customHeight="1">
      <c r="A1203" s="1">
        <v>1330.0</v>
      </c>
      <c r="B1203" s="4" t="s">
        <v>1177</v>
      </c>
      <c r="C1203" s="4" t="str">
        <f>IFERROR(__xludf.DUMMYFUNCTION("GOOGLETRANSLATE(B1203,""id"",""en"")"),"['', 'use', 'Indihome', 'sekrang', 'threat', 'really', 'good', 'samassali']")</f>
        <v>['', 'use', 'Indihome', 'sekrang', 'threat', 'really', 'good', 'samassali']</v>
      </c>
      <c r="D1203" s="4">
        <v>1.0</v>
      </c>
    </row>
    <row r="1204" ht="15.75" customHeight="1">
      <c r="A1204" s="1">
        <v>1331.0</v>
      </c>
      <c r="B1204" s="4" t="s">
        <v>1178</v>
      </c>
      <c r="C1204" s="4" t="str">
        <f>IFERROR(__xludf.DUMMYFUNCTION("GOOGLETRANSLATE(B1204,""id"",""en"")"),"['Taik', 'application', 'open', 'Lola', 'times',' pakek ',' net ',' wifi ',' kembang ',' application ',' just ',' carik ',' branches', 'gymna', 'taik']")</f>
        <v>['Taik', 'application', 'open', 'Lola', 'times',' pakek ',' net ',' wifi ',' kembang ',' application ',' just ',' carik ',' branches', 'gymna', 'taik']</v>
      </c>
      <c r="D1204" s="4">
        <v>1.0</v>
      </c>
    </row>
    <row r="1205" ht="15.75" customHeight="1">
      <c r="A1205" s="1">
        <v>1332.0</v>
      </c>
      <c r="B1205" s="4" t="s">
        <v>1179</v>
      </c>
      <c r="C1205" s="4" t="str">
        <f>IFERROR(__xludf.DUMMYFUNCTION("GOOGLETRANSLATE(B1205,""id"",""en"")"),"['Alikah', 'Lot', 'Net', 'Good', 'Loading']")</f>
        <v>['Alikah', 'Lot', 'Net', 'Good', 'Loading']</v>
      </c>
      <c r="D1205" s="4">
        <v>2.0</v>
      </c>
    </row>
    <row r="1206" ht="15.75" customHeight="1">
      <c r="A1206" s="1">
        <v>1333.0</v>
      </c>
      <c r="B1206" s="4" t="s">
        <v>1180</v>
      </c>
      <c r="C1206" s="4" t="str">
        <f>IFERROR(__xludf.DUMMYFUNCTION("GOOGLETRANSLATE(B1206,""id"",""en"")"),"['Skng', 'APK', 'BSA', 'BKA', '']")</f>
        <v>['Skng', 'APK', 'BSA', 'BKA', '']</v>
      </c>
      <c r="D1206" s="4">
        <v>5.0</v>
      </c>
    </row>
    <row r="1207" ht="15.75" customHeight="1">
      <c r="A1207" s="1">
        <v>1334.0</v>
      </c>
      <c r="B1207" s="4" t="s">
        <v>1181</v>
      </c>
      <c r="C1207" s="4" t="str">
        <f>IFERROR(__xludf.DUMMYFUNCTION("GOOGLETRANSLATE(B1207,""id"",""en"")"),"['application', 'Lot', 'severe', 'check', 'leftover', 'quota', 'difficult']")</f>
        <v>['application', 'Lot', 'severe', 'check', 'leftover', 'quota', 'difficult']</v>
      </c>
      <c r="D1207" s="4">
        <v>1.0</v>
      </c>
    </row>
    <row r="1208" ht="15.75" customHeight="1">
      <c r="A1208" s="1">
        <v>1335.0</v>
      </c>
      <c r="B1208" s="4" t="s">
        <v>1182</v>
      </c>
      <c r="C1208" s="4" t="str">
        <f>IFERROR(__xludf.DUMMYFUNCTION("GOOGLETRANSLATE(B1208,""id"",""en"")"),"['Lahh', 'apk', 'indihome', 'access', 'udh', 'net', 'lot']")</f>
        <v>['Lahh', 'apk', 'indihome', 'access', 'udh', 'net', 'lot']</v>
      </c>
      <c r="D1208" s="4">
        <v>1.0</v>
      </c>
    </row>
    <row r="1209" ht="15.75" customHeight="1">
      <c r="A1209" s="1">
        <v>1336.0</v>
      </c>
      <c r="B1209" s="4" t="s">
        <v>1183</v>
      </c>
      <c r="C1209" s="4" t="str">
        <f>IFERROR(__xludf.DUMMYFUNCTION("GOOGLETRANSLATE(B1209,""id"",""en"")"),"['Application', 'Ngadat', 'Server', 'Busy', '']")</f>
        <v>['Application', 'Ngadat', 'Server', 'Busy', '']</v>
      </c>
      <c r="D1209" s="4">
        <v>1.0</v>
      </c>
    </row>
    <row r="1210" ht="15.75" customHeight="1">
      <c r="A1210" s="1">
        <v>1337.0</v>
      </c>
      <c r="B1210" s="4" t="s">
        <v>1184</v>
      </c>
      <c r="C1210" s="4" t="str">
        <f>IFERROR(__xludf.DUMMYFUNCTION("GOOGLETRANSLATE(B1210,""id"",""en"")"),"['Details',' details', 'tags',' Pictures', 'Please', 'Wait', 'Loding', 'Nongol', 'Hadehhh', 'Ushhh', 'Application', 'Dipake', ' Discard ',' quota ']")</f>
        <v>['Details',' details', 'tags',' Pictures', 'Please', 'Wait', 'Loding', 'Nongol', 'Hadehhh', 'Ushhh', 'Application', 'Dipake', ' Discard ',' quota ']</v>
      </c>
      <c r="D1210" s="4">
        <v>1.0</v>
      </c>
    </row>
    <row r="1211" ht="15.75" customHeight="1">
      <c r="A1211" s="1">
        <v>1338.0</v>
      </c>
      <c r="B1211" s="4" t="s">
        <v>961</v>
      </c>
      <c r="C1211" s="4" t="str">
        <f>IFERROR(__xludf.DUMMYFUNCTION("GOOGLETRANSLATE(B1211,""id"",""en"")"),"['login']")</f>
        <v>['login']</v>
      </c>
      <c r="D1211" s="4">
        <v>1.0</v>
      </c>
    </row>
    <row r="1212" ht="15.75" customHeight="1">
      <c r="A1212" s="1">
        <v>1339.0</v>
      </c>
      <c r="B1212" s="4" t="s">
        <v>1185</v>
      </c>
      <c r="C1212" s="4" t="str">
        <f>IFERROR(__xludf.DUMMYFUNCTION("GOOGLETRANSLATE(B1212,""id"",""en"")"),"['Plate', 'red', 'yaa', 'that way', 'aerate', 'service', ""]")</f>
        <v>['Plate', 'red', 'yaa', 'that way', 'aerate', 'service', "]</v>
      </c>
      <c r="D1212" s="4">
        <v>1.0</v>
      </c>
    </row>
    <row r="1213" ht="15.75" customHeight="1">
      <c r="A1213" s="1">
        <v>1340.0</v>
      </c>
      <c r="B1213" s="4" t="s">
        <v>1186</v>
      </c>
      <c r="C1213" s="4" t="str">
        <f>IFERROR(__xludf.DUMMYFUNCTION("GOOGLETRANSLATE(B1213,""id"",""en"")"),"['What', 'CIT', 'Open', 'Application', 'Login', 'Loading', 'WiFi', 'Application', 'Open', 'hilarious', 'hilarious']")</f>
        <v>['What', 'CIT', 'Open', 'Application', 'Login', 'Loading', 'WiFi', 'Application', 'Open', 'hilarious', 'hilarious']</v>
      </c>
      <c r="D1213" s="4">
        <v>2.0</v>
      </c>
    </row>
    <row r="1214" ht="15.75" customHeight="1">
      <c r="A1214" s="1">
        <v>1341.0</v>
      </c>
      <c r="B1214" s="4" t="s">
        <v>1187</v>
      </c>
      <c r="C1214" s="4" t="str">
        <f>IFERROR(__xludf.DUMMYFUNCTION("GOOGLETRANSLATE(B1214,""id"",""en"")"),"['Application', 'Open']")</f>
        <v>['Application', 'Open']</v>
      </c>
      <c r="D1214" s="4">
        <v>1.0</v>
      </c>
    </row>
    <row r="1215" ht="15.75" customHeight="1">
      <c r="A1215" s="1">
        <v>1342.0</v>
      </c>
      <c r="B1215" s="4" t="s">
        <v>1188</v>
      </c>
      <c r="C1215" s="4" t="str">
        <f>IFERROR(__xludf.DUMMYFUNCTION("GOOGLETRANSLATE(B1215,""id"",""en"")"),"['Guna', 'Application', 'Easy', 'Equek', 'Pay', 'Use', 'Login', 'Difficult', 'Forgiveness', ""]")</f>
        <v>['Guna', 'Application', 'Easy', 'Equek', 'Pay', 'Use', 'Login', 'Difficult', 'Forgiveness', "]</v>
      </c>
      <c r="D1215" s="4">
        <v>1.0</v>
      </c>
    </row>
    <row r="1216" ht="15.75" customHeight="1">
      <c r="A1216" s="1">
        <v>1343.0</v>
      </c>
      <c r="B1216" s="4" t="s">
        <v>1189</v>
      </c>
      <c r="C1216" s="4" t="str">
        <f>IFERROR(__xludf.DUMMYFUNCTION("GOOGLETRANSLATE(B1216,""id"",""en"")"),"['enter', 'ajg']")</f>
        <v>['enter', 'ajg']</v>
      </c>
      <c r="D1216" s="4">
        <v>1.0</v>
      </c>
    </row>
    <row r="1217" ht="15.75" customHeight="1">
      <c r="A1217" s="1">
        <v>1344.0</v>
      </c>
      <c r="B1217" s="4" t="s">
        <v>1190</v>
      </c>
      <c r="C1217" s="4" t="str">
        <f>IFERROR(__xludf.DUMMYFUNCTION("GOOGLETRANSLATE(B1217,""id"",""en"")"),"['Details', 'Pay', 'Clear', 'Donk', 'Spacious', 'Spread', 'WiFi', 'Seamless']")</f>
        <v>['Details', 'Pay', 'Clear', 'Donk', 'Spacious', 'Spread', 'WiFi', 'Seamless']</v>
      </c>
      <c r="D1217" s="4">
        <v>4.0</v>
      </c>
    </row>
    <row r="1218" ht="15.75" customHeight="1">
      <c r="A1218" s="1">
        <v>1345.0</v>
      </c>
      <c r="B1218" s="4" t="s">
        <v>1191</v>
      </c>
      <c r="C1218" s="4" t="str">
        <f>IFERROR(__xludf.DUMMYFUNCTION("GOOGLETRANSLATE(B1218,""id"",""en"")"),"['pulp', 'login']")</f>
        <v>['pulp', 'login']</v>
      </c>
      <c r="D1218" s="4">
        <v>1.0</v>
      </c>
    </row>
    <row r="1219" ht="15.75" customHeight="1">
      <c r="A1219" s="1">
        <v>1346.0</v>
      </c>
      <c r="B1219" s="4" t="s">
        <v>1192</v>
      </c>
      <c r="C1219" s="4" t="str">
        <f>IFERROR(__xludf.DUMMYFUNCTION("GOOGLETRANSLATE(B1219,""id"",""en"")"),"['', 'Open', 'Application', 'Try', 'Delete', 'Download', 'Fail', 'Enter', 'How', 'Please', 'Good']")</f>
        <v>['', 'Open', 'Application', 'Try', 'Delete', 'Download', 'Fail', 'Enter', 'How', 'Please', 'Good']</v>
      </c>
      <c r="D1219" s="4">
        <v>3.0</v>
      </c>
    </row>
    <row r="1220" ht="15.75" customHeight="1">
      <c r="A1220" s="1">
        <v>1347.0</v>
      </c>
      <c r="B1220" s="4" t="s">
        <v>1193</v>
      </c>
      <c r="C1220" s="4" t="str">
        <f>IFERROR(__xludf.DUMMYFUNCTION("GOOGLETRANSLATE(B1220,""id"",""en"")"),"['no', 'appears', 'application', 'loading', 'internet', 'smooth', 'youtub', 'smooth', 'pay', 'tags']")</f>
        <v>['no', 'appears', 'application', 'loading', 'internet', 'smooth', 'youtub', 'smooth', 'pay', 'tags']</v>
      </c>
      <c r="D1220" s="4">
        <v>1.0</v>
      </c>
    </row>
    <row r="1221" ht="15.75" customHeight="1">
      <c r="A1221" s="1">
        <v>1348.0</v>
      </c>
      <c r="B1221" s="4" t="s">
        <v>1194</v>
      </c>
      <c r="C1221" s="4" t="str">
        <f>IFERROR(__xludf.DUMMYFUNCTION("GOOGLETRANSLATE(B1221,""id"",""en"")"),"['Indihome', 'chaotic', 'Yesterday', 'my APK', 'access']")</f>
        <v>['Indihome', 'chaotic', 'Yesterday', 'my APK', 'access']</v>
      </c>
      <c r="D1221" s="4">
        <v>1.0</v>
      </c>
    </row>
    <row r="1222" ht="15.75" customHeight="1">
      <c r="A1222" s="1">
        <v>1349.0</v>
      </c>
      <c r="B1222" s="4" t="s">
        <v>1195</v>
      </c>
      <c r="C1222" s="4" t="str">
        <f>IFERROR(__xludf.DUMMYFUNCTION("GOOGLETRANSLATE(B1222,""id"",""en"")"),"['Thank you', 'Indihome', 'Please', 'Sorry', 'Application', 'Myindihome', 'Open', 'Hard', 'Very', 'Application', 'Indihome', 'Help', ' Please ',' Application ',' Current ',' Thank "", 'Kasih', 'Please', 'Sorry', 'Sentence', 'Wrong',""]")</f>
        <v>['Thank you', 'Indihome', 'Please', 'Sorry', 'Application', 'Myindihome', 'Open', 'Hard', 'Very', 'Application', 'Indihome', 'Help', ' Please ',' Application ',' Current ',' Thank ", 'Kasih', 'Please', 'Sorry', 'Sentence', 'Wrong',"]</v>
      </c>
      <c r="D1222" s="4">
        <v>5.0</v>
      </c>
    </row>
    <row r="1223" ht="15.75" customHeight="1">
      <c r="A1223" s="1">
        <v>1350.0</v>
      </c>
      <c r="B1223" s="4" t="s">
        <v>1196</v>
      </c>
      <c r="C1223" s="4" t="str">
        <f>IFERROR(__xludf.DUMMYFUNCTION("GOOGLETRANSLATE(B1223,""id"",""en"")"),"['Application', 'heavy', 'Loading']")</f>
        <v>['Application', 'heavy', 'Loading']</v>
      </c>
      <c r="D1223" s="4">
        <v>2.0</v>
      </c>
    </row>
    <row r="1224" ht="15.75" customHeight="1">
      <c r="A1224" s="1">
        <v>1351.0</v>
      </c>
      <c r="B1224" s="4" t="s">
        <v>1197</v>
      </c>
      <c r="C1224" s="4" t="str">
        <f>IFERROR(__xludf.DUMMYFUNCTION("GOOGLETRANSLATE(B1224,""id"",""en"")"),"['Knp', 'buffering', 'ROS', 'Application', 'Report', 'Disturbs', '']")</f>
        <v>['Knp', 'buffering', 'ROS', 'Application', 'Report', 'Disturbs', '']</v>
      </c>
      <c r="D1224" s="4">
        <v>1.0</v>
      </c>
    </row>
    <row r="1225" ht="15.75" customHeight="1">
      <c r="A1225" s="1">
        <v>1352.0</v>
      </c>
      <c r="B1225" s="4" t="s">
        <v>1198</v>
      </c>
      <c r="C1225" s="4" t="str">
        <f>IFERROR(__xludf.DUMMYFUNCTION("GOOGLETRANSLATE(B1225,""id"",""en"")"),"['update', 'login', 'complain', 'Review', 'slow', 'good', ""]")</f>
        <v>['update', 'login', 'complain', 'Review', 'slow', 'good', "]</v>
      </c>
      <c r="D1225" s="4">
        <v>1.0</v>
      </c>
    </row>
    <row r="1226" ht="15.75" customHeight="1">
      <c r="A1226" s="1">
        <v>1353.0</v>
      </c>
      <c r="B1226" s="4" t="s">
        <v>1199</v>
      </c>
      <c r="C1226" s="4" t="str">
        <f>IFERROR(__xludf.DUMMYFUNCTION("GOOGLETRANSLATE(B1226,""id"",""en"")"),"['Indhomen', 'Ngadat', 'broadcast', 'YouTube', '']")</f>
        <v>['Indhomen', 'Ngadat', 'broadcast', 'YouTube', '']</v>
      </c>
      <c r="D1226" s="4">
        <v>1.0</v>
      </c>
    </row>
    <row r="1227" ht="15.75" customHeight="1">
      <c r="A1227" s="1">
        <v>1354.0</v>
      </c>
      <c r="B1227" s="4" t="s">
        <v>1200</v>
      </c>
      <c r="C1227" s="4" t="str">
        <f>IFERROR(__xludf.DUMMYFUNCTION("GOOGLETRANSLATE(B1227,""id"",""en"")"),"['open']")</f>
        <v>['open']</v>
      </c>
      <c r="D1227" s="4">
        <v>4.0</v>
      </c>
    </row>
    <row r="1228" ht="15.75" customHeight="1">
      <c r="A1228" s="1">
        <v>1355.0</v>
      </c>
      <c r="B1228" s="4" t="s">
        <v>1201</v>
      </c>
      <c r="C1228" s="4" t="str">
        <f>IFERROR(__xludf.DUMMYFUNCTION("GOOGLETRANSLATE(B1228,""id"",""en"")"),"['Golir', 'complain', 'APK', 'Dipake', 'HUBUK', 'Pay', 'Say', 'Late', 'fine', 'complain', 'ilang']")</f>
        <v>['Golir', 'complain', 'APK', 'Dipake', 'HUBUK', 'Pay', 'Say', 'Late', 'fine', 'complain', 'ilang']</v>
      </c>
      <c r="D1228" s="4">
        <v>1.0</v>
      </c>
    </row>
    <row r="1229" ht="15.75" customHeight="1">
      <c r="A1229" s="1">
        <v>1356.0</v>
      </c>
      <c r="B1229" s="4" t="s">
        <v>1202</v>
      </c>
      <c r="C1229" s="4" t="str">
        <f>IFERROR(__xludf.DUMMYFUNCTION("GOOGLETRANSLATE(B1229,""id"",""en"")"),"['apk', 'error', 'wifi', 'broke', 'connection', 'pulak', 'love', 'ken', 'move']")</f>
        <v>['apk', 'error', 'wifi', 'broke', 'connection', 'pulak', 'love', 'ken', 'move']</v>
      </c>
      <c r="D1229" s="4">
        <v>1.0</v>
      </c>
    </row>
    <row r="1230" ht="15.75" customHeight="1">
      <c r="A1230" s="1">
        <v>1357.0</v>
      </c>
      <c r="B1230" s="4" t="s">
        <v>1203</v>
      </c>
      <c r="C1230" s="4" t="str">
        <f>IFERROR(__xludf.DUMMYFUNCTION("GOOGLETRANSLATE(B1230,""id"",""en"")"),"['Better', 'Than', 'Before', '']")</f>
        <v>['Better', 'Than', 'Before', '']</v>
      </c>
      <c r="D1230" s="4">
        <v>4.0</v>
      </c>
    </row>
    <row r="1231" ht="15.75" customHeight="1">
      <c r="A1231" s="1">
        <v>1358.0</v>
      </c>
      <c r="B1231" s="4" t="s">
        <v>1204</v>
      </c>
      <c r="C1231" s="4" t="str">
        <f>IFERROR(__xludf.DUMMYFUNCTION("GOOGLETRANSLATE(B1231,""id"",""en"")"),"['Enter', 'APK', 'INDIHOME', 'INDIHOME', 'PEAH']")</f>
        <v>['Enter', 'APK', 'INDIHOME', 'INDIHOME', 'PEAH']</v>
      </c>
      <c r="D1231" s="4">
        <v>1.0</v>
      </c>
    </row>
    <row r="1232" ht="15.75" customHeight="1">
      <c r="A1232" s="1">
        <v>1359.0</v>
      </c>
      <c r="B1232" s="4" t="s">
        <v>1205</v>
      </c>
      <c r="C1232" s="4" t="str">
        <f>IFERROR(__xludf.DUMMYFUNCTION("GOOGLETRANSLATE(B1232,""id"",""en"")"),"['Severe', 'Good', 'Application', 'appears', 'empty', 'Bentar', 'Gosong', ""]")</f>
        <v>['Severe', 'Good', 'Application', 'appears', 'empty', 'Bentar', 'Gosong', "]</v>
      </c>
      <c r="D1232" s="4">
        <v>1.0</v>
      </c>
    </row>
    <row r="1233" ht="15.75" customHeight="1">
      <c r="A1233" s="1">
        <v>1360.0</v>
      </c>
      <c r="B1233" s="4" t="s">
        <v>1206</v>
      </c>
      <c r="C1233" s="4" t="str">
        <f>IFERROR(__xludf.DUMMYFUNCTION("GOOGLETRANSLATE(B1233,""id"",""en"")"),"['Screen', 'blank', 'lot', 'response', 'slow']")</f>
        <v>['Screen', 'blank', 'lot', 'response', 'slow']</v>
      </c>
      <c r="D1233" s="4">
        <v>1.0</v>
      </c>
    </row>
    <row r="1234" ht="15.75" customHeight="1">
      <c r="A1234" s="1">
        <v>1361.0</v>
      </c>
      <c r="B1234" s="4" t="s">
        <v>1207</v>
      </c>
      <c r="C1234" s="4" t="str">
        <f>IFERROR(__xludf.DUMMYFUNCTION("GOOGLETRANSLATE(B1234,""id"",""en"")"),"['already', 'lot', 'tags', 'sky', 'otw', 'copy', 'yok', 'look at', 'rame', 'rame']")</f>
        <v>['already', 'lot', 'tags', 'sky', 'otw', 'copy', 'yok', 'look at', 'rame', 'rame']</v>
      </c>
      <c r="D1234" s="4">
        <v>1.0</v>
      </c>
    </row>
    <row r="1235" ht="15.75" customHeight="1">
      <c r="A1235" s="1">
        <v>1362.0</v>
      </c>
      <c r="B1235" s="4" t="s">
        <v>1208</v>
      </c>
      <c r="C1235" s="4" t="str">
        <f>IFERROR(__xludf.DUMMYFUNCTION("GOOGLETRANSLATE(B1235,""id"",""en"")"),"['application', 'knp', 'login', 'failed', 'entry', 'net', 'data', 'buffering', 'login', 'application', 'knp', 'it's',' LEGE ',' PDAH ',' NET ',' Bagusn ',' Dipake ',' Nnton ',' YouTube ',' Test ',' Browsing ',' Current ',' BGitu ',' Msuk ',' Application '"&amp;" , 'Mawar', 'slow', 'bnget', 'bet', 'high school', 'skali', 'knp', 'application', '']")</f>
        <v>['application', 'knp', 'login', 'failed', 'entry', 'net', 'data', 'buffering', 'login', 'application', 'knp', 'it's',' LEGE ',' PDAH ',' NET ',' Bagusn ',' Dipake ',' Nnton ',' YouTube ',' Test ',' Browsing ',' Current ',' BGitu ',' Msuk ',' Application ' , 'Mawar', 'slow', 'bnget', 'bet', 'high school', 'skali', 'knp', 'application', '']</v>
      </c>
      <c r="D1235" s="4">
        <v>2.0</v>
      </c>
    </row>
    <row r="1236" ht="15.75" customHeight="1">
      <c r="A1236" s="1">
        <v>1363.0</v>
      </c>
      <c r="B1236" s="4" t="s">
        <v>1209</v>
      </c>
      <c r="C1236" s="4" t="str">
        <f>IFERROR(__xludf.DUMMYFUNCTION("GOOGLETRANSLATE(B1236,""id"",""en"")"),"['Open', 'Application', 'Indihome', 'Loading', 'Check', 'Capital', 'Look', 'Quota', 'Use', ""]")</f>
        <v>['Open', 'Application', 'Indihome', 'Loading', 'Check', 'Capital', 'Look', 'Quota', 'Use', "]</v>
      </c>
      <c r="D1236" s="4">
        <v>1.0</v>
      </c>
    </row>
    <row r="1237" ht="15.75" customHeight="1">
      <c r="A1237" s="1">
        <v>1364.0</v>
      </c>
      <c r="B1237" s="4" t="s">
        <v>1210</v>
      </c>
      <c r="C1237" s="4" t="str">
        <f>IFERROR(__xludf.DUMMYFUNCTION("GOOGLETRANSLATE(B1237,""id"",""en"")"),"['Login', 'Application', 'FAIL', '' ']")</f>
        <v>['Login', 'Application', 'FAIL', '' ']</v>
      </c>
      <c r="D1237" s="4">
        <v>3.0</v>
      </c>
    </row>
    <row r="1238" ht="15.75" customHeight="1">
      <c r="A1238" s="1">
        <v>1365.0</v>
      </c>
      <c r="B1238" s="4" t="s">
        <v>1211</v>
      </c>
      <c r="C1238" s="4" t="str">
        <f>IFERROR(__xludf.DUMMYFUNCTION("GOOGLETRANSLATE(B1238,""id"",""en"")"),"['disabled']")</f>
        <v>['disabled']</v>
      </c>
      <c r="D1238" s="4">
        <v>1.0</v>
      </c>
    </row>
    <row r="1239" ht="15.75" customHeight="1">
      <c r="A1239" s="1">
        <v>1366.0</v>
      </c>
      <c r="B1239" s="4" t="s">
        <v>1212</v>
      </c>
      <c r="C1239" s="4" t="str">
        <f>IFERROR(__xludf.DUMMYFUNCTION("GOOGLETRANSLATE(B1239,""id"",""en"")"),"['Access', 'Application', 'Indihomen', 'Yesterday', 'Login', ""]")</f>
        <v>['Access', 'Application', 'Indihomen', 'Yesterday', 'Login', "]</v>
      </c>
      <c r="D1239" s="4">
        <v>1.0</v>
      </c>
    </row>
    <row r="1240" ht="15.75" customHeight="1">
      <c r="A1240" s="1">
        <v>1367.0</v>
      </c>
      <c r="B1240" s="4" t="s">
        <v>1213</v>
      </c>
      <c r="C1240" s="4" t="str">
        <f>IFERROR(__xludf.DUMMYFUNCTION("GOOGLETRANSLATE(B1240,""id"",""en"")"),"['loading', 'slow', 'aka', 'fix', '']")</f>
        <v>['loading', 'slow', 'aka', 'fix', '']</v>
      </c>
      <c r="D1240" s="4">
        <v>1.0</v>
      </c>
    </row>
    <row r="1241" ht="15.75" customHeight="1">
      <c r="A1241" s="1">
        <v>1368.0</v>
      </c>
      <c r="B1241" s="4" t="s">
        <v>1214</v>
      </c>
      <c r="C1241" s="4" t="str">
        <f>IFERROR(__xludf.DUMMYFUNCTION("GOOGLETRANSLATE(B1241,""id"",""en"")"),"['Severe', 'Errrrrrrrrr', '']")</f>
        <v>['Severe', 'Errrrrrrrrr', '']</v>
      </c>
      <c r="D1241" s="4">
        <v>1.0</v>
      </c>
    </row>
    <row r="1242" ht="15.75" customHeight="1">
      <c r="A1242" s="1">
        <v>1369.0</v>
      </c>
      <c r="B1242" s="4" t="s">
        <v>1215</v>
      </c>
      <c r="C1242" s="4" t="str">
        <f>IFERROR(__xludf.DUMMYFUNCTION("GOOGLETRANSLATE(B1242,""id"",""en"")"),"['Yesterday', 'difficult', 'access',' application ',' myindihome ',' report ',' deer ',' net ',' region ',' please ',' application ',' myindihome ',' Light ',' thank ',' love ']")</f>
        <v>['Yesterday', 'difficult', 'access',' application ',' myindihome ',' report ',' deer ',' net ',' region ',' please ',' application ',' myindihome ',' Light ',' thank ',' love ']</v>
      </c>
      <c r="D1242" s="4">
        <v>5.0</v>
      </c>
    </row>
    <row r="1243" ht="15.75" customHeight="1">
      <c r="A1243" s="1">
        <v>1370.0</v>
      </c>
      <c r="B1243" s="4" t="s">
        <v>1216</v>
      </c>
      <c r="C1243" s="4" t="str">
        <f>IFERROR(__xludf.DUMMYFUNCTION("GOOGLETRANSLATE(B1243,""id"",""en"")"),"['application', 'bad', 'log', 'failed']")</f>
        <v>['application', 'bad', 'log', 'failed']</v>
      </c>
      <c r="D1243" s="4">
        <v>1.0</v>
      </c>
    </row>
    <row r="1244" ht="15.75" customHeight="1">
      <c r="A1244" s="1">
        <v>1371.0</v>
      </c>
      <c r="B1244" s="4" t="s">
        <v>1217</v>
      </c>
      <c r="C1244" s="4" t="str">
        <f>IFERROR(__xludf.DUMMYFUNCTION("GOOGLETRANSLATE(B1244,""id"",""en"")"),"['Erti', 'apk', 'indihome', 'reset', 'times',' try ',' login ',' error ',' strange ',' really ',' original ',' answer ',' anyway ',' Chace ',' Install ',' reset ',' application ',' Connect ',' Facebook ',' please ',' account ',' cave ',' really ',' seemle"&amp;"ss', 'difficult' , 'wfh', 'improve', 'that's', 'diem', '']")</f>
        <v>['Erti', 'apk', 'indihome', 'reset', 'times',' try ',' login ',' error ',' strange ',' really ',' original ',' answer ',' anyway ',' Chace ',' Install ',' reset ',' application ',' Connect ',' Facebook ',' please ',' account ',' cave ',' really ',' seemless', 'difficult' , 'wfh', 'improve', 'that's', 'diem', '']</v>
      </c>
      <c r="D1244" s="4">
        <v>1.0</v>
      </c>
    </row>
    <row r="1245" ht="15.75" customHeight="1">
      <c r="A1245" s="1">
        <v>1372.0</v>
      </c>
      <c r="B1245" s="4" t="s">
        <v>1218</v>
      </c>
      <c r="C1245" s="4" t="str">
        <f>IFERROR(__xludf.DUMMYFUNCTION("GOOGLETRANSLATE(B1245,""id"",""en"")"),"['', 'list', 'Internet', 'MB', 'date', 'December', 'Application', 'Indihome', 'Costs',' month ',' RB ',' telephone ',' Indihome ',' Costs', 'month', 'plus',' tax ',' logic ',' kisar ',' month ',' tap ',' February ',' twitter ',' lwt ',' application ', 're"&amp;"sponded', 'disappointed', 'people', 'disappointed', 'hope', 'Akn', 'recommendations',' people ',' people ',' Akn ',' ugly ',' ugly ',' real ',' net ',' Nge ',' lag ']")</f>
        <v>['', 'list', 'Internet', 'MB', 'date', 'December', 'Application', 'Indihome', 'Costs',' month ',' RB ',' telephone ',' Indihome ',' Costs', 'month', 'plus',' tax ',' logic ',' kisar ',' month ',' tap ',' February ',' twitter ',' lwt ',' application ', 'responded', 'disappointed', 'people', 'disappointed', 'hope', 'Akn', 'recommendations',' people ',' people ',' Akn ',' ugly ',' ugly ',' real ',' net ',' Nge ',' lag ']</v>
      </c>
      <c r="D1245" s="4">
        <v>1.0</v>
      </c>
    </row>
    <row r="1246" ht="15.75" customHeight="1">
      <c r="A1246" s="1">
        <v>1373.0</v>
      </c>
      <c r="B1246" s="4" t="s">
        <v>1219</v>
      </c>
      <c r="C1246" s="4" t="str">
        <f>IFERROR(__xludf.DUMMYFUNCTION("GOOGLETRANSLATE(B1246,""id"",""en"")"),"['Error', 'haha']")</f>
        <v>['Error', 'haha']</v>
      </c>
      <c r="D1246" s="4">
        <v>4.0</v>
      </c>
    </row>
    <row r="1247" ht="15.75" customHeight="1">
      <c r="A1247" s="1">
        <v>1374.0</v>
      </c>
      <c r="B1247" s="4" t="s">
        <v>1220</v>
      </c>
      <c r="C1247" s="4" t="str">
        <f>IFERROR(__xludf.DUMMYFUNCTION("GOOGLETRANSLATE(B1247,""id"",""en"")"),"['Knp', 'app', 'open', 'function', 'please', 'info']")</f>
        <v>['Knp', 'app', 'open', 'function', 'please', 'info']</v>
      </c>
      <c r="D1247" s="4">
        <v>1.0</v>
      </c>
    </row>
    <row r="1248" ht="15.75" customHeight="1">
      <c r="A1248" s="1">
        <v>1375.0</v>
      </c>
      <c r="B1248" s="4" t="s">
        <v>1221</v>
      </c>
      <c r="C1248" s="4" t="str">
        <f>IFERROR(__xludf.DUMMYFUNCTION("GOOGLETRANSLATE(B1248,""id"",""en"")"),"['gin', 'application', 'difficult', 'fight', 'bother', '']")</f>
        <v>['gin', 'application', 'difficult', 'fight', 'bother', '']</v>
      </c>
      <c r="D1248" s="4">
        <v>2.0</v>
      </c>
    </row>
    <row r="1249" ht="15.75" customHeight="1">
      <c r="A1249" s="1">
        <v>1376.0</v>
      </c>
      <c r="B1249" s="4" t="s">
        <v>1187</v>
      </c>
      <c r="C1249" s="4" t="str">
        <f>IFERROR(__xludf.DUMMYFUNCTION("GOOGLETRANSLATE(B1249,""id"",""en"")"),"['Application', 'Open']")</f>
        <v>['Application', 'Open']</v>
      </c>
      <c r="D1249" s="4">
        <v>5.0</v>
      </c>
    </row>
    <row r="1250" ht="15.75" customHeight="1">
      <c r="A1250" s="1">
        <v>1378.0</v>
      </c>
      <c r="B1250" s="4" t="s">
        <v>1222</v>
      </c>
      <c r="C1250" s="4" t="str">
        <f>IFERROR(__xludf.DUMMYFUNCTION("GOOGLETRANSLATE(B1250,""id"",""en"")"),"['Login', 'account', 'account', 'fast', 'Mbps', 'slow', 'break up', 'Connect']")</f>
        <v>['Login', 'account', 'account', 'fast', 'Mbps', 'slow', 'break up', 'Connect']</v>
      </c>
      <c r="D1250" s="4">
        <v>1.0</v>
      </c>
    </row>
    <row r="1251" ht="15.75" customHeight="1">
      <c r="A1251" s="1">
        <v>1379.0</v>
      </c>
      <c r="B1251" s="4" t="s">
        <v>1223</v>
      </c>
      <c r="C1251" s="4" t="str">
        <f>IFERROR(__xludf.DUMMYFUNCTION("GOOGLETRANSLATE(B1251,""id"",""en"")"),"['Open', 'already']")</f>
        <v>['Open', 'already']</v>
      </c>
      <c r="D1251" s="4">
        <v>2.0</v>
      </c>
    </row>
    <row r="1252" ht="15.75" customHeight="1">
      <c r="A1252" s="1">
        <v>1380.0</v>
      </c>
      <c r="B1252" s="4" t="s">
        <v>1224</v>
      </c>
      <c r="C1252" s="4" t="str">
        <f>IFERROR(__xludf.DUMMYFUNCTION("GOOGLETRANSLATE(B1252,""id"",""en"")"),"['Jam', 'Login']")</f>
        <v>['Jam', 'Login']</v>
      </c>
      <c r="D1252" s="4">
        <v>1.0</v>
      </c>
    </row>
    <row r="1253" ht="15.75" customHeight="1">
      <c r="A1253" s="1">
        <v>1381.0</v>
      </c>
      <c r="B1253" s="4" t="s">
        <v>1225</v>
      </c>
      <c r="C1253" s="4" t="str">
        <f>IFERROR(__xludf.DUMMYFUNCTION("GOOGLETRANSLATE(B1253,""id"",""en"")"),"['tags', 'right', 'already', 'Pay', 'Pay', 'Open', 'Loading', 'Loading', 'Season', 'Very', 'Oath']")</f>
        <v>['tags', 'right', 'already', 'Pay', 'Pay', 'Open', 'Loading', 'Loading', 'Season', 'Very', 'Oath']</v>
      </c>
      <c r="D1253" s="4">
        <v>1.0</v>
      </c>
    </row>
    <row r="1254" ht="15.75" customHeight="1">
      <c r="A1254" s="1">
        <v>1382.0</v>
      </c>
      <c r="B1254" s="4" t="s">
        <v>1226</v>
      </c>
      <c r="C1254" s="4" t="str">
        <f>IFERROR(__xludf.DUMMYFUNCTION("GOOGLETRANSLATE(B1254,""id"",""en"")"),"['smntra', 'ksh', 'star', 'klau', 'pay', 'enter', 'apk', 'indhome', 'entry', 'menu', 'main', 'emotion', ' ']")</f>
        <v>['smntra', 'ksh', 'star', 'klau', 'pay', 'enter', 'apk', 'indhome', 'entry', 'menu', 'main', 'emotion', ' ']</v>
      </c>
      <c r="D1254" s="4">
        <v>1.0</v>
      </c>
    </row>
    <row r="1255" ht="15.75" customHeight="1">
      <c r="A1255" s="1">
        <v>1383.0</v>
      </c>
      <c r="B1255" s="4" t="s">
        <v>1227</v>
      </c>
      <c r="C1255" s="4" t="str">
        <f>IFERROR(__xludf.DUMMYFUNCTION("GOOGLETRANSLATE(B1255,""id"",""en"")"),"['', 'Open', 'application', 'Yesterday', '']")</f>
        <v>['', 'Open', 'application', 'Yesterday', '']</v>
      </c>
      <c r="D1255" s="4">
        <v>2.0</v>
      </c>
    </row>
    <row r="1256" ht="15.75" customHeight="1">
      <c r="A1256" s="1">
        <v>1384.0</v>
      </c>
      <c r="B1256" s="4" t="s">
        <v>1228</v>
      </c>
      <c r="C1256" s="4" t="str">
        <f>IFERROR(__xludf.DUMMYFUNCTION("GOOGLETRANSLATE(B1256,""id"",""en"")"),"['Kaga', 'application']")</f>
        <v>['Kaga', 'application']</v>
      </c>
      <c r="D1256" s="4">
        <v>1.0</v>
      </c>
    </row>
    <row r="1257" ht="15.75" customHeight="1">
      <c r="A1257" s="1">
        <v>1385.0</v>
      </c>
      <c r="B1257" s="4" t="s">
        <v>1229</v>
      </c>
      <c r="C1257" s="4" t="str">
        <f>IFERROR(__xludf.DUMMYFUNCTION("GOOGLETRANSLATE(B1257,""id"",""en"")"),"['Login', 'Account', 'Indihome', 'Application', 'Myindihome', 'Error']")</f>
        <v>['Login', 'Account', 'Indihome', 'Application', 'Myindihome', 'Error']</v>
      </c>
      <c r="D1257" s="4">
        <v>1.0</v>
      </c>
    </row>
    <row r="1258" ht="15.75" customHeight="1">
      <c r="A1258" s="1">
        <v>1386.0</v>
      </c>
      <c r="B1258" s="4" t="s">
        <v>1230</v>
      </c>
      <c r="C1258" s="4" t="str">
        <f>IFERROR(__xludf.DUMMYFUNCTION("GOOGLETRANSLATE(B1258,""id"",""en"")"),"['Try', 'log', 'Yesterday', 'brlom', 'enter', '']")</f>
        <v>['Try', 'log', 'Yesterday', 'brlom', 'enter', '']</v>
      </c>
      <c r="D1258" s="4">
        <v>1.0</v>
      </c>
    </row>
    <row r="1259" ht="15.75" customHeight="1">
      <c r="A1259" s="1">
        <v>1387.0</v>
      </c>
      <c r="B1259" s="4" t="s">
        <v>1231</v>
      </c>
      <c r="C1259" s="4" t="str">
        <f>IFERROR(__xludf.DUMMYFUNCTION("GOOGLETRANSLATE(B1259,""id"",""en"")"),"['really', 'loading', 'bapuk', 'really', 'application', 'HADEH', 'HADEH']")</f>
        <v>['really', 'loading', 'bapuk', 'really', 'application', 'HADEH', 'HADEH']</v>
      </c>
      <c r="D1259" s="4">
        <v>1.0</v>
      </c>
    </row>
    <row r="1260" ht="15.75" customHeight="1">
      <c r="A1260" s="1">
        <v>1388.0</v>
      </c>
      <c r="B1260" s="4" t="s">
        <v>1232</v>
      </c>
      <c r="C1260" s="4" t="str">
        <f>IFERROR(__xludf.DUMMYFUNCTION("GOOGLETRANSLATE(B1260,""id"",""en"")"),"['Sis',' enter ',' account ',' gbisa ',' after ',' update ',' application ',' then ',' Different ',' price ',' klw ',' Move ',' RUMA ',' RB ',' BLM ',' VAT ',' IKR ',' KLW ',' Plasa ',' Telkom ',' NDK ',' RB ',' BLM ',' PPN ' , 'IKR', 'KNPA', 'Different',"&amp;" 'GTU', '']")</f>
        <v>['Sis',' enter ',' account ',' gbisa ',' after ',' update ',' application ',' then ',' Different ',' price ',' klw ',' Move ',' RUMA ',' RB ',' BLM ',' VAT ',' IKR ',' KLW ',' Plasa ',' Telkom ',' NDK ',' RB ',' BLM ',' PPN ' , 'IKR', 'KNPA', 'Different', 'GTU', '']</v>
      </c>
      <c r="D1260" s="4">
        <v>3.0</v>
      </c>
    </row>
    <row r="1261" ht="15.75" customHeight="1">
      <c r="A1261" s="1">
        <v>1389.0</v>
      </c>
      <c r="B1261" s="4" t="s">
        <v>1233</v>
      </c>
      <c r="C1261" s="4" t="str">
        <f>IFERROR(__xludf.DUMMYFUNCTION("GOOGLETRANSLATE(B1261,""id"",""en"")"),"['Login', 'difficult', '']")</f>
        <v>['Login', 'difficult', '']</v>
      </c>
      <c r="D1261" s="4">
        <v>1.0</v>
      </c>
    </row>
    <row r="1262" ht="15.75" customHeight="1">
      <c r="A1262" s="1">
        <v>1391.0</v>
      </c>
      <c r="B1262" s="4" t="s">
        <v>1234</v>
      </c>
      <c r="C1262" s="4" t="str">
        <f>IFERROR(__xludf.DUMMYFUNCTION("GOOGLETRANSLATE(B1262,""id"",""en"")"),"['application', 'application', 'Delete', 'because' reset ',' skg ',' login ',' etc ',' difficult ',' really ',' intention ',' easy ',' Costumer ',' application ',' focusin ',' application ',' stable ',' threat ',' ']")</f>
        <v>['application', 'application', 'Delete', 'because' reset ',' skg ',' login ',' etc ',' difficult ',' really ',' intention ',' easy ',' Costumer ',' application ',' focusin ',' application ',' stable ',' threat ',' ']</v>
      </c>
      <c r="D1262" s="4">
        <v>2.0</v>
      </c>
    </row>
    <row r="1263" ht="15.75" customHeight="1">
      <c r="A1263" s="1">
        <v>1392.0</v>
      </c>
      <c r="B1263" s="4" t="s">
        <v>1235</v>
      </c>
      <c r="C1263" s="4" t="str">
        <f>IFERROR(__xludf.DUMMYFUNCTION("GOOGLETRANSLATE(B1263,""id"",""en"")"),"['Lemod', 'really']")</f>
        <v>['Lemod', 'really']</v>
      </c>
      <c r="D1263" s="4">
        <v>1.0</v>
      </c>
    </row>
    <row r="1264" ht="15.75" customHeight="1">
      <c r="A1264" s="1">
        <v>1393.0</v>
      </c>
      <c r="B1264" s="4" t="s">
        <v>1236</v>
      </c>
      <c r="C1264" s="4" t="str">
        <f>IFERROR(__xludf.DUMMYFUNCTION("GOOGLETRANSLATE(B1264,""id"",""en"")"),"['handsome', 'ibuk', 'beautiful', 'nihh', 'application', 'indihome', 'login', 'enter', 'error', 'truss',' enter ',' number ',' cellphone ',' email ',' please ',' clear ',' ibuk ', ""]")</f>
        <v>['handsome', 'ibuk', 'beautiful', 'nihh', 'application', 'indihome', 'login', 'enter', 'error', 'truss',' enter ',' number ',' cellphone ',' email ',' please ',' clear ',' ibuk ', "]</v>
      </c>
      <c r="D1264" s="4">
        <v>1.0</v>
      </c>
    </row>
    <row r="1265" ht="15.75" customHeight="1">
      <c r="A1265" s="1">
        <v>1394.0</v>
      </c>
      <c r="B1265" s="4" t="s">
        <v>1237</v>
      </c>
      <c r="C1265" s="4" t="str">
        <f>IFERROR(__xludf.DUMMYFUNCTION("GOOGLETRANSLATE(B1265,""id"",""en"")"),"['idihome', 'smooth', 'here', 'indihome', 'dilapidated', 'threat', '']")</f>
        <v>['idihome', 'smooth', 'here', 'indihome', 'dilapidated', 'threat', '']</v>
      </c>
      <c r="D1265" s="4">
        <v>1.0</v>
      </c>
    </row>
    <row r="1266" ht="15.75" customHeight="1">
      <c r="A1266" s="1">
        <v>1395.0</v>
      </c>
      <c r="B1266" s="4" t="s">
        <v>1238</v>
      </c>
      <c r="C1266" s="4" t="str">
        <f>IFERROR(__xludf.DUMMYFUNCTION("GOOGLETRANSLATE(B1266,""id"",""en"")"),"['Disappointed', 'details',' tags', 'missing', 'price', 'subscribe', 'notification', 'details',' missing ',' believe ',' customer ',' report ',' Center ',' Help ',' Blm ',' response ',' intention ',' look for ',' money ', ""]")</f>
        <v>['Disappointed', 'details',' tags', 'missing', 'price', 'subscribe', 'notification', 'details',' missing ',' believe ',' customer ',' report ',' Center ',' Help ',' Blm ',' response ',' intention ',' look for ',' money ', "]</v>
      </c>
      <c r="D1266" s="4">
        <v>1.0</v>
      </c>
    </row>
    <row r="1267" ht="15.75" customHeight="1">
      <c r="A1267" s="1">
        <v>1396.0</v>
      </c>
      <c r="B1267" s="4" t="s">
        <v>1239</v>
      </c>
      <c r="C1267" s="4" t="str">
        <f>IFERROR(__xludf.DUMMYFUNCTION("GOOGLETRANSLATE(B1267,""id"",""en"")"),"['Manta']")</f>
        <v>['Manta']</v>
      </c>
      <c r="D1267" s="4">
        <v>5.0</v>
      </c>
    </row>
    <row r="1268" ht="15.75" customHeight="1">
      <c r="A1268" s="1">
        <v>1397.0</v>
      </c>
      <c r="B1268" s="4" t="s">
        <v>1240</v>
      </c>
      <c r="C1268" s="4" t="str">
        <f>IFERROR(__xludf.DUMMYFUNCTION("GOOGLETRANSLATE(B1268,""id"",""en"")"),"['Application', 'Myindihome', 'Login', 'Delete', 'Cache', 'Come', 'Indihome', 'Law', 'Quality', 'Signal', 'Please', 'Response', ' fast ',' complain ',' subscribe ',' thank ',' love ']")</f>
        <v>['Application', 'Myindihome', 'Login', 'Delete', 'Cache', 'Come', 'Indihome', 'Law', 'Quality', 'Signal', 'Please', 'Response', ' fast ',' complain ',' subscribe ',' thank ',' love ']</v>
      </c>
      <c r="D1268" s="4">
        <v>2.0</v>
      </c>
    </row>
    <row r="1269" ht="15.75" customHeight="1">
      <c r="A1269" s="1">
        <v>1398.0</v>
      </c>
      <c r="B1269" s="4" t="s">
        <v>1241</v>
      </c>
      <c r="C1269" s="4" t="str">
        <f>IFERROR(__xludf.DUMMYFUNCTION("GOOGLETRANSLATE(B1269,""id"",""en"")"),"[ 'Be aware', 'list', 'aplikas',' indihome ',' oath ',' leleeeeeeeeeeeeeeeeeeettttttttttttttt ',' bangetttttttttttttt ',' jeleeeeeeeeeeeeeeeeeeeeeeeeeeeeeeeeeeeeeeeee ',' bangettttttttttttttttttttttttttttttttttttttttttttttttt ',' aplikasiiiiiiiiiiiiiiiiii"&amp;"iiiiiiiiiiiiiiiiii ',' yaaaaaaa ',' aaaaa '' mohonnnnnnnnnnnnnnnnn ',' arahannnnnnnnnnnnnnnnn ',' yaaaaaaaaaaaaaa ',' engaaaaaaaaaaaaaaaaaaaaaaa ',' bisaaaaaaaaaaaaaaaaaa ',' daftararrrrrrrrrrrrrrrrrrrrr ',' indihomeeeeeeeeeeeee ',' sayaaaaaaa ',' try ','"&amp;" yesterday ',' morning ',' until ',' night ' , 'Enga', 'Register']")</f>
        <v>[ 'Be aware', 'list', 'aplikas',' indihome ',' oath ',' leleeeeeeeeeeeeeeeeeeettttttttttttttt ',' bangetttttttttttttt ',' jeleeeeeeeeeeeeeeeeeeeeeeeeeeeeeeeeeeeeeeeee ',' bangettttttttttttttttttttttttttttttttttttttttttttttttt ',' aplikasiiiiiiiiiiiiiiiiiiiiiiiiiiiiiiiiiiii ',' yaaaaaaa ',' aaaaa '' mohonnnnnnnnnnnnnnnnn ',' arahannnnnnnnnnnnnnnnn ',' yaaaaaaaaaaaaaa ',' engaaaaaaaaaaaaaaaaaaaaaaa ',' bisaaaaaaaaaaaaaaaaaa ',' daftararrrrrrrrrrrrrrrrrrrrr ',' indihomeeeeeeeeeeeee ',' sayaaaaaaa ',' try ',' yesterday ',' morning ',' until ',' night ' , 'Enga', 'Register']</v>
      </c>
      <c r="D1269" s="4">
        <v>1.0</v>
      </c>
    </row>
    <row r="1270" ht="15.75" customHeight="1">
      <c r="A1270" s="1">
        <v>1399.0</v>
      </c>
      <c r="B1270" s="4" t="s">
        <v>1242</v>
      </c>
      <c r="C1270" s="4" t="str">
        <f>IFERROR(__xludf.DUMMYFUNCTION("GOOGLETRANSLATE(B1270,""id"",""en"")"),"['Upgrade', 'account', 'opened']")</f>
        <v>['Upgrade', 'account', 'opened']</v>
      </c>
      <c r="D1270" s="4">
        <v>2.0</v>
      </c>
    </row>
    <row r="1271" ht="15.75" customHeight="1">
      <c r="A1271" s="1">
        <v>1400.0</v>
      </c>
      <c r="B1271" s="4" t="s">
        <v>1243</v>
      </c>
      <c r="C1271" s="4" t="str">
        <f>IFERROR(__xludf.DUMMYFUNCTION("GOOGLETRANSLATE(B1271,""id"",""en"")"),"['Application', 'Loding', 'Doang', 'menu', 'Layai', 'Reload', 'Continuous', 'Report', 'Indihome', 'Via', 'apps', 'have']")</f>
        <v>['Application', 'Loding', 'Doang', 'menu', 'Layai', 'Reload', 'Continuous', 'Report', 'Indihome', 'Via', 'apps', 'have']</v>
      </c>
      <c r="D1271" s="4">
        <v>1.0</v>
      </c>
    </row>
    <row r="1272" ht="15.75" customHeight="1">
      <c r="A1272" s="1">
        <v>1401.0</v>
      </c>
      <c r="B1272" s="4" t="s">
        <v>1187</v>
      </c>
      <c r="C1272" s="4" t="str">
        <f>IFERROR(__xludf.DUMMYFUNCTION("GOOGLETRANSLATE(B1272,""id"",""en"")"),"['Application', 'Open']")</f>
        <v>['Application', 'Open']</v>
      </c>
      <c r="D1272" s="4">
        <v>1.0</v>
      </c>
    </row>
    <row r="1273" ht="15.75" customHeight="1">
      <c r="A1273" s="1">
        <v>1402.0</v>
      </c>
      <c r="B1273" s="4" t="s">
        <v>1244</v>
      </c>
      <c r="C1273" s="4" t="str">
        <f>IFERROR(__xludf.DUMMYFUNCTION("GOOGLETRANSLATE(B1273,""id"",""en"")"),"['application', 'garbage', 'open', 'trmskh']")</f>
        <v>['application', 'garbage', 'open', 'trmskh']</v>
      </c>
      <c r="D1273" s="4">
        <v>1.0</v>
      </c>
    </row>
    <row r="1274" ht="15.75" customHeight="1">
      <c r="A1274" s="1">
        <v>1403.0</v>
      </c>
      <c r="B1274" s="4" t="s">
        <v>1245</v>
      </c>
      <c r="C1274" s="4" t="str">
        <f>IFERROR(__xludf.DUMMYFUNCTION("GOOGLETRANSLATE(B1274,""id"",""en"")"),"['Login', 'failed', 'update', 'appears',' information ',' appears', 'base', 'tags',' use ',' internet ',' difficult ',' web ',' Indihome ',' difficult ',' login ',' hope ',' good ',' fast ', ""]")</f>
        <v>['Login', 'failed', 'update', 'appears',' information ',' appears', 'base', 'tags',' use ',' internet ',' difficult ',' web ',' Indihome ',' difficult ',' login ',' hope ',' good ',' fast ', "]</v>
      </c>
      <c r="D1274" s="4">
        <v>1.0</v>
      </c>
    </row>
    <row r="1275" ht="15.75" customHeight="1">
      <c r="A1275" s="1">
        <v>1404.0</v>
      </c>
      <c r="B1275" s="4" t="s">
        <v>1246</v>
      </c>
      <c r="C1275" s="4" t="str">
        <f>IFERROR(__xludf.DUMMYFUNCTION("GOOGLETRANSLATE(B1275,""id"",""en"")"),"['This is the', 'Kanapa', 'Sampe', 'Skrg', 'Dimunaain', 'Cuk', 'Hadeuuhh']")</f>
        <v>['This is the', 'Kanapa', 'Sampe', 'Skrg', 'Dimunaain', 'Cuk', 'Hadeuuhh']</v>
      </c>
      <c r="D1275" s="4">
        <v>1.0</v>
      </c>
    </row>
    <row r="1276" ht="15.75" customHeight="1">
      <c r="A1276" s="1">
        <v>1405.0</v>
      </c>
      <c r="B1276" s="4" t="s">
        <v>1247</v>
      </c>
      <c r="C1276" s="4" t="str">
        <f>IFERROR(__xludf.DUMMYFUNCTION("GOOGLETRANSLATE(B1276,""id"",""en"")"),"['APL', 'confused', 'Pay', 'expensive', 'check', 'tags',' difficult ',' difficult ',' klw ',' appl ',' blm ',' maximal ',' Ngak ',' published ',' application ',' perfect ',' TPI ',' fasting ',' KPD ',' use ',' Subscribe ',' Indihome ', ""]")</f>
        <v>['APL', 'confused', 'Pay', 'expensive', 'check', 'tags',' difficult ',' difficult ',' klw ',' appl ',' blm ',' maximal ',' Ngak ',' published ',' application ',' perfect ',' TPI ',' fasting ',' KPD ',' use ',' Subscribe ',' Indihome ', "]</v>
      </c>
      <c r="D1276" s="4">
        <v>1.0</v>
      </c>
    </row>
    <row r="1277" ht="15.75" customHeight="1">
      <c r="A1277" s="1">
        <v>1406.0</v>
      </c>
      <c r="B1277" s="4" t="s">
        <v>1248</v>
      </c>
      <c r="C1277" s="4" t="str">
        <f>IFERROR(__xludf.DUMMYFUNCTION("GOOGLETRANSLATE(B1277,""id"",""en"")"),"['Application', 'Bug', 'Please', 'Level']")</f>
        <v>['Application', 'Bug', 'Please', 'Level']</v>
      </c>
      <c r="D1277" s="4">
        <v>1.0</v>
      </c>
    </row>
    <row r="1278" ht="15.75" customHeight="1">
      <c r="A1278" s="1">
        <v>1407.0</v>
      </c>
      <c r="B1278" s="4" t="s">
        <v>1249</v>
      </c>
      <c r="C1278" s="4" t="str">
        <f>IFERROR(__xludf.DUMMYFUNCTION("GOOGLETRANSLATE(B1278,""id"",""en"")"),"['Open', 'brother', 'clay', 'maki', 'kemrin', 'tasty', 'tuk', 'tetep', 'please', 'guide', 'brother', ""]")</f>
        <v>['Open', 'brother', 'clay', 'maki', 'kemrin', 'tasty', 'tuk', 'tetep', 'please', 'guide', 'brother', "]</v>
      </c>
      <c r="D1278" s="4">
        <v>5.0</v>
      </c>
    </row>
    <row r="1279" ht="15.75" customHeight="1">
      <c r="A1279" s="1">
        <v>1408.0</v>
      </c>
      <c r="B1279" s="4" t="s">
        <v>1250</v>
      </c>
      <c r="C1279" s="4" t="str">
        <f>IFERROR(__xludf.DUMMYFUNCTION("GOOGLETRANSLATE(B1279,""id"",""en"")"),"['Error', '']")</f>
        <v>['Error', '']</v>
      </c>
      <c r="D1279" s="4">
        <v>5.0</v>
      </c>
    </row>
    <row r="1280" ht="15.75" customHeight="1">
      <c r="A1280" s="1">
        <v>1409.0</v>
      </c>
      <c r="B1280" s="4" t="s">
        <v>1251</v>
      </c>
      <c r="C1280" s="4" t="str">
        <f>IFERROR(__xludf.DUMMYFUNCTION("GOOGLETRANSLATE(B1280,""id"",""en"")"),"['difficult', 'login', 'application', 'indhihome', '']")</f>
        <v>['difficult', 'login', 'application', 'indhihome', '']</v>
      </c>
      <c r="D1280" s="4">
        <v>1.0</v>
      </c>
    </row>
    <row r="1281" ht="15.75" customHeight="1">
      <c r="A1281" s="1">
        <v>1410.0</v>
      </c>
      <c r="B1281" s="4" t="s">
        <v>1252</v>
      </c>
      <c r="C1281" s="4" t="str">
        <f>IFERROR(__xludf.DUMMYFUNCTION("GOOGLETRANSLATE(B1281,""id"",""en"")"),"['Difficult', 'Open', 'Change', 'Feature', 'ndak']")</f>
        <v>['Difficult', 'Open', 'Change', 'Feature', 'ndak']</v>
      </c>
      <c r="D1281" s="4">
        <v>1.0</v>
      </c>
    </row>
    <row r="1282" ht="15.75" customHeight="1">
      <c r="A1282" s="1">
        <v>1411.0</v>
      </c>
      <c r="B1282" s="4" t="s">
        <v>1253</v>
      </c>
      <c r="C1282" s="4" t="str">
        <f>IFERROR(__xludf.DUMMYFUNCTION("GOOGLETRANSLATE(B1282,""id"",""en"")"),"['already', 'Benhenti', 'subscribe', 'knp', 'tags', 'enter']")</f>
        <v>['already', 'Benhenti', 'subscribe', 'knp', 'tags', 'enter']</v>
      </c>
      <c r="D1282" s="4">
        <v>1.0</v>
      </c>
    </row>
    <row r="1283" ht="15.75" customHeight="1">
      <c r="A1283" s="1">
        <v>1412.0</v>
      </c>
      <c r="B1283" s="4" t="s">
        <v>1254</v>
      </c>
      <c r="C1283" s="4" t="str">
        <f>IFERROR(__xludf.DUMMYFUNCTION("GOOGLETRANSLATE(B1283,""id"",""en"")"),"['stop', 'subscribe', 'knp', 'tags', 'enter', 'try', 'check', 'gmna', '']")</f>
        <v>['stop', 'subscribe', 'knp', 'tags', 'enter', 'try', 'check', 'gmna', '']</v>
      </c>
      <c r="D1283" s="4">
        <v>1.0</v>
      </c>
    </row>
    <row r="1284" ht="15.75" customHeight="1">
      <c r="A1284" s="1">
        <v>1413.0</v>
      </c>
      <c r="B1284" s="4" t="s">
        <v>1255</v>
      </c>
      <c r="C1284" s="4" t="str">
        <f>IFERROR(__xludf.DUMMYFUNCTION("GOOGLETRANSLATE(B1284,""id"",""en"")"),"['capitalist', 'detail', 'tags',' lost ',' price ',' tags', 'user', 'package', 'Different', 'appeal', 'tags',' open ',' thousand ',' thousand ',' hundred ',' thousand ',' ']")</f>
        <v>['capitalist', 'detail', 'tags',' lost ',' price ',' tags', 'user', 'package', 'Different', 'appeal', 'tags',' open ',' thousand ',' thousand ',' hundred ',' thousand ',' ']</v>
      </c>
      <c r="D1284" s="4">
        <v>1.0</v>
      </c>
    </row>
    <row r="1285" ht="15.75" customHeight="1">
      <c r="A1285" s="1">
        <v>1414.0</v>
      </c>
      <c r="B1285" s="4" t="s">
        <v>1256</v>
      </c>
      <c r="C1285" s="4" t="str">
        <f>IFERROR(__xludf.DUMMYFUNCTION("GOOGLETRANSLATE(B1285,""id"",""en"")"),"['application', 'gabisa', 'open', 'pay', '']")</f>
        <v>['application', 'gabisa', 'open', 'pay', '']</v>
      </c>
      <c r="D1285" s="4">
        <v>1.0</v>
      </c>
    </row>
    <row r="1286" ht="15.75" customHeight="1">
      <c r="A1286" s="1">
        <v>1415.0</v>
      </c>
      <c r="B1286" s="4" t="s">
        <v>1257</v>
      </c>
      <c r="C1286" s="4" t="str">
        <f>IFERROR(__xludf.DUMMYFUNCTION("GOOGLETRANSLATE(B1286,""id"",""en"")"),"['skrg', 'mao', 'log', 'app', 'indihome', 'check', 'tags', 'use', 'pke', 'web', '']")</f>
        <v>['skrg', 'mao', 'log', 'app', 'indihome', 'check', 'tags', 'use', 'pke', 'web', '']</v>
      </c>
      <c r="D1286" s="4">
        <v>1.0</v>
      </c>
    </row>
    <row r="1287" ht="15.75" customHeight="1">
      <c r="A1287" s="1">
        <v>1416.0</v>
      </c>
      <c r="B1287" s="4" t="s">
        <v>1258</v>
      </c>
      <c r="C1287" s="4" t="str">
        <f>IFERROR(__xludf.DUMMYFUNCTION("GOOGLETRANSLATE(B1287,""id"",""en"")"),"['February', 'application', 'appears', 'details', 'please', 'condition', 'Please', 'info', 'solution']")</f>
        <v>['February', 'application', 'appears', 'details', 'please', 'condition', 'Please', 'info', 'solution']</v>
      </c>
      <c r="D1287" s="4">
        <v>5.0</v>
      </c>
    </row>
    <row r="1288" ht="15.75" customHeight="1">
      <c r="A1288" s="1">
        <v>1417.0</v>
      </c>
      <c r="B1288" s="4" t="s">
        <v>1259</v>
      </c>
      <c r="C1288" s="4" t="str">
        <f>IFERROR(__xludf.DUMMYFUNCTION("GOOGLETRANSLATE(B1288,""id"",""en"")"),"['Application', 'Delete', 'Use', 'Read', 'Review', 'Positive', 'Please', 'Admin', 'Application', 'Read', 'According to', 'Protocol', ' admin ',' management ',' funny ',' business', 'telecommunications',' big ',' Indonesia ',' application ',' quality ']")</f>
        <v>['Application', 'Delete', 'Use', 'Read', 'Review', 'Positive', 'Please', 'Admin', 'Application', 'Read', 'According to', 'Protocol', ' admin ',' management ',' funny ',' business', 'telecommunications',' big ',' Indonesia ',' application ',' quality ']</v>
      </c>
      <c r="D1288" s="4">
        <v>1.0</v>
      </c>
    </row>
    <row r="1289" ht="15.75" customHeight="1">
      <c r="A1289" s="1">
        <v>1418.0</v>
      </c>
      <c r="B1289" s="4" t="s">
        <v>1260</v>
      </c>
      <c r="C1289" s="4" t="str">
        <f>IFERROR(__xludf.DUMMYFUNCTION("GOOGLETRANSLATE(B1289,""id"",""en"")"),"['lost', 'net', 'open', 'Instagram', 'Nda', 'smooth', 'tap', 'month', 'rb', 'already', 'broken', 'Nda', ' Watch ',' display ',' employees', 'asked', 'respond', 'good', 'igninated', 'apasih']")</f>
        <v>['lost', 'net', 'open', 'Instagram', 'Nda', 'smooth', 'tap', 'month', 'rb', 'already', 'broken', 'Nda', ' Watch ',' display ',' employees', 'asked', 'respond', 'good', 'igninated', 'apasih']</v>
      </c>
      <c r="D1289" s="4">
        <v>1.0</v>
      </c>
    </row>
    <row r="1290" ht="15.75" customHeight="1">
      <c r="A1290" s="1">
        <v>1419.0</v>
      </c>
      <c r="B1290" s="4" t="s">
        <v>1261</v>
      </c>
      <c r="C1290" s="4" t="str">
        <f>IFERROR(__xludf.DUMMYFUNCTION("GOOGLETRANSLATE(B1290,""id"",""en"")"),"['Donk', 'stopped', 'subscribe', 'Alnya', 'signal', 'ugly', 'jdda', 'rich', 'redundant', 'ajj', 'pay', 'lbih', ' Money ',' BLI ',' Eat ',' Thank you ']")</f>
        <v>['Donk', 'stopped', 'subscribe', 'Alnya', 'signal', 'ugly', 'jdda', 'rich', 'redundant', 'ajj', 'pay', 'lbih', ' Money ',' BLI ',' Eat ',' Thank you ']</v>
      </c>
      <c r="D1290" s="4">
        <v>1.0</v>
      </c>
    </row>
    <row r="1291" ht="15.75" customHeight="1">
      <c r="A1291" s="1">
        <v>1421.0</v>
      </c>
      <c r="B1291" s="4" t="s">
        <v>1262</v>
      </c>
      <c r="C1291" s="4" t="str">
        <f>IFERROR(__xludf.DUMMYFUNCTION("GOOGLETRANSLATE(B1291,""id"",""en"")"),"['', 'sometimes', '']")</f>
        <v>['', 'sometimes', '']</v>
      </c>
      <c r="D1291" s="4">
        <v>4.0</v>
      </c>
    </row>
    <row r="1292" ht="15.75" customHeight="1">
      <c r="A1292" s="1">
        <v>1422.0</v>
      </c>
      <c r="B1292" s="4" t="s">
        <v>1263</v>
      </c>
      <c r="C1292" s="4" t="str">
        <f>IFERROR(__xludf.DUMMYFUNCTION("GOOGLETRANSLATE(B1292,""id"",""en"")"),"['application', 'access']")</f>
        <v>['application', 'access']</v>
      </c>
      <c r="D1292" s="4">
        <v>1.0</v>
      </c>
    </row>
    <row r="1293" ht="15.75" customHeight="1">
      <c r="A1293" s="1">
        <v>1423.0</v>
      </c>
      <c r="B1293" s="4" t="s">
        <v>1264</v>
      </c>
      <c r="C1293" s="4" t="str">
        <f>IFERROR(__xludf.DUMMYFUNCTION("GOOGLETRANSLATE(B1293,""id"",""en"")"),"['access',' balance ',' wrong ',' cause ',' dimna ',' replace ',' pin ',' balance ',' skrg ',' open ',' application ',' muter ',' NGK ',' Page ',' Refresh ',' Tetep ']")</f>
        <v>['access',' balance ',' wrong ',' cause ',' dimna ',' replace ',' pin ',' balance ',' skrg ',' open ',' application ',' muter ',' NGK ',' Page ',' Refresh ',' Tetep ']</v>
      </c>
      <c r="D1293" s="4">
        <v>1.0</v>
      </c>
    </row>
    <row r="1294" ht="15.75" customHeight="1">
      <c r="A1294" s="1">
        <v>1424.0</v>
      </c>
      <c r="B1294" s="4" t="s">
        <v>1265</v>
      </c>
      <c r="C1294" s="4" t="str">
        <f>IFERROR(__xludf.DUMMYFUNCTION("GOOGLETRANSLATE(B1294,""id"",""en"")"),"['server', 'down', 'please', 'obviously', 'cook', 'open', 'application', 'bngt', 'connection', 'internet', 'good', ""]")</f>
        <v>['server', 'down', 'please', 'obviously', 'cook', 'open', 'application', 'bngt', 'connection', 'internet', 'good', "]</v>
      </c>
      <c r="D1294" s="4">
        <v>2.0</v>
      </c>
    </row>
    <row r="1295" ht="15.75" customHeight="1">
      <c r="A1295" s="1">
        <v>1425.0</v>
      </c>
      <c r="B1295" s="4" t="s">
        <v>1266</v>
      </c>
      <c r="C1295" s="4" t="str">
        <f>IFERROR(__xludf.DUMMYFUNCTION("GOOGLETRANSLATE(B1295,""id"",""en"")"),"['', 'Login', 'already', 'Error', 'Kecere']")</f>
        <v>['', 'Login', 'already', 'Error', 'Kecere']</v>
      </c>
      <c r="D1295" s="4">
        <v>1.0</v>
      </c>
    </row>
    <row r="1296" ht="15.75" customHeight="1">
      <c r="A1296" s="1">
        <v>1426.0</v>
      </c>
      <c r="B1296" s="4" t="s">
        <v>1267</v>
      </c>
      <c r="C1296" s="4" t="str">
        <f>IFERROR(__xludf.DUMMYFUNCTION("GOOGLETRANSLATE(B1296,""id"",""en"")"),"['Login', 'failed', 'login', 'nmer', 'email', 'tetep', '']")</f>
        <v>['Login', 'failed', 'login', 'nmer', 'email', 'tetep', '']</v>
      </c>
      <c r="D1296" s="4">
        <v>1.0</v>
      </c>
    </row>
    <row r="1297" ht="15.75" customHeight="1">
      <c r="A1297" s="1">
        <v>1427.0</v>
      </c>
      <c r="B1297" s="4" t="s">
        <v>1268</v>
      </c>
      <c r="C1297" s="4" t="str">
        <f>IFERROR(__xludf.DUMMYFUNCTION("GOOGLETRANSLATE(B1297,""id"",""en"")"),"['Nidak', 'enter', 'Indihome', '']")</f>
        <v>['Nidak', 'enter', 'Indihome', '']</v>
      </c>
      <c r="D1297" s="4">
        <v>1.0</v>
      </c>
    </row>
    <row r="1298" ht="15.75" customHeight="1">
      <c r="A1298" s="1">
        <v>1428.0</v>
      </c>
      <c r="B1298" s="4" t="s">
        <v>1269</v>
      </c>
      <c r="C1298" s="4" t="str">
        <f>IFERROR(__xludf.DUMMYFUNCTION("GOOGLETRANSLATE(B1298,""id"",""en"")"),"['info', 'tags',' myindihome ',' ilang ',' ilang ',' tagging ',' just ',' pay ',' month ',' February ',' transacti ',' pay ',' MyIndihome ',' ilang ',' how ']")</f>
        <v>['info', 'tags',' myindihome ',' ilang ',' ilang ',' tagging ',' just ',' pay ',' month ',' February ',' transacti ',' pay ',' MyIndihome ',' ilang ',' how ']</v>
      </c>
      <c r="D1298" s="4">
        <v>2.0</v>
      </c>
    </row>
    <row r="1299" ht="15.75" customHeight="1">
      <c r="A1299" s="1">
        <v>1429.0</v>
      </c>
      <c r="B1299" s="4" t="s">
        <v>1270</v>
      </c>
      <c r="C1299" s="4" t="str">
        <f>IFERROR(__xludf.DUMMYFUNCTION("GOOGLETRANSLATE(B1299,""id"",""en"")"),"['Application', 'Myindihome', 'right', 'access', 'difficult', 'open', 'application', 'difficult', 'appears', 'emerged', 'loading']")</f>
        <v>['Application', 'Myindihome', 'right', 'access', 'difficult', 'open', 'application', 'difficult', 'appears', 'emerged', 'loading']</v>
      </c>
      <c r="D1299" s="4">
        <v>1.0</v>
      </c>
    </row>
    <row r="1300" ht="15.75" customHeight="1">
      <c r="A1300" s="1">
        <v>1430.0</v>
      </c>
      <c r="B1300" s="4" t="s">
        <v>1271</v>
      </c>
      <c r="C1300" s="4" t="str">
        <f>IFERROR(__xludf.DUMMYFUNCTION("GOOGLETRANSLATE(B1300,""id"",""en"")"),"['Internet', 'slow', 'Mulu', 'price', 'Doang', 'expensive', ""]")</f>
        <v>['Internet', 'slow', 'Mulu', 'price', 'Doang', 'expensive', "]</v>
      </c>
      <c r="D1300" s="4">
        <v>1.0</v>
      </c>
    </row>
    <row r="1301" ht="15.75" customHeight="1">
      <c r="A1301" s="1">
        <v>1431.0</v>
      </c>
      <c r="B1301" s="4" t="s">
        <v>1272</v>
      </c>
      <c r="C1301" s="4" t="str">
        <f>IFERROR(__xludf.DUMMYFUNCTION("GOOGLETRANSLATE(B1301,""id"",""en"")"),"['Application', 'boss',' login ',' gabisa ',' want ',' udh ',' signal ',' down ',' kek ',' lights', 'traffic', 'tap', ' expensive ',' connection ',' rotten ',' Mbps ',' signal ',' kek ',' gin ',' regret ',' use ',' provider ',' expensive ',' do "", 'conne"&amp;"ction' , 'Cheap', 'UDH', 'Report', 'Perflature', 'Abai', 'Indihome', 'hahahahaha', '']")</f>
        <v>['Application', 'boss',' login ',' gabisa ',' want ',' udh ',' signal ',' down ',' kek ',' lights', 'traffic', 'tap', ' expensive ',' connection ',' rotten ',' Mbps ',' signal ',' kek ',' gin ',' regret ',' use ',' provider ',' expensive ',' do ", 'connection' , 'Cheap', 'UDH', 'Report', 'Perflature', 'Abai', 'Indihome', 'hahahahaha', '']</v>
      </c>
      <c r="D1301" s="4">
        <v>1.0</v>
      </c>
    </row>
    <row r="1302" ht="15.75" customHeight="1">
      <c r="A1302" s="1">
        <v>1432.0</v>
      </c>
      <c r="B1302" s="4" t="s">
        <v>1273</v>
      </c>
      <c r="C1302" s="4" t="str">
        <f>IFERROR(__xludf.DUMMYFUNCTION("GOOGLETRANSLATE(B1302,""id"",""en"")"),"['application', 'lot', 'bug', 'login', 'application']")</f>
        <v>['application', 'lot', 'bug', 'login', 'application']</v>
      </c>
      <c r="D1302" s="4">
        <v>1.0</v>
      </c>
    </row>
    <row r="1303" ht="15.75" customHeight="1">
      <c r="A1303" s="1">
        <v>1433.0</v>
      </c>
      <c r="B1303" s="4" t="s">
        <v>1274</v>
      </c>
      <c r="C1303" s="4" t="str">
        <f>IFERROR(__xludf.DUMMYFUNCTION("GOOGLETRANSLATE(B1303,""id"",""en"")"),"['Devloer', 'application', 'fired', 'login', 'kagak', ""]")</f>
        <v>['Devloer', 'application', 'fired', 'login', 'kagak', "]</v>
      </c>
      <c r="D1303" s="4">
        <v>1.0</v>
      </c>
    </row>
    <row r="1304" ht="15.75" customHeight="1">
      <c r="A1304" s="1">
        <v>1435.0</v>
      </c>
      <c r="B1304" s="4" t="s">
        <v>1275</v>
      </c>
      <c r="C1304" s="4" t="str">
        <f>IFERROR(__xludf.DUMMYFUNCTION("GOOGLETRANSLATE(B1304,""id"",""en"")"),"['wifi', 'indihome', 'luemot', 'really', 'already', 'pay', 'ttp', 'service', 'internet', 'lot', 'really', 'mending', ' Unplug ']")</f>
        <v>['wifi', 'indihome', 'luemot', 'really', 'already', 'pay', 'ttp', 'service', 'internet', 'lot', 'really', 'mending', ' Unplug ']</v>
      </c>
      <c r="D1304" s="4">
        <v>1.0</v>
      </c>
    </row>
    <row r="1305" ht="15.75" customHeight="1">
      <c r="A1305" s="1">
        <v>1436.0</v>
      </c>
      <c r="B1305" s="4" t="s">
        <v>108</v>
      </c>
      <c r="C1305" s="4" t="str">
        <f>IFERROR(__xludf.DUMMYFUNCTION("GOOGLETRANSLATE(B1305,""id"",""en"")"),"['', '']")</f>
        <v>['', '']</v>
      </c>
      <c r="D1305" s="4">
        <v>1.0</v>
      </c>
    </row>
    <row r="1306" ht="15.75" customHeight="1">
      <c r="A1306" s="1">
        <v>1437.0</v>
      </c>
      <c r="B1306" s="4" t="s">
        <v>1276</v>
      </c>
      <c r="C1306" s="4" t="str">
        <f>IFERROR(__xludf.DUMMYFUNCTION("GOOGLETRANSLATE(B1306,""id"",""en"")"),"['hmpir', 'brp', 'bln', 'lma', 'application', 'bres',' btul ',' slah ',' stu ',' kcptan ',' lmbat ',' mnta ',' hawp ',' srta ',' response ',' lmbat ',' mnyesal ',' pkai ',' indihome ',' think ',' skli ',' lgi ',' pkai ',' application ',' gnti ' , 'Provide"&amp;"r', '']")</f>
        <v>['hmpir', 'brp', 'bln', 'lma', 'application', 'bres',' btul ',' slah ',' stu ',' kcptan ',' lmbat ',' mnta ',' hawp ',' srta ',' response ',' lmbat ',' mnyesal ',' pkai ',' indihome ',' think ',' skli ',' lgi ',' pkai ',' application ',' gnti ' , 'Provider', '']</v>
      </c>
      <c r="D1306" s="4">
        <v>1.0</v>
      </c>
    </row>
    <row r="1307" ht="15.75" customHeight="1">
      <c r="A1307" s="1">
        <v>1438.0</v>
      </c>
      <c r="B1307" s="4" t="s">
        <v>1277</v>
      </c>
      <c r="C1307" s="4" t="str">
        <f>IFERROR(__xludf.DUMMYFUNCTION("GOOGLETRANSLATE(B1307,""id"",""en"")"),"['knp', 'open', 'application', 'check', 'until', 'enter', 'web', 'tetep', 'please', 'clear']")</f>
        <v>['knp', 'open', 'application', 'check', 'until', 'enter', 'web', 'tetep', 'please', 'clear']</v>
      </c>
      <c r="D1307" s="4">
        <v>2.0</v>
      </c>
    </row>
    <row r="1308" ht="15.75" customHeight="1">
      <c r="A1308" s="1">
        <v>1439.0</v>
      </c>
      <c r="B1308" s="4" t="s">
        <v>1165</v>
      </c>
      <c r="C1308" s="4" t="str">
        <f>IFERROR(__xludf.DUMMYFUNCTION("GOOGLETRANSLATE(B1308,""id"",""en"")"),"['Login', '']")</f>
        <v>['Login', '']</v>
      </c>
      <c r="D1308" s="4">
        <v>1.0</v>
      </c>
    </row>
    <row r="1309" ht="15.75" customHeight="1">
      <c r="A1309" s="1">
        <v>1440.0</v>
      </c>
      <c r="B1309" s="4" t="s">
        <v>1278</v>
      </c>
      <c r="C1309" s="4" t="str">
        <f>IFERROR(__xludf.DUMMYFUNCTION("GOOGLETRANSLATE(B1309,""id"",""en"")"),"['Login', 'since', 'update', 'difficult', 'login', 'reset']")</f>
        <v>['Login', 'since', 'update', 'difficult', 'login', 'reset']</v>
      </c>
      <c r="D1309" s="4">
        <v>1.0</v>
      </c>
    </row>
    <row r="1310" ht="15.75" customHeight="1">
      <c r="A1310" s="1">
        <v>1441.0</v>
      </c>
      <c r="B1310" s="4" t="s">
        <v>1279</v>
      </c>
      <c r="C1310" s="4" t="str">
        <f>IFERROR(__xludf.DUMMYFUNCTION("GOOGLETRANSLATE(B1310,""id"",""en"")"),"['', 'Star', 'collapsed', 'because', 'Application', 'Manjadi', 'Lamban', 'Heavy', 'Loding', 'Current']")</f>
        <v>['', 'Star', 'collapsed', 'because', 'Application', 'Manjadi', 'Lamban', 'Heavy', 'Loding', 'Current']</v>
      </c>
      <c r="D1310" s="4">
        <v>3.0</v>
      </c>
    </row>
    <row r="1311" ht="15.75" customHeight="1">
      <c r="A1311" s="1">
        <v>1442.0</v>
      </c>
      <c r="B1311" s="4" t="s">
        <v>961</v>
      </c>
      <c r="C1311" s="4" t="str">
        <f>IFERROR(__xludf.DUMMYFUNCTION("GOOGLETRANSLATE(B1311,""id"",""en"")"),"['login']")</f>
        <v>['login']</v>
      </c>
      <c r="D1311" s="4">
        <v>1.0</v>
      </c>
    </row>
    <row r="1312" ht="15.75" customHeight="1">
      <c r="A1312" s="1">
        <v>1443.0</v>
      </c>
      <c r="B1312" s="4" t="s">
        <v>1280</v>
      </c>
      <c r="C1312" s="4" t="str">
        <f>IFERROR(__xludf.DUMMYFUNCTION("GOOGLETRANSLATE(B1312,""id"",""en"")"),"['Application', 'Myindiehome', 'Open']")</f>
        <v>['Application', 'Myindiehome', 'Open']</v>
      </c>
      <c r="D1312" s="4">
        <v>1.0</v>
      </c>
    </row>
    <row r="1313" ht="15.75" customHeight="1">
      <c r="A1313" s="1">
        <v>1444.0</v>
      </c>
      <c r="B1313" s="4" t="s">
        <v>1281</v>
      </c>
      <c r="C1313" s="4" t="str">
        <f>IFERROR(__xludf.DUMMYFUNCTION("GOOGLETRANSLATE(B1313,""id"",""en"")"),"['Application', 'Bangke', 'Ngelag', 'Application', 'Plat', 'Red', 'Bad', 'Keep', 'Quality', 'Comfortable', 'Guna', 'Details',' The bill ',' missing ',' intent ',' details', 'pay', 'tags',' thousand ',' details', 'pay', 'name', 'product', 'disabled', 'stop"&amp;"' , 'Subscribe', 'tags', 'thousand', 'tags', '']")</f>
        <v>['Application', 'Bangke', 'Ngelag', 'Application', 'Plat', 'Red', 'Bad', 'Keep', 'Quality', 'Comfortable', 'Guna', 'Details',' The bill ',' missing ',' intent ',' details', 'pay', 'tags',' thousand ',' details', 'pay', 'name', 'product', 'disabled', 'stop' , 'Subscribe', 'tags', 'thousand', 'tags', '']</v>
      </c>
      <c r="D1313" s="4">
        <v>1.0</v>
      </c>
    </row>
    <row r="1314" ht="15.75" customHeight="1">
      <c r="A1314" s="1">
        <v>1445.0</v>
      </c>
      <c r="B1314" s="4" t="s">
        <v>1282</v>
      </c>
      <c r="C1314" s="4" t="str">
        <f>IFERROR(__xludf.DUMMYFUNCTION("GOOGLETRANSLATE(B1314,""id"",""en"")"),"['KOQ', 'GAQ', 'Open', 'APK']")</f>
        <v>['KOQ', 'GAQ', 'Open', 'APK']</v>
      </c>
      <c r="D1314" s="4">
        <v>1.0</v>
      </c>
    </row>
    <row r="1315" ht="15.75" customHeight="1">
      <c r="A1315" s="1">
        <v>1446.0</v>
      </c>
      <c r="B1315" s="4" t="s">
        <v>1283</v>
      </c>
      <c r="C1315" s="4" t="str">
        <f>IFERROR(__xludf.DUMMYFUNCTION("GOOGLETRANSLATE(B1315,""id"",""en"")"),"['Application', 'Error', 'Daritadi', 'Login', 'Write', 'Error', 'Uninstall', 'Install', 'Take', 'Tetep', 'complained', ' direction ',' Twitter ',' then ',' work ',' ngeapain ',' subscribe ',' throw ',' solution ',' salary ',' subscribe ', ""]")</f>
        <v>['Application', 'Error', 'Daritadi', 'Login', 'Write', 'Error', 'Uninstall', 'Install', 'Take', 'Tetep', 'complained', ' direction ',' Twitter ',' then ',' work ',' ngeapain ',' subscribe ',' throw ',' solution ',' salary ',' subscribe ', "]</v>
      </c>
      <c r="D1315" s="4">
        <v>1.0</v>
      </c>
    </row>
    <row r="1316" ht="15.75" customHeight="1">
      <c r="A1316" s="1">
        <v>1447.0</v>
      </c>
      <c r="B1316" s="4" t="s">
        <v>1284</v>
      </c>
      <c r="C1316" s="4" t="str">
        <f>IFERROR(__xludf.DUMMYFUNCTION("GOOGLETRANSLATE(B1316,""id"",""en"")"),"['Severe', 'application', 'Loading', 'Mulu', 'Open', 'Kaga']")</f>
        <v>['Severe', 'application', 'Loading', 'Mulu', 'Open', 'Kaga']</v>
      </c>
      <c r="D1316" s="4">
        <v>1.0</v>
      </c>
    </row>
    <row r="1317" ht="15.75" customHeight="1">
      <c r="A1317" s="1">
        <v>1448.0</v>
      </c>
      <c r="B1317" s="4" t="s">
        <v>1285</v>
      </c>
      <c r="C1317" s="4" t="str">
        <f>IFERROR(__xludf.DUMMYFUNCTION("GOOGLETRANSLATE(B1317,""id"",""en"")"),"['', 'Indihome', 'Disturbs', 'Login']")</f>
        <v>['', 'Indihome', 'Disturbs', 'Login']</v>
      </c>
      <c r="D1317" s="4">
        <v>1.0</v>
      </c>
    </row>
    <row r="1318" ht="15.75" customHeight="1">
      <c r="A1318" s="1">
        <v>1449.0</v>
      </c>
      <c r="B1318" s="4" t="s">
        <v>1286</v>
      </c>
      <c r="C1318" s="4" t="str">
        <f>IFERROR(__xludf.DUMMYFUNCTION("GOOGLETRANSLATE(B1318,""id"",""en"")"),"['service', 'entry', 'wind', 'night', 'dead', 'noon', 'normal', 'tel physical', 'physical', 'broken', 'telephone', 'tehnition', ' Check ',' Ntah ',' kpan ',' check ',' disappointed ']")</f>
        <v>['service', 'entry', 'wind', 'night', 'dead', 'noon', 'normal', 'tel physical', 'physical', 'broken', 'telephone', 'tehnition', ' Check ',' Ntah ',' kpan ',' check ',' disappointed ']</v>
      </c>
      <c r="D1318" s="4">
        <v>1.0</v>
      </c>
    </row>
    <row r="1319" ht="15.75" customHeight="1">
      <c r="A1319" s="1">
        <v>1450.0</v>
      </c>
      <c r="B1319" s="4" t="s">
        <v>1287</v>
      </c>
      <c r="C1319" s="4" t="str">
        <f>IFERROR(__xludf.DUMMYFUNCTION("GOOGLETRANSLATE(B1319,""id"",""en"")"),"['Sell', 'Cloud', 'Application', 'Lot', 'Wonder']")</f>
        <v>['Sell', 'Cloud', 'Application', 'Lot', 'Wonder']</v>
      </c>
      <c r="D1319" s="4">
        <v>3.0</v>
      </c>
    </row>
    <row r="1320" ht="15.75" customHeight="1">
      <c r="A1320" s="1">
        <v>1451.0</v>
      </c>
      <c r="B1320" s="4" t="s">
        <v>1288</v>
      </c>
      <c r="C1320" s="4" t="str">
        <f>IFERROR(__xludf.DUMMYFUNCTION("GOOGLETRANSLATE(B1320,""id"",""en"")"),"['Application', 'Myindihome', 'Login', 'Muter', 'just', 'user', '']")</f>
        <v>['Application', 'Myindihome', 'Login', 'Muter', 'just', 'user', '']</v>
      </c>
      <c r="D1320" s="4">
        <v>1.0</v>
      </c>
    </row>
    <row r="1321" ht="15.75" customHeight="1">
      <c r="A1321" s="1">
        <v>1452.0</v>
      </c>
      <c r="B1321" s="4" t="s">
        <v>1289</v>
      </c>
      <c r="C1321" s="4" t="str">
        <f>IFERROR(__xludf.DUMMYFUNCTION("GOOGLETRANSLATE(B1321,""id"",""en"")"),"['Features', 'Upgrade', 'Speed', 'Error', '']")</f>
        <v>['Features', 'Upgrade', 'Speed', 'Error', '']</v>
      </c>
      <c r="D1321" s="4">
        <v>1.0</v>
      </c>
    </row>
    <row r="1322" ht="15.75" customHeight="1">
      <c r="A1322" s="1">
        <v>1453.0</v>
      </c>
      <c r="B1322" s="4" t="s">
        <v>1290</v>
      </c>
      <c r="C1322" s="4" t="str">
        <f>IFERROR(__xludf.DUMMYFUNCTION("GOOGLETRANSLATE(B1322,""id"",""en"")"),"['application', 'open', 'loading', 'really']")</f>
        <v>['application', 'open', 'loading', 'really']</v>
      </c>
      <c r="D1322" s="4">
        <v>1.0</v>
      </c>
    </row>
    <row r="1323" ht="15.75" customHeight="1">
      <c r="A1323" s="1">
        <v>1454.0</v>
      </c>
      <c r="B1323" s="4" t="s">
        <v>1291</v>
      </c>
      <c r="C1323" s="4" t="str">
        <f>IFERROR(__xludf.DUMMYFUNCTION("GOOGLETRANSLATE(B1323,""id"",""en"")"),"['application', 'Becus',' Load ',' Data ',' really ',' net ',' watch ',' Yutub ',' smooth ',' TPI ',' open ',' application ',' Muter ',' Doang ', ""]")</f>
        <v>['application', 'Becus',' Load ',' Data ',' really ',' net ',' watch ',' Yutub ',' smooth ',' TPI ',' open ',' application ',' Muter ',' Doang ', "]</v>
      </c>
      <c r="D1323" s="4">
        <v>1.0</v>
      </c>
    </row>
    <row r="1324" ht="15.75" customHeight="1">
      <c r="A1324" s="1">
        <v>1455.0</v>
      </c>
      <c r="B1324" s="4" t="s">
        <v>1292</v>
      </c>
      <c r="C1324" s="4" t="str">
        <f>IFERROR(__xludf.DUMMYFUNCTION("GOOGLETRANSLATE(B1324,""id"",""en"")"),"['Application', 'Indihome', 'Tidsk', 'Open']")</f>
        <v>['Application', 'Indihome', 'Tidsk', 'Open']</v>
      </c>
      <c r="D1324" s="4">
        <v>1.0</v>
      </c>
    </row>
    <row r="1325" ht="15.75" customHeight="1">
      <c r="A1325" s="1">
        <v>1456.0</v>
      </c>
      <c r="B1325" s="4" t="s">
        <v>1211</v>
      </c>
      <c r="C1325" s="4" t="str">
        <f>IFERROR(__xludf.DUMMYFUNCTION("GOOGLETRANSLATE(B1325,""id"",""en"")"),"['disabled']")</f>
        <v>['disabled']</v>
      </c>
      <c r="D1325" s="4">
        <v>1.0</v>
      </c>
    </row>
    <row r="1326" ht="15.75" customHeight="1">
      <c r="A1326" s="1">
        <v>1457.0</v>
      </c>
      <c r="B1326" s="4" t="s">
        <v>1165</v>
      </c>
      <c r="C1326" s="4" t="str">
        <f>IFERROR(__xludf.DUMMYFUNCTION("GOOGLETRANSLATE(B1326,""id"",""en"")"),"['Login', '']")</f>
        <v>['Login', '']</v>
      </c>
      <c r="D1326" s="4">
        <v>1.0</v>
      </c>
    </row>
    <row r="1327" ht="15.75" customHeight="1">
      <c r="A1327" s="1">
        <v>1458.0</v>
      </c>
      <c r="B1327" s="4" t="s">
        <v>1293</v>
      </c>
      <c r="C1327" s="4" t="str">
        <f>IFERROR(__xludf.DUMMYFUNCTION("GOOGLETRANSLATE(B1327,""id"",""en"")"),"['Application', 'Indihome', 'Knp', 'I', 'Login', 'FAILUR', 'UDH', 'Login', 'chaotic', 'really']")</f>
        <v>['Application', 'Indihome', 'Knp', 'I', 'Login', 'FAILUR', 'UDH', 'Login', 'chaotic', 'really']</v>
      </c>
      <c r="D1327" s="4">
        <v>1.0</v>
      </c>
    </row>
    <row r="1328" ht="15.75" customHeight="1">
      <c r="A1328" s="1">
        <v>1459.0</v>
      </c>
      <c r="B1328" s="4" t="s">
        <v>1294</v>
      </c>
      <c r="C1328" s="4" t="str">
        <f>IFERROR(__xludf.DUMMYFUNCTION("GOOGLETRANSLATE(B1328,""id"",""en"")"),"['Cost', 'Quality', 'Apping']")</f>
        <v>['Cost', 'Quality', 'Apping']</v>
      </c>
      <c r="D1328" s="4">
        <v>1.0</v>
      </c>
    </row>
    <row r="1329" ht="15.75" customHeight="1">
      <c r="A1329" s="1">
        <v>1460.0</v>
      </c>
      <c r="B1329" s="4" t="s">
        <v>1295</v>
      </c>
      <c r="C1329" s="4" t="str">
        <f>IFERROR(__xludf.DUMMYFUNCTION("GOOGLETRANSLATE(B1329,""id"",""en"")"),"['Price', 'expensive', 'appeal', 'quality']")</f>
        <v>['Price', 'expensive', 'appeal', 'quality']</v>
      </c>
      <c r="D1329" s="4">
        <v>1.0</v>
      </c>
    </row>
    <row r="1330" ht="15.75" customHeight="1">
      <c r="A1330" s="1">
        <v>1461.0</v>
      </c>
      <c r="B1330" s="4" t="s">
        <v>1296</v>
      </c>
      <c r="C1330" s="4" t="str">
        <f>IFERROR(__xludf.DUMMYFUNCTION("GOOGLETRANSLATE(B1330,""id"",""en"")"),"['Mantul', 'Gaes',' complaints', 'Hook', 'Indihome', 'Direct', 'Hand', 'Upgrade', 'Pakek', 'Ribet', 'Thumb', 'Star', ' ']")</f>
        <v>['Mantul', 'Gaes',' complaints', 'Hook', 'Indihome', 'Direct', 'Hand', 'Upgrade', 'Pakek', 'Ribet', 'Thumb', 'Star', ' ']</v>
      </c>
      <c r="D1330" s="4">
        <v>5.0</v>
      </c>
    </row>
    <row r="1331" ht="15.75" customHeight="1">
      <c r="A1331" s="1">
        <v>1462.0</v>
      </c>
      <c r="B1331" s="4" t="s">
        <v>1297</v>
      </c>
      <c r="C1331" s="4" t="str">
        <f>IFERROR(__xludf.DUMMYFUNCTION("GOOGLETRANSLATE(B1331,""id"",""en"")"),"['Lola', 'checked', 'Open', 'Piye', 'Update', 'Change']")</f>
        <v>['Lola', 'checked', 'Open', 'Piye', 'Update', 'Change']</v>
      </c>
      <c r="D1331" s="4">
        <v>1.0</v>
      </c>
    </row>
    <row r="1332" ht="15.75" customHeight="1">
      <c r="A1332" s="1">
        <v>1463.0</v>
      </c>
      <c r="B1332" s="4" t="s">
        <v>1298</v>
      </c>
      <c r="C1332" s="4" t="str">
        <f>IFERROR(__xludf.DUMMYFUNCTION("GOOGLETRANSLATE(B1332,""id"",""en"")"),"['net', 'Lot', 'already', 'that's', 'application', 'clay', 'tagih', 'indihome', '']")</f>
        <v>['net', 'Lot', 'already', 'that's', 'application', 'clay', 'tagih', 'indihome', '']</v>
      </c>
      <c r="D1332" s="4">
        <v>1.0</v>
      </c>
    </row>
    <row r="1333" ht="15.75" customHeight="1">
      <c r="A1333" s="1">
        <v>1464.0</v>
      </c>
      <c r="B1333" s="4" t="s">
        <v>1299</v>
      </c>
      <c r="C1333" s="4" t="str">
        <f>IFERROR(__xludf.DUMMYFUNCTION("GOOGLETRANSLATE(B1333,""id"",""en"")"),"['list', 'application', 'myindihome', 'try', 'times', 'times', 'web', 'please', 'solution', ""]")</f>
        <v>['list', 'application', 'myindihome', 'try', 'times', 'times', 'web', 'please', 'solution', "]</v>
      </c>
      <c r="D1333" s="4">
        <v>1.0</v>
      </c>
    </row>
    <row r="1334" ht="15.75" customHeight="1">
      <c r="A1334" s="1">
        <v>1465.0</v>
      </c>
      <c r="B1334" s="4" t="s">
        <v>1300</v>
      </c>
      <c r="C1334" s="4" t="str">
        <f>IFERROR(__xludf.DUMMYFUNCTION("GOOGLETRANSLATE(B1334,""id"",""en"")"),"['Lot', 'Maen', 'Game', 'Ngelag', 'Player', 'Mobile', 'Legend', 'Complain', 'Severe', 'Abis',' Update ',' Login ',' Indihome ']")</f>
        <v>['Lot', 'Maen', 'Game', 'Ngelag', 'Player', 'Mobile', 'Legend', 'Complain', 'Severe', 'Abis',' Update ',' Login ',' Indihome ']</v>
      </c>
      <c r="D1334" s="4">
        <v>1.0</v>
      </c>
    </row>
    <row r="1335" ht="15.75" customHeight="1">
      <c r="A1335" s="1">
        <v>1466.0</v>
      </c>
      <c r="B1335" s="4" t="s">
        <v>1301</v>
      </c>
      <c r="C1335" s="4" t="str">
        <f>IFERROR(__xludf.DUMMYFUNCTION("GOOGLETRANSLATE(B1335,""id"",""en"")"),"['Login', 'Register', 'Loading', 'Finish', 'Disappointed', 'Please', 'Good', 'Fast']")</f>
        <v>['Login', 'Register', 'Loading', 'Finish', 'Disappointed', 'Please', 'Good', 'Fast']</v>
      </c>
      <c r="D1335" s="4">
        <v>1.0</v>
      </c>
    </row>
    <row r="1336" ht="15.75" customHeight="1">
      <c r="A1336" s="1">
        <v>1467.0</v>
      </c>
      <c r="B1336" s="4" t="s">
        <v>1302</v>
      </c>
      <c r="C1336" s="4" t="str">
        <f>IFERROR(__xludf.DUMMYFUNCTION("GOOGLETRANSLATE(B1336,""id"",""en"")"),"['Application', 'slow', 'response', 'fast', 'disturbing']")</f>
        <v>['Application', 'slow', 'response', 'fast', 'disturbing']</v>
      </c>
      <c r="D1336" s="4">
        <v>2.0</v>
      </c>
    </row>
    <row r="1337" ht="15.75" customHeight="1">
      <c r="A1337" s="1">
        <v>1468.0</v>
      </c>
      <c r="B1337" s="4" t="s">
        <v>1303</v>
      </c>
      <c r="C1337" s="4" t="str">
        <f>IFERROR(__xludf.DUMMYFUNCTION("GOOGLETRANSLATE(B1337,""id"",""en"")"),"['Login', 'account', 'Indihome', 'failed', 'replace']")</f>
        <v>['Login', 'account', 'Indihome', 'failed', 'replace']</v>
      </c>
      <c r="D1337" s="4">
        <v>1.0</v>
      </c>
    </row>
    <row r="1338" ht="15.75" customHeight="1">
      <c r="A1338" s="1">
        <v>1470.0</v>
      </c>
      <c r="B1338" s="4" t="s">
        <v>1304</v>
      </c>
      <c r="C1338" s="4" t="str">
        <f>IFERROR(__xludf.DUMMYFUNCTION("GOOGLETRANSLATE(B1338,""id"",""en"")"),"['application', 'error', 'log', 'check', 'tags',' signal ',' good ',' streaming ',' browsing ',' etc. ',' say ',' told ',' Clear ',' cache ',' Delete ',' Data ',' restart ',' Install ',' reset ',' apk ',' etc. ',' please ',' good ',' application ',' ']")</f>
        <v>['application', 'error', 'log', 'check', 'tags',' signal ',' good ',' streaming ',' browsing ',' etc. ',' say ',' told ',' Clear ',' cache ',' Delete ',' Data ',' restart ',' Install ',' reset ',' apk ',' etc. ',' please ',' good ',' application ',' ']</v>
      </c>
      <c r="D1338" s="4">
        <v>1.0</v>
      </c>
    </row>
    <row r="1339" ht="15.75" customHeight="1">
      <c r="A1339" s="1">
        <v>1471.0</v>
      </c>
      <c r="B1339" s="4" t="s">
        <v>1305</v>
      </c>
      <c r="C1339" s="4" t="str">
        <f>IFERROR(__xludf.DUMMYFUNCTION("GOOGLETRANSLATE(B1339,""id"",""en"")"),"['Indihome', 'service', 'sudden', 'said', 'annoyed', 'subscribe', 'indihome', 'quality', 'signal', 'can', 'really', 'disappointed', ' Please ',' Indihome ',' Tanggulang ',' Thank ',' Love ',' Notes', 'Disappointed', '']")</f>
        <v>['Indihome', 'service', 'sudden', 'said', 'annoyed', 'subscribe', 'indihome', 'quality', 'signal', 'can', 'really', 'disappointed', ' Please ',' Indihome ',' Tanggulang ',' Thank ',' Love ',' Notes', 'Disappointed', '']</v>
      </c>
      <c r="D1339" s="4">
        <v>1.0</v>
      </c>
    </row>
    <row r="1340" ht="15.75" customHeight="1">
      <c r="A1340" s="1">
        <v>1472.0</v>
      </c>
      <c r="B1340" s="4" t="s">
        <v>1306</v>
      </c>
      <c r="C1340" s="4" t="str">
        <f>IFERROR(__xludf.DUMMYFUNCTION("GOOGLETRANSLATE(B1340,""id"",""en"")"),"['check', 'tags']")</f>
        <v>['check', 'tags']</v>
      </c>
      <c r="D1340" s="4">
        <v>3.0</v>
      </c>
    </row>
    <row r="1341" ht="15.75" customHeight="1">
      <c r="A1341" s="1">
        <v>1473.0</v>
      </c>
      <c r="B1341" s="4" t="s">
        <v>1307</v>
      </c>
      <c r="C1341" s="4" t="str">
        <f>IFERROR(__xludf.DUMMYFUNCTION("GOOGLETRANSLATE(B1341,""id"",""en"")"),"['application', 'lot', 'muter', 'mulu', 'complain', 'gabisa', 'gaguna', 'features',' adu ',' service ',' ngekame ',' ngelag ',' Then ',' Dipake ',' Malem ',' lag ',' Mbps', 'Bener', 'WOI']")</f>
        <v>['application', 'lot', 'muter', 'mulu', 'complain', 'gabisa', 'gaguna', 'features',' adu ',' service ',' ngekame ',' ngelag ',' Then ',' Dipake ',' Malem ',' lag ',' Mbps', 'Bener', 'WOI']</v>
      </c>
      <c r="D1341" s="4">
        <v>1.0</v>
      </c>
    </row>
    <row r="1342" ht="15.75" customHeight="1">
      <c r="A1342" s="1">
        <v>1474.0</v>
      </c>
      <c r="B1342" s="4" t="s">
        <v>1308</v>
      </c>
      <c r="C1342" s="4" t="str">
        <f>IFERROR(__xludf.DUMMYFUNCTION("GOOGLETRANSLATE(B1342,""id"",""en"")"),"['chaotic', 'log', 'try', 'times', 'server', 'country', 'antah', '']")</f>
        <v>['chaotic', 'log', 'try', 'times', 'server', 'country', 'antah', '']</v>
      </c>
      <c r="D1342" s="4">
        <v>1.0</v>
      </c>
    </row>
    <row r="1343" ht="15.75" customHeight="1">
      <c r="A1343" s="1">
        <v>1475.0</v>
      </c>
      <c r="B1343" s="4" t="s">
        <v>1309</v>
      </c>
      <c r="C1343" s="4" t="str">
        <f>IFERROR(__xludf.DUMMYFUNCTION("GOOGLETRANSLATE(B1343,""id"",""en"")"),"['Response', 'complain', 'signal', 'lag', 'application']")</f>
        <v>['Response', 'complain', 'signal', 'lag', 'application']</v>
      </c>
      <c r="D1343" s="4">
        <v>1.0</v>
      </c>
    </row>
    <row r="1344" ht="15.75" customHeight="1">
      <c r="A1344" s="1">
        <v>1476.0</v>
      </c>
      <c r="B1344" s="4" t="s">
        <v>1310</v>
      </c>
      <c r="C1344" s="4" t="str">
        <f>IFERROR(__xludf.DUMMYFUNCTION("GOOGLETRANSLATE(B1344,""id"",""en"")"),"['Log', '']")</f>
        <v>['Log', '']</v>
      </c>
      <c r="D1344" s="4">
        <v>1.0</v>
      </c>
    </row>
    <row r="1345" ht="15.75" customHeight="1">
      <c r="A1345" s="1">
        <v>1477.0</v>
      </c>
      <c r="B1345" s="4" t="s">
        <v>1311</v>
      </c>
      <c r="C1345" s="4" t="str">
        <f>IFERROR(__xludf.DUMMYFUNCTION("GOOGLETRANSLATE(B1345,""id"",""en"")"),"['', 'Indihome', 'Severe', 'tags',' lost ',' contract ',' pay ',' tags', 'application', 'Tera', 'Pay', 'SKR', 'Indihome ',' Read ',' Severe ',' Bangetttt ']")</f>
        <v>['', 'Indihome', 'Severe', 'tags',' lost ',' contract ',' pay ',' tags', 'application', 'Tera', 'Pay', 'SKR', 'Indihome ',' Read ',' Severe ',' Bangetttt ']</v>
      </c>
      <c r="D1345" s="4">
        <v>1.0</v>
      </c>
    </row>
    <row r="1346" ht="15.75" customHeight="1">
      <c r="A1346" s="1">
        <v>1478.0</v>
      </c>
      <c r="B1346" s="4" t="s">
        <v>1312</v>
      </c>
      <c r="C1346" s="4" t="str">
        <f>IFERROR(__xludf.DUMMYFUNCTION("GOOGLETRANSLATE(B1346,""id"",""en"")"),"['Please', 'application', 'open', 'appear', 'empty', 'muter', 'loading', 'please', 'good', 'see', 'tags', '']")</f>
        <v>['Please', 'application', 'open', 'appear', 'empty', 'muter', 'loading', 'please', 'good', 'see', 'tags', '']</v>
      </c>
      <c r="D1346" s="4">
        <v>1.0</v>
      </c>
    </row>
    <row r="1347" ht="15.75" customHeight="1">
      <c r="A1347" s="1">
        <v>1479.0</v>
      </c>
      <c r="B1347" s="4" t="s">
        <v>1313</v>
      </c>
      <c r="C1347" s="4" t="str">
        <f>IFERROR(__xludf.DUMMYFUNCTION("GOOGLETRANSLATE(B1347,""id"",""en"")"),"['application', 'ugly', 'meeting', 'business', 'application', 'access', 'tags', 'fast', 'internet']")</f>
        <v>['application', 'ugly', 'meeting', 'business', 'application', 'access', 'tags', 'fast', 'internet']</v>
      </c>
      <c r="D1347" s="4">
        <v>1.0</v>
      </c>
    </row>
    <row r="1348" ht="15.75" customHeight="1">
      <c r="A1348" s="1">
        <v>1480.0</v>
      </c>
      <c r="B1348" s="4" t="s">
        <v>1314</v>
      </c>
      <c r="C1348" s="4" t="str">
        <f>IFERROR(__xludf.DUMMYFUNCTION("GOOGLETRANSLATE(B1348,""id"",""en"")"),"['UDH', 'Pay', 'expensive', 'lag', 'truss',' maen ',' mulu ',' malem ',' tdurnya ',' hours', 'gegara', 'indi', ' Rank ',' trun ']")</f>
        <v>['UDH', 'Pay', 'expensive', 'lag', 'truss',' maen ',' mulu ',' malem ',' tdurnya ',' hours', 'gegara', 'indi', ' Rank ',' trun ']</v>
      </c>
      <c r="D1348" s="4">
        <v>1.0</v>
      </c>
    </row>
    <row r="1349" ht="15.75" customHeight="1">
      <c r="A1349" s="1">
        <v>1482.0</v>
      </c>
      <c r="B1349" s="4" t="s">
        <v>1315</v>
      </c>
      <c r="C1349" s="4" t="str">
        <f>IFERROR(__xludf.DUMMYFUNCTION("GOOGLETRANSLATE(B1349,""id"",""en"")"),"['Application', 'new', 'Aoleng', 'then']")</f>
        <v>['Application', 'new', 'Aoleng', 'then']</v>
      </c>
      <c r="D1349" s="4">
        <v>1.0</v>
      </c>
    </row>
    <row r="1350" ht="15.75" customHeight="1">
      <c r="A1350" s="1">
        <v>1483.0</v>
      </c>
      <c r="B1350" s="4" t="s">
        <v>1316</v>
      </c>
      <c r="C1350" s="4" t="str">
        <f>IFERROR(__xludf.DUMMYFUNCTION("GOOGLETRANSLATE(B1350,""id"",""en"")"),"['no', 'login', 'dikarna', 'ask', 'failed', 'Please', 'reset', 'process',' code ',' mean ','A']")</f>
        <v>['no', 'login', 'dikarna', 'ask', 'failed', 'Please', 'reset', 'process',' code ',' mean ','A']</v>
      </c>
      <c r="D1350" s="4">
        <v>1.0</v>
      </c>
    </row>
    <row r="1351" ht="15.75" customHeight="1">
      <c r="A1351" s="1">
        <v>1484.0</v>
      </c>
      <c r="B1351" s="4" t="s">
        <v>1317</v>
      </c>
      <c r="C1351" s="4" t="str">
        <f>IFERROR(__xludf.DUMMYFUNCTION("GOOGLETRANSLATE(B1351,""id"",""en"")"),"['Ngeteleg', 'See', 'Details']")</f>
        <v>['Ngeteleg', 'See', 'Details']</v>
      </c>
      <c r="D1351" s="4">
        <v>1.0</v>
      </c>
    </row>
    <row r="1352" ht="15.75" customHeight="1">
      <c r="A1352" s="1">
        <v>1485.0</v>
      </c>
      <c r="B1352" s="4" t="s">
        <v>1318</v>
      </c>
      <c r="C1352" s="4" t="str">
        <f>IFERROR(__xludf.DUMMYFUNCTION("GOOGLETRANSLATE(B1352,""id"",""en"")"),"['Lemottt', '']")</f>
        <v>['Lemottt', '']</v>
      </c>
      <c r="D1352" s="4">
        <v>1.0</v>
      </c>
    </row>
    <row r="1353" ht="15.75" customHeight="1">
      <c r="A1353" s="1">
        <v>1486.0</v>
      </c>
      <c r="B1353" s="4" t="s">
        <v>1319</v>
      </c>
      <c r="C1353" s="4" t="str">
        <f>IFERROR(__xludf.DUMMYFUNCTION("GOOGLETRANSLATE(B1353,""id"",""en"")"),"['progress', '']")</f>
        <v>['progress', '']</v>
      </c>
      <c r="D1353" s="4">
        <v>1.0</v>
      </c>
    </row>
    <row r="1354" ht="15.75" customHeight="1">
      <c r="A1354" s="1">
        <v>1487.0</v>
      </c>
      <c r="B1354" s="4" t="s">
        <v>1320</v>
      </c>
      <c r="C1354" s="4" t="str">
        <f>IFERROR(__xludf.DUMMYFUNCTION("GOOGLETRANSLATE(B1354,""id"",""en"")"),"['app', 'open', 'update', 'suggestion', 'good', 'app', 'complete', 'clear', 'disturbing', 'net', 'it was',' heavy ',' Nets', 'clear', '']")</f>
        <v>['app', 'open', 'update', 'suggestion', 'good', 'app', 'complete', 'clear', 'disturbing', 'net', 'it was',' heavy ',' Nets', 'clear', '']</v>
      </c>
      <c r="D1354" s="4">
        <v>2.0</v>
      </c>
    </row>
    <row r="1355" ht="15.75" customHeight="1">
      <c r="A1355" s="1">
        <v>1488.0</v>
      </c>
      <c r="B1355" s="4" t="s">
        <v>1321</v>
      </c>
      <c r="C1355" s="4" t="str">
        <f>IFERROR(__xludf.DUMMYFUNCTION("GOOGLETRANSLATE(B1355,""id"",""en"")"),"['application', 'great', 'really', 'open', 'home', 'muter', 'mulu']")</f>
        <v>['application', 'great', 'really', 'open', 'home', 'muter', 'mulu']</v>
      </c>
      <c r="D1355" s="4">
        <v>1.0</v>
      </c>
    </row>
    <row r="1356" ht="15.75" customHeight="1">
      <c r="A1356" s="1">
        <v>1489.0</v>
      </c>
      <c r="B1356" s="4" t="s">
        <v>1322</v>
      </c>
      <c r="C1356" s="4" t="str">
        <f>IFERROR(__xludf.DUMMYFUNCTION("GOOGLETRANSLATE(B1356,""id"",""en"")"),"['application', 'kampreereeet', 'quality']")</f>
        <v>['application', 'kampreereeet', 'quality']</v>
      </c>
      <c r="D1356" s="4">
        <v>1.0</v>
      </c>
    </row>
    <row r="1357" ht="15.75" customHeight="1">
      <c r="A1357" s="1">
        <v>1490.0</v>
      </c>
      <c r="B1357" s="4" t="s">
        <v>1323</v>
      </c>
      <c r="C1357" s="4" t="str">
        <f>IFERROR(__xludf.DUMMYFUNCTION("GOOGLETRANSLATE(B1357,""id"",""en"")"),"['ugly', 'open']")</f>
        <v>['ugly', 'open']</v>
      </c>
      <c r="D1357" s="4">
        <v>1.0</v>
      </c>
    </row>
    <row r="1358" ht="15.75" customHeight="1">
      <c r="A1358" s="1">
        <v>1491.0</v>
      </c>
      <c r="B1358" s="4" t="s">
        <v>1324</v>
      </c>
      <c r="C1358" s="4" t="str">
        <f>IFERROR(__xludf.DUMMYFUNCTION("GOOGLETRANSLATE(B1358,""id"",""en"")"),"['application', 'like', 'difficult', 'open', 'appears', 'picture', 'difficult', 'check', 'tagih', 'fuf', 'quota']")</f>
        <v>['application', 'like', 'difficult', 'open', 'appears', 'picture', 'difficult', 'check', 'tagih', 'fuf', 'quota']</v>
      </c>
      <c r="D1358" s="4">
        <v>2.0</v>
      </c>
    </row>
    <row r="1359" ht="15.75" customHeight="1">
      <c r="A1359" s="1">
        <v>1492.0</v>
      </c>
      <c r="B1359" s="4" t="s">
        <v>1325</v>
      </c>
      <c r="C1359" s="4" t="str">
        <f>IFERROR(__xludf.DUMMYFUNCTION("GOOGLETRANSLATE(B1359,""id"",""en"")"),"['App', 'work', 'lot', 'really']")</f>
        <v>['App', 'work', 'lot', 'really']</v>
      </c>
      <c r="D1359" s="4">
        <v>1.0</v>
      </c>
    </row>
    <row r="1360" ht="15.75" customHeight="1">
      <c r="A1360" s="1">
        <v>1493.0</v>
      </c>
      <c r="B1360" s="4" t="s">
        <v>1326</v>
      </c>
      <c r="C1360" s="4" t="str">
        <f>IFERROR(__xludf.DUMMYFUNCTION("GOOGLETRANSLATE(B1360,""id"",""en"")"),"['', 'Nggk', 'open', 'right', 'login', 'error', 'please', 'good', 'nggk', 'login', 'error']")</f>
        <v>['', 'Nggk', 'open', 'right', 'login', 'error', 'please', 'good', 'nggk', 'login', 'error']</v>
      </c>
      <c r="D1360" s="4">
        <v>3.0</v>
      </c>
    </row>
    <row r="1361" ht="15.75" customHeight="1">
      <c r="A1361" s="1">
        <v>1495.0</v>
      </c>
      <c r="B1361" s="4" t="s">
        <v>1327</v>
      </c>
      <c r="C1361" s="4" t="str">
        <f>IFERROR(__xludf.DUMMYFUNCTION("GOOGLETRANSLATE(B1361,""id"",""en"")"),"['signal', 'ilang', 'Mulu']")</f>
        <v>['signal', 'ilang', 'Mulu']</v>
      </c>
      <c r="D1361" s="4">
        <v>1.0</v>
      </c>
    </row>
    <row r="1362" ht="15.75" customHeight="1">
      <c r="A1362" s="1">
        <v>1496.0</v>
      </c>
      <c r="B1362" s="4" t="s">
        <v>1328</v>
      </c>
      <c r="C1362" s="4" t="str">
        <f>IFERROR(__xludf.DUMMYFUNCTION("GOOGLETRANSLATE(B1362,""id"",""en"")"),"['Net', 'Good', 'Application', 'Loading', '']")</f>
        <v>['Net', 'Good', 'Application', 'Loading', '']</v>
      </c>
      <c r="D1362" s="4">
        <v>1.0</v>
      </c>
    </row>
    <row r="1363" ht="15.75" customHeight="1">
      <c r="A1363" s="1">
        <v>1497.0</v>
      </c>
      <c r="B1363" s="4" t="s">
        <v>1329</v>
      </c>
      <c r="C1363" s="4" t="str">
        <f>IFERROR(__xludf.DUMMYFUNCTION("GOOGLETRANSLATE(B1363,""id"",""en"")"),"['Applikasih', 'Damaged', 'GMN', 'Lhat', 'BYAR', 'TAGIN', 'SMA', 'BaraApa', 'TAGIN', 'MONTH', '']")</f>
        <v>['Applikasih', 'Damaged', 'GMN', 'Lhat', 'BYAR', 'TAGIN', 'SMA', 'BaraApa', 'TAGIN', 'MONTH', '']</v>
      </c>
      <c r="D1363" s="4">
        <v>1.0</v>
      </c>
    </row>
    <row r="1364" ht="15.75" customHeight="1">
      <c r="A1364" s="1">
        <v>1498.0</v>
      </c>
      <c r="B1364" s="4" t="s">
        <v>1330</v>
      </c>
      <c r="C1364" s="4" t="str">
        <f>IFERROR(__xludf.DUMMYFUNCTION("GOOGLETRANSLATE(B1364,""id"",""en"")"),"['Application', 'Responsive', 'Wait', 'Modem', 'Dead']")</f>
        <v>['Application', 'Responsive', 'Wait', 'Modem', 'Dead']</v>
      </c>
      <c r="D1364" s="4">
        <v>1.0</v>
      </c>
    </row>
    <row r="1365" ht="15.75" customHeight="1">
      <c r="A1365" s="1">
        <v>1499.0</v>
      </c>
      <c r="B1365" s="4" t="s">
        <v>1331</v>
      </c>
      <c r="C1365" s="4" t="str">
        <f>IFERROR(__xludf.DUMMYFUNCTION("GOOGLETRANSLATE(B1365,""id"",""en"")"),"['Login', 'Internet', 'Los', 'Report', 'Application', 'Myindihome']")</f>
        <v>['Login', 'Internet', 'Los', 'Report', 'Application', 'Myindihome']</v>
      </c>
      <c r="D1365" s="4">
        <v>1.0</v>
      </c>
    </row>
    <row r="1366" ht="15.75" customHeight="1">
      <c r="A1366" s="1">
        <v>1500.0</v>
      </c>
      <c r="B1366" s="4" t="s">
        <v>1332</v>
      </c>
      <c r="C1366" s="4" t="str">
        <f>IFERROR(__xludf.DUMMYFUNCTION("GOOGLETRANSLATE(B1366,""id"",""en"")"),"['in', 'Indihome', 'difficult', 'enter', 'please', 'good', 'Yesterday', 'yesterday', 'application', 'already', 'entered', 'entered', ' Failed ',' enter ',' please ',' good ', ""]")</f>
        <v>['in', 'Indihome', 'difficult', 'enter', 'please', 'good', 'Yesterday', 'yesterday', 'application', 'already', 'entered', 'entered', ' Failed ',' enter ',' please ',' good ', "]</v>
      </c>
      <c r="D1366" s="4">
        <v>1.0</v>
      </c>
    </row>
    <row r="1367" ht="15.75" customHeight="1">
      <c r="A1367" s="1">
        <v>1501.0</v>
      </c>
      <c r="B1367" s="4" t="s">
        <v>1333</v>
      </c>
      <c r="C1367" s="4" t="str">
        <f>IFERROR(__xludf.DUMMYFUNCTION("GOOGLETRANSLATE(B1367,""id"",""en"")"),"['Login', 'Application', 'Login', 'Web', 'Sya', 'HRUS', 'Login', 'Where', 'Minnnnn', 'Application', 'Dipake', 'Web', ' Used ']")</f>
        <v>['Login', 'Application', 'Login', 'Web', 'Sya', 'HRUS', 'Login', 'Where', 'Minnnnn', 'Application', 'Dipake', 'Web', ' Used ']</v>
      </c>
      <c r="D1367" s="4">
        <v>1.0</v>
      </c>
    </row>
    <row r="1368" ht="15.75" customHeight="1">
      <c r="A1368" s="1">
        <v>1502.0</v>
      </c>
      <c r="B1368" s="4" t="s">
        <v>1334</v>
      </c>
      <c r="C1368" s="4" t="str">
        <f>IFERROR(__xludf.DUMMYFUNCTION("GOOGLETRANSLATE(B1368,""id"",""en"")"),"['Information', 'appears', 'appears']")</f>
        <v>['Information', 'appears', 'appears']</v>
      </c>
      <c r="D1368" s="4">
        <v>1.0</v>
      </c>
    </row>
    <row r="1369" ht="15.75" customHeight="1">
      <c r="A1369" s="1">
        <v>1503.0</v>
      </c>
      <c r="B1369" s="4" t="s">
        <v>1335</v>
      </c>
      <c r="C1369" s="4" t="str">
        <f>IFERROR(__xludf.DUMMYFUNCTION("GOOGLETRANSLATE(B1369,""id"",""en"")"),"['enter', 'APK', 'Myindihome', 'wifi', 'net', 'okay']")</f>
        <v>['enter', 'APK', 'Myindihome', 'wifi', 'net', 'okay']</v>
      </c>
      <c r="D1369" s="4">
        <v>1.0</v>
      </c>
    </row>
    <row r="1370" ht="15.75" customHeight="1">
      <c r="A1370" s="1">
        <v>1504.0</v>
      </c>
      <c r="B1370" s="4" t="s">
        <v>1336</v>
      </c>
      <c r="C1370" s="4" t="str">
        <f>IFERROR(__xludf.DUMMYFUNCTION("GOOGLETRANSLATE(B1370,""id"",""en"")"),"['application', 'Indihome', 'ugly', 'application', 'difficult', 'open', 'details', 'pay', 'lost', 'honest', 'consumer']")</f>
        <v>['application', 'Indihome', 'ugly', 'application', 'difficult', 'open', 'details', 'pay', 'lost', 'honest', 'consumer']</v>
      </c>
      <c r="D1370" s="4">
        <v>1.0</v>
      </c>
    </row>
    <row r="1371" ht="15.75" customHeight="1">
      <c r="A1371" s="1">
        <v>1505.0</v>
      </c>
      <c r="B1371" s="4" t="s">
        <v>1337</v>
      </c>
      <c r="C1371" s="4" t="str">
        <f>IFERROR(__xludf.DUMMYFUNCTION("GOOGLETRANSLATE(B1371,""id"",""en"")"),"['times',' Adu ',' already ',' Clear ',' call ',' move ',' devices', 'internet', 'available', 'internet', 'activated', 'adu', ' already ',' activated ',' number ',' internet ',' Cape ',' nemuin ',' technician ',' person ',' different ']")</f>
        <v>['times',' Adu ',' already ',' Clear ',' call ',' move ',' devices', 'internet', 'available', 'internet', 'activated', 'adu', ' already ',' activated ',' number ',' internet ',' Cape ',' nemuin ',' technician ',' person ',' different ']</v>
      </c>
      <c r="D1371" s="4">
        <v>1.0</v>
      </c>
    </row>
    <row r="1372" ht="15.75" customHeight="1">
      <c r="A1372" s="1">
        <v>1506.0</v>
      </c>
      <c r="B1372" s="4" t="s">
        <v>1338</v>
      </c>
      <c r="C1372" s="4" t="str">
        <f>IFERROR(__xludf.DUMMYFUNCTION("GOOGLETRANSLATE(B1372,""id"",""en"")"),"['Application', 'Login', 'Account', 'Indihome', 'FAILURE', 'Email', 'Nohp', 'enter', 'difficult', 'Sorry', 'ask', 'fail', ' Please ',' reset ',' process', 'wtf', 'see', 'tags',' difficult ',' ']")</f>
        <v>['Application', 'Login', 'Account', 'Indihome', 'FAILURE', 'Email', 'Nohp', 'enter', 'difficult', 'Sorry', 'ask', 'fail', ' Please ',' reset ',' process', 'wtf', 'see', 'tags',' difficult ',' ']</v>
      </c>
      <c r="D1372" s="4">
        <v>1.0</v>
      </c>
    </row>
    <row r="1373" ht="15.75" customHeight="1">
      <c r="A1373" s="1">
        <v>1507.0</v>
      </c>
      <c r="B1373" s="4" t="s">
        <v>1339</v>
      </c>
      <c r="C1373" s="4" t="str">
        <f>IFERROR(__xludf.DUMMYFUNCTION("GOOGLETRANSLATE(B1373,""id"",""en"")"),"['Indihome', 'trobble', 'kah', 'net', 'wifi', 'stable', 'then', 'see', 'tap', 'please', 'donk', 'solution']")</f>
        <v>['Indihome', 'trobble', 'kah', 'net', 'wifi', 'stable', 'then', 'see', 'tap', 'please', 'donk', 'solution']</v>
      </c>
      <c r="D1373" s="4">
        <v>1.0</v>
      </c>
    </row>
    <row r="1374" ht="15.75" customHeight="1">
      <c r="A1374" s="1">
        <v>1508.0</v>
      </c>
      <c r="B1374" s="4" t="s">
        <v>1340</v>
      </c>
      <c r="C1374" s="4" t="str">
        <f>IFERROR(__xludf.DUMMYFUNCTION("GOOGLETRANSLATE(B1374,""id"",""en"")"),"['Login', 'Application', 'Quality', 'Hope', 'Team', 'Good', 'Consumers', 'Disappointed', '']")</f>
        <v>['Login', 'Application', 'Quality', 'Hope', 'Team', 'Good', 'Consumers', 'Disappointed', '']</v>
      </c>
      <c r="D1374" s="4">
        <v>1.0</v>
      </c>
    </row>
    <row r="1375" ht="15.75" customHeight="1">
      <c r="A1375" s="1">
        <v>1509.0</v>
      </c>
      <c r="B1375" s="4" t="s">
        <v>1341</v>
      </c>
      <c r="C1375" s="4" t="str">
        <f>IFERROR(__xludf.DUMMYFUNCTION("GOOGLETRANSLATE(B1375,""id"",""en"")"),"['application', 'open', 'pkek', 'muter', '']")</f>
        <v>['application', 'open', 'pkek', 'muter', '']</v>
      </c>
      <c r="D1375" s="4">
        <v>1.0</v>
      </c>
    </row>
    <row r="1376" ht="15.75" customHeight="1">
      <c r="A1376" s="1">
        <v>1510.0</v>
      </c>
      <c r="B1376" s="4" t="s">
        <v>1342</v>
      </c>
      <c r="C1376" s="4" t="str">
        <f>IFERROR(__xludf.DUMMYFUNCTION("GOOGLETRANSLATE(B1376,""id"",""en"")"),"['application', 'really', 'error', 'enter', 'difficult', 'loading']")</f>
        <v>['application', 'really', 'error', 'enter', 'difficult', 'loading']</v>
      </c>
      <c r="D1376" s="4">
        <v>1.0</v>
      </c>
    </row>
    <row r="1377" ht="15.75" customHeight="1">
      <c r="A1377" s="1">
        <v>1511.0</v>
      </c>
      <c r="B1377" s="4" t="s">
        <v>334</v>
      </c>
      <c r="C1377" s="4" t="str">
        <f>IFERROR(__xludf.DUMMYFUNCTION("GOOGLETRANSLATE(B1377,""id"",""en"")"),"['good']")</f>
        <v>['good']</v>
      </c>
      <c r="D1377" s="4">
        <v>5.0</v>
      </c>
    </row>
    <row r="1378" ht="15.75" customHeight="1">
      <c r="A1378" s="1">
        <v>1512.0</v>
      </c>
      <c r="B1378" s="4" t="s">
        <v>1343</v>
      </c>
      <c r="C1378" s="4" t="str">
        <f>IFERROR(__xludf.DUMMYFUNCTION("GOOGLETRANSLATE(B1378,""id"",""en"")"),"['ugly', 'features', 'already', 'keliatam', 'check', 'tags', 'use', 'good', 'satisfied', 'subscribe']")</f>
        <v>['ugly', 'features', 'already', 'keliatam', 'check', 'tags', 'use', 'good', 'satisfied', 'subscribe']</v>
      </c>
      <c r="D1378" s="4">
        <v>1.0</v>
      </c>
    </row>
    <row r="1379" ht="15.75" customHeight="1">
      <c r="A1379" s="1">
        <v>1513.0</v>
      </c>
      <c r="B1379" s="4" t="s">
        <v>1344</v>
      </c>
      <c r="C1379" s="4" t="str">
        <f>IFERROR(__xludf.DUMMYFUNCTION("GOOGLETRANSLATE(B1379,""id"",""en"")"),"['Tide', 'number', 'subsidable', 'deposit']")</f>
        <v>['Tide', 'number', 'subsidable', 'deposit']</v>
      </c>
      <c r="D1379" s="4">
        <v>1.0</v>
      </c>
    </row>
    <row r="1380" ht="15.75" customHeight="1">
      <c r="A1380" s="1">
        <v>1514.0</v>
      </c>
      <c r="B1380" s="4" t="s">
        <v>1345</v>
      </c>
      <c r="C1380" s="4" t="str">
        <f>IFERROR(__xludf.DUMMYFUNCTION("GOOGLETRANSLATE(B1380,""id"",""en"")"),"['Error', 'Loading', 'Page']")</f>
        <v>['Error', 'Loading', 'Page']</v>
      </c>
      <c r="D1380" s="4">
        <v>1.0</v>
      </c>
    </row>
    <row r="1381" ht="15.75" customHeight="1">
      <c r="A1381" s="1">
        <v>1515.0</v>
      </c>
      <c r="B1381" s="4" t="s">
        <v>1346</v>
      </c>
      <c r="C1381" s="4" t="str">
        <f>IFERROR(__xludf.DUMMYFUNCTION("GOOGLETRANSLATE(B1381,""id"",""en"")"),"['application', 'enter', '']")</f>
        <v>['application', 'enter', '']</v>
      </c>
      <c r="D1381" s="4">
        <v>2.0</v>
      </c>
    </row>
    <row r="1382" ht="15.75" customHeight="1">
      <c r="A1382" s="1">
        <v>1516.0</v>
      </c>
      <c r="B1382" s="4" t="s">
        <v>1347</v>
      </c>
      <c r="C1382" s="4" t="str">
        <f>IFERROR(__xludf.DUMMYFUNCTION("GOOGLETRANSLATE(B1382,""id"",""en"")"),"['Application', 'gabisa', 'login', 'cave', 'gajelad', 'cave', 'clay', 'tagih', 'woy']")</f>
        <v>['Application', 'gabisa', 'login', 'cave', 'gajelad', 'cave', 'clay', 'tagih', 'woy']</v>
      </c>
      <c r="D1382" s="4">
        <v>1.0</v>
      </c>
    </row>
    <row r="1383" ht="15.75" customHeight="1">
      <c r="A1383" s="1">
        <v>1517.0</v>
      </c>
      <c r="B1383" s="4" t="s">
        <v>1348</v>
      </c>
      <c r="C1383" s="4" t="str">
        <f>IFERROR(__xludf.DUMMYFUNCTION("GOOGLETRANSLATE(B1383,""id"",""en"")"),"['update', 'user', 'login', 'registration', 'loading', 'sangant', 'failed', 'truz', 'poor', 'application', 'fail', '']")</f>
        <v>['update', 'user', 'login', 'registration', 'loading', 'sangant', 'failed', 'truz', 'poor', 'application', 'fail', '']</v>
      </c>
      <c r="D1383" s="4">
        <v>1.0</v>
      </c>
    </row>
    <row r="1384" ht="15.75" customHeight="1">
      <c r="A1384" s="1">
        <v>1518.0</v>
      </c>
      <c r="B1384" s="4" t="s">
        <v>1349</v>
      </c>
      <c r="C1384" s="4" t="str">
        <f>IFERROR(__xludf.DUMMYFUNCTION("GOOGLETRANSLATE(B1384,""id"",""en"")"),"['application', 'bad', 'times', 'times', 'natural', 'bug', 'etc.', 'good']")</f>
        <v>['application', 'bad', 'times', 'times', 'natural', 'bug', 'etc.', 'good']</v>
      </c>
      <c r="D1384" s="4">
        <v>1.0</v>
      </c>
    </row>
    <row r="1385" ht="15.75" customHeight="1">
      <c r="A1385" s="1">
        <v>1519.0</v>
      </c>
      <c r="B1385" s="4" t="s">
        <v>1350</v>
      </c>
      <c r="C1385" s="4" t="str">
        <f>IFERROR(__xludf.DUMMYFUNCTION("GOOGLETRANSLATE(B1385,""id"",""en"")"),"['open', 'account', 'number', 'internet', 'forget', 'what', 'number', 'internet', 'number', 'subscribe', 'doang', 'replace', ' slow ',' difficult ',' break up ']")</f>
        <v>['open', 'account', 'number', 'internet', 'forget', 'what', 'number', 'internet', 'number', 'subscribe', 'doang', 'replace', ' slow ',' difficult ',' break up ']</v>
      </c>
      <c r="D1385" s="4">
        <v>1.0</v>
      </c>
    </row>
    <row r="1386" ht="15.75" customHeight="1">
      <c r="A1386" s="1">
        <v>1520.0</v>
      </c>
      <c r="B1386" s="4" t="s">
        <v>1351</v>
      </c>
      <c r="C1386" s="4" t="str">
        <f>IFERROR(__xludf.DUMMYFUNCTION("GOOGLETRANSLATE(B1386,""id"",""en"")"),"['Application', 'Error', 'GSK', 'Open', 'Image']")</f>
        <v>['Application', 'Error', 'GSK', 'Open', 'Image']</v>
      </c>
      <c r="D1386" s="4">
        <v>1.0</v>
      </c>
    </row>
    <row r="1387" ht="15.75" customHeight="1">
      <c r="A1387" s="1">
        <v>1521.0</v>
      </c>
      <c r="B1387" s="4" t="s">
        <v>1352</v>
      </c>
      <c r="C1387" s="4" t="str">
        <f>IFERROR(__xludf.DUMMYFUNCTION("GOOGLETRANSLATE(B1387,""id"",""en"")"),"['Application', 'MyIndihome', 'Anjuiing', 'Kuontool', 'Bangzaath', 'Taiiqk', 'Update', 'Account', 'Enter', 'Application', 'Uda', 'Engines',' ugly ',' Applikaso ',' Goblook ',' ']")</f>
        <v>['Application', 'MyIndihome', 'Anjuiing', 'Kuontool', 'Bangzaath', 'Taiiqk', 'Update', 'Account', 'Enter', 'Application', 'Uda', 'Engines',' ugly ',' Applikaso ',' Goblook ',' ']</v>
      </c>
      <c r="D1387" s="4">
        <v>1.0</v>
      </c>
    </row>
    <row r="1388" ht="15.75" customHeight="1">
      <c r="A1388" s="1">
        <v>1522.0</v>
      </c>
      <c r="B1388" s="4" t="s">
        <v>1353</v>
      </c>
      <c r="C1388" s="4" t="str">
        <f>IFERROR(__xludf.DUMMYFUNCTION("GOOGLETRANSLATE(B1388,""id"",""en"")"),"['Application', 'Guna', 'Open', 'Current']")</f>
        <v>['Application', 'Guna', 'Open', 'Current']</v>
      </c>
      <c r="D1388" s="4">
        <v>1.0</v>
      </c>
    </row>
    <row r="1389" ht="15.75" customHeight="1">
      <c r="A1389" s="1">
        <v>1523.0</v>
      </c>
      <c r="B1389" s="4" t="s">
        <v>1354</v>
      </c>
      <c r="C1389" s="4" t="str">
        <f>IFERROR(__xludf.DUMMYFUNCTION("GOOGLETRANSLATE(B1389,""id"",""en"")"),"['Application', 'Error', 'kah']")</f>
        <v>['Application', 'Error', 'kah']</v>
      </c>
      <c r="D1389" s="4">
        <v>2.0</v>
      </c>
    </row>
    <row r="1390" ht="15.75" customHeight="1">
      <c r="A1390" s="1">
        <v>1524.0</v>
      </c>
      <c r="B1390" s="4" t="s">
        <v>1355</v>
      </c>
      <c r="C1390" s="4" t="str">
        <f>IFERROR(__xludf.DUMMYFUNCTION("GOOGLETRANSLATE(B1390,""id"",""en"")"),"['ABS', 'Update', 'Login', 'Yowes', 'emang', 'rotten', 'SKR', 'service', ""]")</f>
        <v>['ABS', 'Update', 'Login', 'Yowes', 'emang', 'rotten', 'SKR', 'service', "]</v>
      </c>
      <c r="D1390" s="4">
        <v>1.0</v>
      </c>
    </row>
    <row r="1391" ht="15.75" customHeight="1">
      <c r="A1391" s="1">
        <v>1525.0</v>
      </c>
      <c r="B1391" s="4" t="s">
        <v>1356</v>
      </c>
      <c r="C1391" s="4" t="str">
        <f>IFERROR(__xludf.DUMMYFUNCTION("GOOGLETRANSLATE(B1391,""id"",""en"")"),"['difficult', 'really', 'registration', 'open', '']")</f>
        <v>['difficult', 'really', 'registration', 'open', '']</v>
      </c>
      <c r="D1391" s="4">
        <v>1.0</v>
      </c>
    </row>
    <row r="1392" ht="15.75" customHeight="1">
      <c r="A1392" s="1">
        <v>1526.0</v>
      </c>
      <c r="B1392" s="4" t="s">
        <v>1357</v>
      </c>
      <c r="C1392" s="4" t="str">
        <f>IFERROR(__xludf.DUMMYFUNCTION("GOOGLETRANSLATE(B1392,""id"",""en"")"),"['Kaga', 'enter', 'login', 'knapa', 'yes']")</f>
        <v>['Kaga', 'enter', 'login', 'knapa', 'yes']</v>
      </c>
      <c r="D1392" s="4">
        <v>1.0</v>
      </c>
    </row>
    <row r="1393" ht="15.75" customHeight="1">
      <c r="A1393" s="1">
        <v>1527.0</v>
      </c>
      <c r="B1393" s="4" t="s">
        <v>1358</v>
      </c>
      <c r="C1393" s="4" t="str">
        <f>IFERROR(__xludf.DUMMYFUNCTION("GOOGLETRANSLATE(B1393,""id"",""en"")"),"['Add', 'Features',' Use ',' Day ',' Disturbs', 'Internet', 'Dipake', 'Sample', 'Rangin', 'Day', 'Disturbs',' Total ',' tagih ',' Rang ']")</f>
        <v>['Add', 'Features',' Use ',' Day ',' Disturbs', 'Internet', 'Dipake', 'Sample', 'Rangin', 'Day', 'Disturbs',' Total ',' tagih ',' Rang ']</v>
      </c>
      <c r="D1393" s="4">
        <v>5.0</v>
      </c>
    </row>
    <row r="1394" ht="15.75" customHeight="1">
      <c r="A1394" s="1">
        <v>1528.0</v>
      </c>
      <c r="B1394" s="4" t="s">
        <v>1359</v>
      </c>
      <c r="C1394" s="4" t="str">
        <f>IFERROR(__xludf.DUMMYFUNCTION("GOOGLETRANSLATE(B1394,""id"",""en"")"),"['Application', 'Lot']")</f>
        <v>['Application', 'Lot']</v>
      </c>
      <c r="D1394" s="4">
        <v>1.0</v>
      </c>
    </row>
    <row r="1395" ht="15.75" customHeight="1">
      <c r="A1395" s="1">
        <v>1529.0</v>
      </c>
      <c r="B1395" s="4" t="s">
        <v>1360</v>
      </c>
      <c r="C1395" s="4" t="str">
        <f>IFERROR(__xludf.DUMMYFUNCTION("GOOGLETRANSLATE(B1395,""id"",""en"")"),"['Login', 'version', 'account', 'Login']")</f>
        <v>['Login', 'version', 'account', 'Login']</v>
      </c>
      <c r="D1395" s="4">
        <v>1.0</v>
      </c>
    </row>
    <row r="1396" ht="15.75" customHeight="1">
      <c r="A1396" s="1">
        <v>1530.0</v>
      </c>
      <c r="B1396" s="4" t="s">
        <v>1361</v>
      </c>
      <c r="C1396" s="4" t="str">
        <f>IFERROR(__xludf.DUMMYFUNCTION("GOOGLETRANSLATE(B1396,""id"",""en"")"),"['Application', 'slow', 'according to', 'BUMN']")</f>
        <v>['Application', 'slow', 'according to', 'BUMN']</v>
      </c>
      <c r="D1396" s="4">
        <v>1.0</v>
      </c>
    </row>
    <row r="1397" ht="15.75" customHeight="1">
      <c r="A1397" s="1">
        <v>1531.0</v>
      </c>
      <c r="B1397" s="4" t="s">
        <v>1362</v>
      </c>
      <c r="C1397" s="4" t="str">
        <f>IFERROR(__xludf.DUMMYFUNCTION("GOOGLETRANSLATE(B1397,""id"",""en"")"),"['Please', 'Information', 'Application', 'Myindihome', 'Use', 'Internet', 'Pay', 'Moon', 'Mala', 'Layan', 'ugly', ""]")</f>
        <v>['Please', 'Information', 'Application', 'Myindihome', 'Use', 'Internet', 'Pay', 'Moon', 'Mala', 'Layan', 'ugly', "]</v>
      </c>
      <c r="D1397" s="4">
        <v>1.0</v>
      </c>
    </row>
    <row r="1398" ht="15.75" customHeight="1">
      <c r="A1398" s="1">
        <v>1532.0</v>
      </c>
      <c r="B1398" s="4" t="s">
        <v>1363</v>
      </c>
      <c r="C1398" s="4" t="str">
        <f>IFERROR(__xludf.DUMMYFUNCTION("GOOGLETRANSLATE(B1398,""id"",""en"")"),"['application', 'gajelas',' error ',' information ',' detail ',' fup ',' see ',' really ',' oath ',' laen ',' indihom ',' garbage ',' ']")</f>
        <v>['application', 'gajelas',' error ',' information ',' detail ',' fup ',' see ',' really ',' oath ',' laen ',' indihom ',' garbage ',' ']</v>
      </c>
      <c r="D1398" s="4">
        <v>1.0</v>
      </c>
    </row>
    <row r="1399" ht="15.75" customHeight="1">
      <c r="A1399" s="1">
        <v>1533.0</v>
      </c>
      <c r="B1399" s="4" t="s">
        <v>1364</v>
      </c>
      <c r="C1399" s="4" t="str">
        <f>IFERROR(__xludf.DUMMYFUNCTION("GOOGLETRANSLATE(B1399,""id"",""en"")"),"['Ngilake', 'give', 'signal', 'lag']")</f>
        <v>['Ngilake', 'give', 'signal', 'lag']</v>
      </c>
      <c r="D1399" s="4">
        <v>1.0</v>
      </c>
    </row>
    <row r="1400" ht="15.75" customHeight="1">
      <c r="A1400" s="1">
        <v>1534.0</v>
      </c>
      <c r="B1400" s="4" t="s">
        <v>1365</v>
      </c>
      <c r="C1400" s="4" t="str">
        <f>IFERROR(__xludf.DUMMYFUNCTION("GOOGLETRANSLATE(B1400,""id"",""en"")"),"['Indihome', 'ugly', 'lot', 'system', 'severe', 'late', 'pay', 'little', 'wifi', 'broke', 'udh', 'so', ' hit ',' fine ']")</f>
        <v>['Indihome', 'ugly', 'lot', 'system', 'severe', 'late', 'pay', 'little', 'wifi', 'broke', 'udh', 'so', ' hit ',' fine ']</v>
      </c>
      <c r="D1400" s="4">
        <v>1.0</v>
      </c>
    </row>
    <row r="1401" ht="15.75" customHeight="1">
      <c r="A1401" s="1">
        <v>1535.0</v>
      </c>
      <c r="B1401" s="4" t="s">
        <v>1366</v>
      </c>
      <c r="C1401" s="4" t="str">
        <f>IFERROR(__xludf.DUMMYFUNCTION("GOOGLETRANSLATE(B1401,""id"",""en"")"),"['Mending', 'Apus', 'Application', 'Gunain', 'Open', 'Loading', 'Doang']")</f>
        <v>['Mending', 'Apus', 'Application', 'Gunain', 'Open', 'Loading', 'Doang']</v>
      </c>
      <c r="D1401" s="4">
        <v>1.0</v>
      </c>
    </row>
    <row r="1402" ht="15.75" customHeight="1">
      <c r="A1402" s="1">
        <v>1536.0</v>
      </c>
      <c r="B1402" s="4" t="s">
        <v>1367</v>
      </c>
      <c r="C1402" s="4" t="str">
        <f>IFERROR(__xludf.DUMMYFUNCTION("GOOGLETRANSLATE(B1402,""id"",""en"")"),"['Indihome', 'Open', 'Check', 'Kouta', 'Capital']")</f>
        <v>['Indihome', 'Open', 'Check', 'Kouta', 'Capital']</v>
      </c>
      <c r="D1402" s="4">
        <v>1.0</v>
      </c>
    </row>
    <row r="1403" ht="15.75" customHeight="1">
      <c r="A1403" s="1">
        <v>1537.0</v>
      </c>
      <c r="B1403" s="4" t="s">
        <v>1368</v>
      </c>
      <c r="C1403" s="4" t="str">
        <f>IFERROR(__xludf.DUMMYFUNCTION("GOOGLETRANSLATE(B1403,""id"",""en"")"),"['Severe', 'oath']")</f>
        <v>['Severe', 'oath']</v>
      </c>
      <c r="D1403" s="4">
        <v>1.0</v>
      </c>
    </row>
    <row r="1404" ht="15.75" customHeight="1">
      <c r="A1404" s="1">
        <v>1538.0</v>
      </c>
      <c r="B1404" s="4" t="s">
        <v>1369</v>
      </c>
      <c r="C1404" s="4" t="str">
        <f>IFERROR(__xludf.DUMMYFUNCTION("GOOGLETRANSLATE(B1404,""id"",""en"")"),"['Keep', 'That's', 'Love', 'Enter', 'Order', 'Report', 'Min', ""]")</f>
        <v>['Keep', 'That's', 'Love', 'Enter', 'Order', 'Report', 'Min', "]</v>
      </c>
      <c r="D1404" s="4">
        <v>1.0</v>
      </c>
    </row>
    <row r="1405" ht="15.75" customHeight="1">
      <c r="A1405" s="1">
        <v>1539.0</v>
      </c>
      <c r="B1405" s="4" t="s">
        <v>1370</v>
      </c>
      <c r="C1405" s="4" t="str">
        <f>IFERROR(__xludf.DUMMYFUNCTION("GOOGLETRANSLATE(B1405,""id"",""en"")"),"['check', 'tags', 'Indihome', 'appears', 'muter', 'pay', 'gmna']")</f>
        <v>['check', 'tags', 'Indihome', 'appears', 'muter', 'pay', 'gmna']</v>
      </c>
      <c r="D1405" s="4">
        <v>1.0</v>
      </c>
    </row>
    <row r="1406" ht="15.75" customHeight="1">
      <c r="A1406" s="1">
        <v>1541.0</v>
      </c>
      <c r="B1406" s="4" t="s">
        <v>1371</v>
      </c>
      <c r="C1406" s="4" t="str">
        <f>IFERROR(__xludf.DUMMYFUNCTION("GOOGLETRANSLATE(B1406,""id"",""en"")"),"['Open', 'Apikasi', 'Indihome', 'Difficult', 'Error', 'PDHL', 'date', 'kmnrn', 'check', 'tap', 'byr', 'tags',' msh ',' wifi ',' RMH ',' smooth ',' smooth ',' open ',' apikasi ',' indihome ',' knapa ',' prah ',' apikasi ',' mhon ']")</f>
        <v>['Open', 'Apikasi', 'Indihome', 'Difficult', 'Error', 'PDHL', 'date', 'kmnrn', 'check', 'tap', 'byr', 'tags',' msh ',' wifi ',' RMH ',' smooth ',' smooth ',' open ',' apikasi ',' indihome ',' knapa ',' prah ',' apikasi ',' mhon ']</v>
      </c>
      <c r="D1406" s="4">
        <v>1.0</v>
      </c>
    </row>
    <row r="1407" ht="15.75" customHeight="1">
      <c r="A1407" s="1">
        <v>1542.0</v>
      </c>
      <c r="B1407" s="4" t="s">
        <v>1372</v>
      </c>
      <c r="C1407" s="4" t="str">
        <f>IFERROR(__xludf.DUMMYFUNCTION("GOOGLETRANSLATE(B1407,""id"",""en"")"),"['Net', 'Lot', 'Season', 'Provider', 'Change', 'Discard', 'Indihome']")</f>
        <v>['Net', 'Lot', 'Season', 'Provider', 'Change', 'Discard', 'Indihome']</v>
      </c>
      <c r="D1407" s="4">
        <v>1.0</v>
      </c>
    </row>
    <row r="1408" ht="15.75" customHeight="1">
      <c r="A1408" s="1">
        <v>1543.0</v>
      </c>
      <c r="B1408" s="4" t="s">
        <v>1373</v>
      </c>
      <c r="C1408" s="4" t="str">
        <f>IFERROR(__xludf.DUMMYFUNCTION("GOOGLETRANSLATE(B1408,""id"",""en"")"),"['garbage', 'gabisa', 'open', 'application']")</f>
        <v>['garbage', 'gabisa', 'open', 'application']</v>
      </c>
      <c r="D1408" s="4">
        <v>1.0</v>
      </c>
    </row>
    <row r="1409" ht="15.75" customHeight="1">
      <c r="A1409" s="1">
        <v>1544.0</v>
      </c>
      <c r="B1409" s="4" t="s">
        <v>1374</v>
      </c>
      <c r="C1409" s="4" t="str">
        <f>IFERROR(__xludf.DUMMYFUNCTION("GOOGLETRANSLATE(B1409,""id"",""en"")"),"['difficult', 'enter', 'app', 'difficult', 'really']")</f>
        <v>['difficult', 'enter', 'app', 'difficult', 'really']</v>
      </c>
      <c r="D1409" s="4">
        <v>1.0</v>
      </c>
    </row>
    <row r="1410" ht="15.75" customHeight="1">
      <c r="A1410" s="1">
        <v>1546.0</v>
      </c>
      <c r="B1410" s="4" t="s">
        <v>1375</v>
      </c>
      <c r="C1410" s="4" t="str">
        <f>IFERROR(__xludf.DUMMYFUNCTION("GOOGLETRANSLATE(B1410,""id"",""en"")"),"['Indihime', 'dzolim', 'customer', 'internetcmati', 'rua', 'already', 'call', 'times', 'times', 'dasane', 'provider', 'dzolim']")</f>
        <v>['Indihime', 'dzolim', 'customer', 'internetcmati', 'rua', 'already', 'call', 'times', 'times', 'dasane', 'provider', 'dzolim']</v>
      </c>
      <c r="D1410" s="4">
        <v>1.0</v>
      </c>
    </row>
    <row r="1411" ht="15.75" customHeight="1">
      <c r="A1411" s="1">
        <v>1547.0</v>
      </c>
      <c r="B1411" s="4" t="s">
        <v>1376</v>
      </c>
      <c r="C1411" s="4" t="str">
        <f>IFERROR(__xludf.DUMMYFUNCTION("GOOGLETRANSLATE(B1411,""id"",""en"")"),"['strange', 'list', 'how', 'report', 'please', 'Murah', 'donk', 'application']")</f>
        <v>['strange', 'list', 'how', 'report', 'please', 'Murah', 'donk', 'application']</v>
      </c>
      <c r="D1411" s="4">
        <v>1.0</v>
      </c>
    </row>
    <row r="1412" ht="15.75" customHeight="1">
      <c r="A1412" s="1">
        <v>1548.0</v>
      </c>
      <c r="B1412" s="4" t="s">
        <v>1377</v>
      </c>
      <c r="C1412" s="4" t="str">
        <f>IFERROR(__xludf.DUMMYFUNCTION("GOOGLETRANSLATE(B1412,""id"",""en"")"),"['Open', 'Application', 'Muter', 'Login']")</f>
        <v>['Open', 'Application', 'Muter', 'Login']</v>
      </c>
      <c r="D1412" s="4">
        <v>1.0</v>
      </c>
    </row>
    <row r="1413" ht="15.75" customHeight="1">
      <c r="A1413" s="1">
        <v>1549.0</v>
      </c>
      <c r="B1413" s="4" t="s">
        <v>1378</v>
      </c>
      <c r="C1413" s="4" t="str">
        <f>IFERROR(__xludf.DUMMYFUNCTION("GOOGLETRANSLATE(B1413,""id"",""en"")"),"['Quality', 'bad', 'net', 'place', 'smooth', 'login', 'good', 'net', ""]")</f>
        <v>['Quality', 'bad', 'net', 'place', 'smooth', 'login', 'good', 'net', "]</v>
      </c>
      <c r="D1413" s="4">
        <v>1.0</v>
      </c>
    </row>
    <row r="1414" ht="15.75" customHeight="1">
      <c r="A1414" s="1">
        <v>1550.0</v>
      </c>
      <c r="B1414" s="4" t="s">
        <v>1379</v>
      </c>
      <c r="C1414" s="4" t="str">
        <f>IFERROR(__xludf.DUMMYFUNCTION("GOOGLETRANSLATE(B1414,""id"",""en"")"),"['', 'open', 'lot', 'contents', 'no', 'appear', 'open', 'application', 'use', 'internet', 'indihome']")</f>
        <v>['', 'open', 'lot', 'contents', 'no', 'appear', 'open', 'application', 'use', 'internet', 'indihome']</v>
      </c>
      <c r="D1414" s="4">
        <v>1.0</v>
      </c>
    </row>
    <row r="1415" ht="15.75" customHeight="1">
      <c r="A1415" s="1">
        <v>1551.0</v>
      </c>
      <c r="B1415" s="4" t="s">
        <v>1380</v>
      </c>
      <c r="C1415" s="4" t="str">
        <f>IFERROR(__xludf.DUMMYFUNCTION("GOOGLETRANSLATE(B1415,""id"",""en"")"),"['Disappointed', 'TLP', 'Difficult', 'Connect', 'Enter', 'App', 'Stak', 'Please', 'Tggu']")</f>
        <v>['Disappointed', 'TLP', 'Difficult', 'Connect', 'Enter', 'App', 'Stak', 'Please', 'Tggu']</v>
      </c>
      <c r="D1415" s="4">
        <v>1.0</v>
      </c>
    </row>
    <row r="1416" ht="15.75" customHeight="1">
      <c r="A1416" s="1">
        <v>1552.0</v>
      </c>
      <c r="B1416" s="4" t="s">
        <v>1381</v>
      </c>
      <c r="C1416" s="4" t="str">
        <f>IFERROR(__xludf.DUMMYFUNCTION("GOOGLETRANSLATE(B1416,""id"",""en"")"),"['apk', 'heavy', 'failed', 'loading', 'net', 'smooth', 'normal', 'please', 'good', 'bug', 'what', 'addon', ' renew ',' package ']")</f>
        <v>['apk', 'heavy', 'failed', 'loading', 'net', 'smooth', 'normal', 'please', 'good', 'bug', 'what', 'addon', ' renew ',' package ']</v>
      </c>
      <c r="D1416" s="4">
        <v>1.0</v>
      </c>
    </row>
    <row r="1417" ht="15.75" customHeight="1">
      <c r="A1417" s="1">
        <v>1553.0</v>
      </c>
      <c r="B1417" s="4" t="s">
        <v>1382</v>
      </c>
      <c r="C1417" s="4" t="str">
        <f>IFERROR(__xludf.DUMMYFUNCTION("GOOGLETRANSLATE(B1417,""id"",""en"")"),"['Error', 'Muluuuuu', 'application', '']")</f>
        <v>['Error', 'Muluuuuu', 'application', '']</v>
      </c>
      <c r="D1417" s="4">
        <v>1.0</v>
      </c>
    </row>
    <row r="1418" ht="15.75" customHeight="1">
      <c r="A1418" s="1">
        <v>1554.0</v>
      </c>
      <c r="B1418" s="4" t="s">
        <v>1383</v>
      </c>
      <c r="C1418" s="4" t="str">
        <f>IFERROR(__xludf.DUMMYFUNCTION("GOOGLETRANSLATE(B1418,""id"",""en"")"),"['register']")</f>
        <v>['register']</v>
      </c>
      <c r="D1418" s="4">
        <v>1.0</v>
      </c>
    </row>
    <row r="1419" ht="15.75" customHeight="1">
      <c r="A1419" s="1">
        <v>1555.0</v>
      </c>
      <c r="B1419" s="4" t="s">
        <v>1384</v>
      </c>
      <c r="C1419" s="4" t="str">
        <f>IFERROR(__xludf.DUMMYFUNCTION("GOOGLETRANSLATE(B1419,""id"",""en"")"),"['Bantam', 'help']")</f>
        <v>['Bantam', 'help']</v>
      </c>
      <c r="D1419" s="4">
        <v>5.0</v>
      </c>
    </row>
    <row r="1420" ht="15.75" customHeight="1">
      <c r="A1420" s="1">
        <v>1556.0</v>
      </c>
      <c r="B1420" s="4" t="s">
        <v>1385</v>
      </c>
      <c r="C1420" s="4" t="str">
        <f>IFERROR(__xludf.DUMMYFUNCTION("GOOGLETRANSLATE(B1420,""id"",""en"")"),"['Honest', 'disappointed', 'really', 'Indihome', 'two', 'wifi', 'lag', 'forgiveness',' setting ',' max ',' person ',' trhiks', ' already ',' reset ',' fup ',' msh ',' lag ',' bizznet ',' smpai ',' location ',' replace ',' bizznet ',' fup ',' reset ',' hny"&amp;"a ' , 'sense', 'reasoned', 'reset', 'may', 'lag', 'lure', 'fup', 'reset', 'sprti', 'rangin', 'speed', 'invite' Upgrade ',' Mbps', 'HHH']")</f>
        <v>['Honest', 'disappointed', 'really', 'Indihome', 'two', 'wifi', 'lag', 'forgiveness',' setting ',' max ',' person ',' trhiks', ' already ',' reset ',' fup ',' msh ',' lag ',' bizznet ',' smpai ',' location ',' replace ',' bizznet ',' fup ',' reset ',' hnya ' , 'sense', 'reasoned', 'reset', 'may', 'lag', 'lure', 'fup', 'reset', 'sprti', 'rangin', 'speed', 'invite' Upgrade ',' Mbps', 'HHH']</v>
      </c>
      <c r="D1420" s="4">
        <v>2.0</v>
      </c>
    </row>
    <row r="1421" ht="15.75" customHeight="1">
      <c r="A1421" s="1">
        <v>1557.0</v>
      </c>
      <c r="B1421" s="4" t="s">
        <v>1386</v>
      </c>
      <c r="C1421" s="4" t="str">
        <f>IFERROR(__xludf.DUMMYFUNCTION("GOOGLETRANSLATE(B1421,""id"",""en"")"),"['Please', 'Application', 'Login', 'Please', 'Action', 'Continue']")</f>
        <v>['Please', 'Application', 'Login', 'Please', 'Action', 'Continue']</v>
      </c>
      <c r="D1421" s="4">
        <v>1.0</v>
      </c>
    </row>
    <row r="1422" ht="15.75" customHeight="1">
      <c r="A1422" s="1">
        <v>1558.0</v>
      </c>
      <c r="B1422" s="4" t="s">
        <v>1387</v>
      </c>
      <c r="C1422" s="4" t="str">
        <f>IFERROR(__xludf.DUMMYFUNCTION("GOOGLETRANSLATE(B1422,""id"",""en"")"),"['response', 'technicians',' fast ',' clear ',' application ',' fyi ',' pairs', 'area', 'jatiwaringin', 'huts',' big ',' used ',' Yudi ',' technicians', 'abal', 'abal', 'already', 'broken', 'cable', 'cable', 'optical', 'love', 'expiration', 'dance', 'orig"&amp;"in' , 'Please', 'Action', 'continue', 'intention', 'gausah', 'help', 'pairs']")</f>
        <v>['response', 'technicians',' fast ',' clear ',' application ',' fyi ',' pairs', 'area', 'jatiwaringin', 'huts',' big ',' used ',' Yudi ',' technicians', 'abal', 'abal', 'already', 'broken', 'cable', 'cable', 'optical', 'love', 'expiration', 'dance', 'origin' , 'Please', 'Action', 'continue', 'intention', 'gausah', 'help', 'pairs']</v>
      </c>
      <c r="D1422" s="4">
        <v>3.0</v>
      </c>
    </row>
    <row r="1423" ht="15.75" customHeight="1">
      <c r="A1423" s="1">
        <v>1559.0</v>
      </c>
      <c r="B1423" s="4" t="s">
        <v>1388</v>
      </c>
      <c r="C1423" s="4" t="str">
        <f>IFERROR(__xludf.DUMMYFUNCTION("GOOGLETRANSLATE(B1423,""id"",""en"")"),"['application', 'bad', 'Indonesia', 'login', 'difficult', 'code', 'otp', 'entry', 'code', 'otp', 'wrong', 'week', ' Macan ',' destroyed ',' ']")</f>
        <v>['application', 'bad', 'Indonesia', 'login', 'difficult', 'code', 'otp', 'entry', 'code', 'otp', 'wrong', 'week', ' Macan ',' destroyed ',' ']</v>
      </c>
      <c r="D1423" s="4">
        <v>1.0</v>
      </c>
    </row>
    <row r="1424" ht="15.75" customHeight="1">
      <c r="A1424" s="1">
        <v>1560.0</v>
      </c>
      <c r="B1424" s="4" t="s">
        <v>1389</v>
      </c>
      <c r="C1424" s="4" t="str">
        <f>IFERROR(__xludf.DUMMYFUNCTION("GOOGLETRANSLATE(B1424,""id"",""en"")"),"['Login', 'Difficult', 'Severe', 'Solution', 'Donk', ""]")</f>
        <v>['Login', 'Difficult', 'Severe', 'Solution', 'Donk', "]</v>
      </c>
      <c r="D1424" s="4">
        <v>1.0</v>
      </c>
    </row>
    <row r="1425" ht="15.75" customHeight="1">
      <c r="A1425" s="1">
        <v>1561.0</v>
      </c>
      <c r="B1425" s="4" t="s">
        <v>1390</v>
      </c>
      <c r="C1425" s="4" t="str">
        <f>IFERROR(__xludf.DUMMYFUNCTION("GOOGLETRANSLATE(B1425,""id"",""en"")"),"['Application', 'error']")</f>
        <v>['Application', 'error']</v>
      </c>
      <c r="D1425" s="4">
        <v>1.0</v>
      </c>
    </row>
    <row r="1426" ht="15.75" customHeight="1">
      <c r="A1426" s="1">
        <v>1562.0</v>
      </c>
      <c r="B1426" s="4" t="s">
        <v>1391</v>
      </c>
      <c r="C1426" s="4" t="str">
        <f>IFERROR(__xludf.DUMMYFUNCTION("GOOGLETRANSLATE(B1426,""id"",""en"")"),"['Details', 'Ama', 'Details', 'Napa', 'Lost', 'No', 'Liat', 'Tagih', ""]")</f>
        <v>['Details', 'Ama', 'Details', 'Napa', 'Lost', 'No', 'Liat', 'Tagih', "]</v>
      </c>
      <c r="D1426" s="4">
        <v>1.0</v>
      </c>
    </row>
    <row r="1427" ht="15.75" customHeight="1">
      <c r="A1427" s="1">
        <v>1563.0</v>
      </c>
      <c r="B1427" s="4" t="s">
        <v>1392</v>
      </c>
      <c r="C1427" s="4" t="str">
        <f>IFERROR(__xludf.DUMMYFUNCTION("GOOGLETRANSLATE(B1427,""id"",""en"")"),"['Failed', 'Log', '']")</f>
        <v>['Failed', 'Log', '']</v>
      </c>
      <c r="D1427" s="4">
        <v>2.0</v>
      </c>
    </row>
    <row r="1428" ht="15.75" customHeight="1">
      <c r="A1428" s="1">
        <v>1564.0</v>
      </c>
      <c r="B1428" s="4" t="s">
        <v>1393</v>
      </c>
      <c r="C1428" s="4" t="str">
        <f>IFERROR(__xludf.DUMMYFUNCTION("GOOGLETRANSLATE(B1428,""id"",""en"")"),"['Severe', 'Application', 'Open', 'Indihoma', 'Problems', 'Tlfon', 'Operator']")</f>
        <v>['Severe', 'Application', 'Open', 'Indihoma', 'Problems', 'Tlfon', 'Operator']</v>
      </c>
      <c r="D1428" s="4">
        <v>1.0</v>
      </c>
    </row>
    <row r="1429" ht="15.75" customHeight="1">
      <c r="A1429" s="1">
        <v>1565.0</v>
      </c>
      <c r="B1429" s="4" t="s">
        <v>1394</v>
      </c>
      <c r="C1429" s="4" t="str">
        <f>IFERROR(__xludf.DUMMYFUNCTION("GOOGLETRANSLATE(B1429,""id"",""en"")"),"['Application', 'Registration', 'Signal', 'Sometimes', 'Puts', 'Kec', 'Margasari', 'Kab', 'Tegal']")</f>
        <v>['Application', 'Registration', 'Signal', 'Sometimes', 'Puts', 'Kec', 'Margasari', 'Kab', 'Tegal']</v>
      </c>
      <c r="D1429" s="4">
        <v>1.0</v>
      </c>
    </row>
    <row r="1430" ht="15.75" customHeight="1">
      <c r="A1430" s="1">
        <v>1566.0</v>
      </c>
      <c r="B1430" s="4" t="s">
        <v>1395</v>
      </c>
      <c r="C1430" s="4" t="str">
        <f>IFERROR(__xludf.DUMMYFUNCTION("GOOGLETRANSLATE(B1430,""id"",""en"")"),"['Tlong', 'new', 'donk', 'mlihat', 'tags',' bsa ',' screen ',' white ',' muter ',' pdhal ',' application ',' indihome ',' Sudh ',' Prbaguhi ',' Open ',' ']")</f>
        <v>['Tlong', 'new', 'donk', 'mlihat', 'tags',' bsa ',' screen ',' white ',' muter ',' pdhal ',' application ',' indihome ',' Sudh ',' Prbaguhi ',' Open ',' ']</v>
      </c>
      <c r="D1430" s="4">
        <v>1.0</v>
      </c>
    </row>
    <row r="1431" ht="15.75" customHeight="1">
      <c r="A1431" s="1">
        <v>1567.0</v>
      </c>
      <c r="B1431" s="4" t="s">
        <v>1396</v>
      </c>
      <c r="C1431" s="4" t="str">
        <f>IFERROR(__xludf.DUMMYFUNCTION("GOOGLETRANSLATE(B1431,""id"",""en"")"),"['Application', 'check', 'tags', 'no', 'strange']")</f>
        <v>['Application', 'check', 'tags', 'no', 'strange']</v>
      </c>
      <c r="D1431" s="4">
        <v>3.0</v>
      </c>
    </row>
    <row r="1432" ht="15.75" customHeight="1">
      <c r="A1432" s="1">
        <v>1568.0</v>
      </c>
      <c r="B1432" s="4" t="s">
        <v>1397</v>
      </c>
      <c r="C1432" s="4" t="str">
        <f>IFERROR(__xludf.DUMMYFUNCTION("GOOGLETRANSLATE(B1432,""id"",""en"")"),"['love', 'star', 'go to', 'application', '']")</f>
        <v>['love', 'star', 'go to', 'application', '']</v>
      </c>
      <c r="D1432" s="4">
        <v>1.0</v>
      </c>
    </row>
    <row r="1433" ht="15.75" customHeight="1">
      <c r="A1433" s="1">
        <v>1569.0</v>
      </c>
      <c r="B1433" s="4" t="s">
        <v>1398</v>
      </c>
      <c r="C1433" s="4" t="str">
        <f>IFERROR(__xludf.DUMMYFUNCTION("GOOGLETRANSLATE(B1433,""id"",""en"")"),"['Lebarin', 'wifi', 'lemod', 'poll']")</f>
        <v>['Lebarin', 'wifi', 'lemod', 'poll']</v>
      </c>
      <c r="D1433" s="4">
        <v>1.0</v>
      </c>
    </row>
    <row r="1434" ht="15.75" customHeight="1">
      <c r="A1434" s="1">
        <v>1570.0</v>
      </c>
      <c r="B1434" s="4" t="s">
        <v>1399</v>
      </c>
      <c r="C1434" s="4" t="str">
        <f>IFERROR(__xludf.DUMMYFUNCTION("GOOGLETRANSLATE(B1434,""id"",""en"")"),"['price', 'new', 'new', 'Different', 'notification', 'close', 'tags',' internet ',' lot ',' broken ',' prepay ',' service ',' Move ',' Indihome ',' ']")</f>
        <v>['price', 'new', 'new', 'Different', 'notification', 'close', 'tags',' internet ',' lot ',' broken ',' prepay ',' service ',' Move ',' Indihome ',' ']</v>
      </c>
      <c r="D1434" s="4">
        <v>1.0</v>
      </c>
    </row>
    <row r="1435" ht="15.75" customHeight="1">
      <c r="A1435" s="1">
        <v>1571.0</v>
      </c>
      <c r="B1435" s="4" t="s">
        <v>1400</v>
      </c>
      <c r="C1435" s="4" t="str">
        <f>IFERROR(__xludf.DUMMYFUNCTION("GOOGLETRANSLATE(B1435,""id"",""en"")"),"['net', 'stable', 'like', 'reconecting', 'mulu', 'stay', 'city', 'net', 'gin', 'gin', 'level', '']")</f>
        <v>['net', 'stable', 'like', 'reconecting', 'mulu', 'stay', 'city', 'net', 'gin', 'gin', 'level', '']</v>
      </c>
      <c r="D1435" s="4">
        <v>1.0</v>
      </c>
    </row>
    <row r="1436" ht="15.75" customHeight="1">
      <c r="A1436" s="1">
        <v>1572.0</v>
      </c>
      <c r="B1436" s="4" t="s">
        <v>1401</v>
      </c>
      <c r="C1436" s="4" t="str">
        <f>IFERROR(__xludf.DUMMYFUNCTION("GOOGLETRANSLATE(B1436,""id"",""en"")"),"['ugly', 'muter', 'then', 'check', 'tap', 'mutera', 'century']")</f>
        <v>['ugly', 'muter', 'then', 'check', 'tap', 'mutera', 'century']</v>
      </c>
      <c r="D1436" s="4">
        <v>1.0</v>
      </c>
    </row>
    <row r="1437" ht="15.75" customHeight="1">
      <c r="A1437" s="1">
        <v>1573.0</v>
      </c>
      <c r="B1437" s="4" t="s">
        <v>1402</v>
      </c>
      <c r="C1437" s="4" t="str">
        <f>IFERROR(__xludf.DUMMYFUNCTION("GOOGLETRANSLATE(B1437,""id"",""en"")"),"['difficult', 'Regis', 'Failed', 'Mulu']")</f>
        <v>['difficult', 'Regis', 'Failed', 'Mulu']</v>
      </c>
      <c r="D1437" s="4">
        <v>1.0</v>
      </c>
    </row>
    <row r="1438" ht="15.75" customHeight="1">
      <c r="A1438" s="1">
        <v>1574.0</v>
      </c>
      <c r="B1438" s="4" t="s">
        <v>1403</v>
      </c>
      <c r="C1438" s="4" t="str">
        <f>IFERROR(__xludf.DUMMYFUNCTION("GOOGLETRANSLATE(B1438,""id"",""en"")"),"['Application', 'Lot', 'ATIIII']")</f>
        <v>['Application', 'Lot', 'ATIIII']</v>
      </c>
      <c r="D1438" s="4">
        <v>1.0</v>
      </c>
    </row>
    <row r="1439" ht="15.75" customHeight="1">
      <c r="A1439" s="1">
        <v>1575.0</v>
      </c>
      <c r="B1439" s="4" t="s">
        <v>1404</v>
      </c>
      <c r="C1439" s="4" t="str">
        <f>IFERROR(__xludf.DUMMYFUNCTION("GOOGLETRANSLATE(B1439,""id"",""en"")"),"['Severe', 'difficult', 'login', 'nets',' like ',' broke ',' semdiri ',' play ',' game ',' online ',' lag ',' severe ',' hours', 'afternoon', 'until', 'clock', 'night']")</f>
        <v>['Severe', 'difficult', 'login', 'nets',' like ',' broke ',' semdiri ',' play ',' game ',' online ',' lag ',' severe ',' hours', 'afternoon', 'until', 'clock', 'night']</v>
      </c>
      <c r="D1439" s="4">
        <v>1.0</v>
      </c>
    </row>
    <row r="1440" ht="15.75" customHeight="1">
      <c r="A1440" s="1">
        <v>1576.0</v>
      </c>
      <c r="B1440" s="4" t="s">
        <v>1405</v>
      </c>
      <c r="C1440" s="4" t="str">
        <f>IFERROR(__xludf.DUMMYFUNCTION("GOOGLETRANSLATE(B1440,""id"",""en"")"),"['application', 'like', 'lot', 'complain', 'process', 'then', 'write', 'Gaada', 'Change']")</f>
        <v>['application', 'like', 'lot', 'complain', 'process', 'then', 'write', 'Gaada', 'Change']</v>
      </c>
      <c r="D1440" s="4">
        <v>1.0</v>
      </c>
    </row>
    <row r="1441" ht="15.75" customHeight="1">
      <c r="A1441" s="1">
        <v>1577.0</v>
      </c>
      <c r="B1441" s="4" t="s">
        <v>1406</v>
      </c>
      <c r="C1441" s="4" t="str">
        <f>IFERROR(__xludf.DUMMYFUNCTION("GOOGLETRANSLATE(B1441,""id"",""en"")"),"['fare', 'Mbps', 'Regular', 'expensive', 'dripada', 'gamer', 'severe']")</f>
        <v>['fare', 'Mbps', 'Regular', 'expensive', 'dripada', 'gamer', 'severe']</v>
      </c>
      <c r="D1441" s="4">
        <v>1.0</v>
      </c>
    </row>
    <row r="1442" ht="15.75" customHeight="1">
      <c r="A1442" s="1">
        <v>1578.0</v>
      </c>
      <c r="B1442" s="4" t="s">
        <v>1407</v>
      </c>
      <c r="C1442" s="4" t="str">
        <f>IFERROR(__xludf.DUMMYFUNCTION("GOOGLETRANSLATE(B1442,""id"",""en"")"),"['LEG', 'Features', 'Details', 'Details', 'ilang', 'Features', 'Layan', 'Difficult', 'Register', 'Layan', 'Application']")</f>
        <v>['LEG', 'Features', 'Details', 'Details', 'ilang', 'Features', 'Layan', 'Difficult', 'Register', 'Layan', 'Application']</v>
      </c>
      <c r="D1442" s="4">
        <v>1.0</v>
      </c>
    </row>
    <row r="1443" ht="15.75" customHeight="1">
      <c r="A1443" s="1">
        <v>1579.0</v>
      </c>
      <c r="B1443" s="4" t="s">
        <v>1408</v>
      </c>
      <c r="C1443" s="4" t="str">
        <f>IFERROR(__xludf.DUMMYFUNCTION("GOOGLETRANSLATE(B1443,""id"",""en"")"),"['Worst', 'ISP', 'Ganguan', '']")</f>
        <v>['Worst', 'ISP', 'Ganguan', '']</v>
      </c>
      <c r="D1443" s="4">
        <v>1.0</v>
      </c>
    </row>
    <row r="1444" ht="15.75" customHeight="1">
      <c r="A1444" s="1">
        <v>1580.0</v>
      </c>
      <c r="B1444" s="4" t="s">
        <v>1409</v>
      </c>
      <c r="C1444" s="4" t="str">
        <f>IFERROR(__xludf.DUMMYFUNCTION("GOOGLETRANSLATE(B1444,""id"",""en"")"),"['Indihome', 'kyk', 'gin', 'contract', 'lucky', 'consumer', 'regret', 'subscribe', 'indihome', 'application']")</f>
        <v>['Indihome', 'kyk', 'gin', 'contract', 'lucky', 'consumer', 'regret', 'subscribe', 'indihome', 'application']</v>
      </c>
      <c r="D1444" s="4">
        <v>1.0</v>
      </c>
    </row>
    <row r="1445" ht="15.75" customHeight="1">
      <c r="A1445" s="1">
        <v>1581.0</v>
      </c>
      <c r="B1445" s="4" t="s">
        <v>1410</v>
      </c>
      <c r="C1445" s="4" t="str">
        <f>IFERROR(__xludf.DUMMYFUNCTION("GOOGLETRANSLATE(B1445,""id"",""en"")"),"['Application', 'Open', 'Kembang']")</f>
        <v>['Application', 'Open', 'Kembang']</v>
      </c>
      <c r="D1445" s="4">
        <v>1.0</v>
      </c>
    </row>
    <row r="1446" ht="15.75" customHeight="1">
      <c r="A1446" s="1">
        <v>1582.0</v>
      </c>
      <c r="B1446" s="4" t="s">
        <v>1411</v>
      </c>
      <c r="C1446" s="4" t="str">
        <f>IFERROR(__xludf.DUMMYFUNCTION("GOOGLETRANSLATE(B1446,""id"",""en"")"),"['destroyed', 'service', 'internet', 'disturbing', 'month', 'report', 'disturbing', 'tensing', 'times',' love ',' private ',' Manage ',' Shame ',' Phei ',' ']")</f>
        <v>['destroyed', 'service', 'internet', 'disturbing', 'month', 'report', 'disturbing', 'tensing', 'times',' love ',' private ',' Manage ',' Shame ',' Phei ',' ']</v>
      </c>
      <c r="D1446" s="4">
        <v>1.0</v>
      </c>
    </row>
    <row r="1447" ht="15.75" customHeight="1">
      <c r="A1447" s="1">
        <v>1583.0</v>
      </c>
      <c r="B1447" s="4" t="s">
        <v>1412</v>
      </c>
      <c r="C1447" s="4" t="str">
        <f>IFERROR(__xludf.DUMMYFUNCTION("GOOGLETRANSLATE(B1447,""id"",""en"")"),"['Woy', 'Jngn', 'Nge', 'lag', 'Napah']")</f>
        <v>['Woy', 'Jngn', 'Nge', 'lag', 'Napah']</v>
      </c>
      <c r="D1447" s="4">
        <v>1.0</v>
      </c>
    </row>
    <row r="1448" ht="15.75" customHeight="1">
      <c r="A1448" s="1">
        <v>1584.0</v>
      </c>
      <c r="B1448" s="4" t="s">
        <v>1413</v>
      </c>
      <c r="C1448" s="4" t="str">
        <f>IFERROR(__xludf.DUMMYFUNCTION("GOOGLETRANSLATE(B1448,""id"",""en"")"),"['numb', 'access', 'lot', 'good', 'telkom']")</f>
        <v>['numb', 'access', 'lot', 'good', 'telkom']</v>
      </c>
      <c r="D1448" s="4">
        <v>1.0</v>
      </c>
    </row>
    <row r="1449" ht="15.75" customHeight="1">
      <c r="A1449" s="1">
        <v>1585.0</v>
      </c>
      <c r="B1449" s="4" t="s">
        <v>1414</v>
      </c>
      <c r="C1449" s="4" t="str">
        <f>IFERROR(__xludf.DUMMYFUNCTION("GOOGLETRANSLATE(B1449,""id"",""en"")"),"['open', 'application', 'lalodnya', 'forgiveness', 'nga', 'upgrade', 'fast', 'eeehhh', '']")</f>
        <v>['open', 'application', 'lalodnya', 'forgiveness', 'nga', 'upgrade', 'fast', 'eeehhh', '']</v>
      </c>
      <c r="D1449" s="4">
        <v>1.0</v>
      </c>
    </row>
    <row r="1450" ht="15.75" customHeight="1">
      <c r="A1450" s="1">
        <v>1586.0</v>
      </c>
      <c r="B1450" s="4" t="s">
        <v>1415</v>
      </c>
      <c r="C1450" s="4" t="str">
        <f>IFERROR(__xludf.DUMMYFUNCTION("GOOGLETRANSLATE(B1450,""id"",""en"")"),"['Login', 'uninstall', 'alternating', 'tetep']")</f>
        <v>['Login', 'uninstall', 'alternating', 'tetep']</v>
      </c>
      <c r="D1450" s="4">
        <v>1.0</v>
      </c>
    </row>
    <row r="1451" ht="15.75" customHeight="1">
      <c r="A1451" s="1">
        <v>1587.0</v>
      </c>
      <c r="B1451" s="4" t="s">
        <v>1416</v>
      </c>
      <c r="C1451" s="4" t="str">
        <f>IFERROR(__xludf.DUMMYFUNCTION("GOOGLETRANSLATE(B1451,""id"",""en"")"),"['Ken', 'Tide', 'Biznet', 'No.', 'FirstMedia', 'Available', 'Indihome', 'Fate', 'Play', 'Signal', 'Jumping', ' Down ',' intention ',' wifi ',' ngelair ',' doang ',' ']")</f>
        <v>['Ken', 'Tide', 'Biznet', 'No.', 'FirstMedia', 'Available', 'Indihome', 'Fate', 'Play', 'Signal', 'Jumping', ' Down ',' intention ',' wifi ',' ngelair ',' doang ',' ']</v>
      </c>
      <c r="D1451" s="4">
        <v>1.0</v>
      </c>
    </row>
    <row r="1452" ht="15.75" customHeight="1">
      <c r="A1452" s="1">
        <v>1588.0</v>
      </c>
      <c r="B1452" s="4" t="s">
        <v>1417</v>
      </c>
      <c r="C1452" s="4" t="str">
        <f>IFERROR(__xludf.DUMMYFUNCTION("GOOGLETRANSLATE(B1452,""id"",""en"")"),"['What', 'UDH', 'Deposit', 'Morning', 'Clock', 'Clock', 'Gin', 'On', 'WiFi', 'Wait', 'Wait', 'Udh', ' deposit ',' bomb ',' active ',' please ',' task ',' school ',' online ',' sister ']")</f>
        <v>['What', 'UDH', 'Deposit', 'Morning', 'Clock', 'Clock', 'Gin', 'On', 'WiFi', 'Wait', 'Wait', 'Udh', ' deposit ',' bomb ',' active ',' please ',' task ',' school ',' online ',' sister ']</v>
      </c>
      <c r="D1452" s="4">
        <v>1.0</v>
      </c>
    </row>
    <row r="1453" ht="15.75" customHeight="1">
      <c r="A1453" s="1">
        <v>1589.0</v>
      </c>
      <c r="B1453" s="4" t="s">
        <v>1418</v>
      </c>
      <c r="C1453" s="4" t="str">
        <f>IFERROR(__xludf.DUMMYFUNCTION("GOOGLETRANSLATE(B1453,""id"",""en"")"),"['Application', 'Lot', 'Disturbs', 'Internet', 'Report', 'Indihome', 'Call', 'Times', 'Phone', 'Response']")</f>
        <v>['Application', 'Lot', 'Disturbs', 'Internet', 'Report', 'Indihome', 'Call', 'Times', 'Phone', 'Response']</v>
      </c>
      <c r="D1453" s="4">
        <v>3.0</v>
      </c>
    </row>
    <row r="1454" ht="15.75" customHeight="1">
      <c r="A1454" s="1">
        <v>1590.0</v>
      </c>
      <c r="B1454" s="4" t="s">
        <v>1419</v>
      </c>
      <c r="C1454" s="4" t="str">
        <f>IFERROR(__xludf.DUMMYFUNCTION("GOOGLETRANSLATE(B1454,""id"",""en"")"),"['application', 'please', 'good']")</f>
        <v>['application', 'please', 'good']</v>
      </c>
      <c r="D1454" s="4">
        <v>1.0</v>
      </c>
    </row>
    <row r="1455" ht="15.75" customHeight="1">
      <c r="A1455" s="1">
        <v>1591.0</v>
      </c>
      <c r="B1455" s="4" t="s">
        <v>1420</v>
      </c>
      <c r="C1455" s="4" t="str">
        <f>IFERROR(__xludf.DUMMYFUNCTION("GOOGLETRANSLATE(B1455,""id"",""en"")"),"['application', 'no', 'login', 'difficult', ""]")</f>
        <v>['application', 'no', 'login', 'difficult', "]</v>
      </c>
      <c r="D1455" s="4">
        <v>1.0</v>
      </c>
    </row>
    <row r="1456" ht="15.75" customHeight="1">
      <c r="A1456" s="1">
        <v>1592.0</v>
      </c>
      <c r="B1456" s="4" t="s">
        <v>1421</v>
      </c>
      <c r="C1456" s="4" t="str">
        <f>IFERROR(__xludf.DUMMYFUNCTION("GOOGLETRANSLATE(B1456,""id"",""en"")"),"['application', 'bad', 'break up', 'heavy', 'cellphone']")</f>
        <v>['application', 'bad', 'break up', 'heavy', 'cellphone']</v>
      </c>
      <c r="D1456" s="4">
        <v>2.0</v>
      </c>
    </row>
    <row r="1457" ht="15.75" customHeight="1">
      <c r="A1457" s="1">
        <v>1593.0</v>
      </c>
      <c r="B1457" s="4" t="s">
        <v>1422</v>
      </c>
      <c r="C1457" s="4" t="str">
        <f>IFERROR(__xludf.DUMMYFUNCTION("GOOGLETRANSLATE(B1457,""id"",""en"")"),"['woi', 'napa', 'lag', 'read', 'muter']")</f>
        <v>['woi', 'napa', 'lag', 'read', 'muter']</v>
      </c>
      <c r="D1457" s="4">
        <v>1.0</v>
      </c>
    </row>
    <row r="1458" ht="15.75" customHeight="1">
      <c r="A1458" s="1">
        <v>1594.0</v>
      </c>
      <c r="B1458" s="4" t="s">
        <v>1423</v>
      </c>
      <c r="C1458" s="4" t="str">
        <f>IFERROR(__xludf.DUMMYFUNCTION("GOOGLETRANSLATE(B1458,""id"",""en"")"),"['Disappointed', 'Enter', 'Keapk', 'complained']")</f>
        <v>['Disappointed', 'Enter', 'Keapk', 'complained']</v>
      </c>
      <c r="D1458" s="4">
        <v>1.0</v>
      </c>
    </row>
    <row r="1459" ht="15.75" customHeight="1">
      <c r="A1459" s="1">
        <v>1595.0</v>
      </c>
      <c r="B1459" s="4" t="s">
        <v>1424</v>
      </c>
      <c r="C1459" s="4" t="str">
        <f>IFERROR(__xludf.DUMMYFUNCTION("GOOGLETRANSLATE(B1459,""id"",""en"")"),"['Pay', 'Application', 'Error']")</f>
        <v>['Pay', 'Application', 'Error']</v>
      </c>
      <c r="D1459" s="4">
        <v>1.0</v>
      </c>
    </row>
    <row r="1460" ht="15.75" customHeight="1">
      <c r="A1460" s="1">
        <v>1596.0</v>
      </c>
      <c r="B1460" s="4" t="s">
        <v>1425</v>
      </c>
      <c r="C1460" s="4" t="str">
        <f>IFERROR(__xludf.DUMMYFUNCTION("GOOGLETRANSLATE(B1460,""id"",""en"")"),"['Hello', 'Kalimantan', 'North', 'Biznet', 'Capital', 'Hope', 'Down', 'Subscribe', 'Fast', 'Indihome', 'so']")</f>
        <v>['Hello', 'Kalimantan', 'North', 'Biznet', 'Capital', 'Hope', 'Down', 'Subscribe', 'Fast', 'Indihome', 'so']</v>
      </c>
      <c r="D1460" s="4">
        <v>1.0</v>
      </c>
    </row>
    <row r="1461" ht="15.75" customHeight="1">
      <c r="A1461" s="1">
        <v>1597.0</v>
      </c>
      <c r="B1461" s="4" t="s">
        <v>1426</v>
      </c>
      <c r="C1461" s="4" t="str">
        <f>IFERROR(__xludf.DUMMYFUNCTION("GOOGLETRANSLATE(B1461,""id"",""en"")"),"['', 'app', 'difficult', 'log']")</f>
        <v>['', 'app', 'difficult', 'log']</v>
      </c>
      <c r="D1461" s="4">
        <v>1.0</v>
      </c>
    </row>
    <row r="1462" ht="15.75" customHeight="1">
      <c r="A1462" s="1">
        <v>1598.0</v>
      </c>
      <c r="B1462" s="4" t="s">
        <v>1427</v>
      </c>
      <c r="C1462" s="4" t="str">
        <f>IFERROR(__xludf.DUMMYFUNCTION("GOOGLETRANSLATE(B1462,""id"",""en"")"),"['', 'how', 'lag', 'lag', 'enter', 'enter']")</f>
        <v>['', 'how', 'lag', 'lag', 'enter', 'enter']</v>
      </c>
      <c r="D1462" s="4">
        <v>1.0</v>
      </c>
    </row>
    <row r="1463" ht="15.75" customHeight="1">
      <c r="A1463" s="1">
        <v>1599.0</v>
      </c>
      <c r="B1463" s="4" t="s">
        <v>1428</v>
      </c>
      <c r="C1463" s="4" t="str">
        <f>IFERROR(__xludf.DUMMYFUNCTION("GOOGLETRANSLATE(B1463,""id"",""en"")"),"['Login', 'Watch', 'YouTube', 'Muter', 'Muter', 'just', 'Pay', 'Tagih', 'Please', 'Good']")</f>
        <v>['Login', 'Watch', 'YouTube', 'Muter', 'Muter', 'just', 'Pay', 'Tagih', 'Please', 'Good']</v>
      </c>
      <c r="D1463" s="4">
        <v>1.0</v>
      </c>
    </row>
    <row r="1464" ht="15.75" customHeight="1">
      <c r="A1464" s="1">
        <v>1600.0</v>
      </c>
      <c r="B1464" s="4" t="s">
        <v>1429</v>
      </c>
      <c r="C1464" s="4" t="str">
        <f>IFERROR(__xludf.DUMMYFUNCTION("GOOGLETRANSLATE(B1464,""id"",""en"")"),"['Details', 'details', 'missing', 'pantesan', 'see', 'dibes', 'different', 'different', 'transparent', 'stamp', 'ugly', ""]")</f>
        <v>['Details', 'details', 'missing', 'pantesan', 'see', 'dibes', 'different', 'different', 'transparent', 'stamp', 'ugly', "]</v>
      </c>
      <c r="D1464" s="4">
        <v>1.0</v>
      </c>
    </row>
    <row r="1465" ht="15.75" customHeight="1">
      <c r="A1465" s="1">
        <v>1601.0</v>
      </c>
      <c r="B1465" s="4" t="s">
        <v>1430</v>
      </c>
      <c r="C1465" s="4" t="str">
        <f>IFERROR(__xludf.DUMMYFUNCTION("GOOGLETRANSLATE(B1465,""id"",""en"")"),"['service', 'bad', 'report', 'internet', 'slow', 'good']")</f>
        <v>['service', 'bad', 'report', 'internet', 'slow', 'good']</v>
      </c>
      <c r="D1465" s="4">
        <v>1.0</v>
      </c>
    </row>
    <row r="1466" ht="15.75" customHeight="1">
      <c r="A1466" s="1">
        <v>1602.0</v>
      </c>
      <c r="B1466" s="4" t="s">
        <v>1431</v>
      </c>
      <c r="C1466" s="4" t="str">
        <f>IFERROR(__xludf.DUMMYFUNCTION("GOOGLETRANSLATE(B1466,""id"",""en"")"),"['', 'Fear', 'update', 'Sorry', 'Good', 'APK', 'complain', 'BLM', 'out', 'update', 'cook', 'lose', 'mobile ',' Banking ',' Bank ']")</f>
        <v>['', 'Fear', 'update', 'Sorry', 'Good', 'APK', 'complain', 'BLM', 'out', 'update', 'cook', 'lose', 'mobile ',' Banking ',' Bank ']</v>
      </c>
      <c r="D1466" s="4">
        <v>1.0</v>
      </c>
    </row>
    <row r="1467" ht="15.75" customHeight="1">
      <c r="A1467" s="1">
        <v>1603.0</v>
      </c>
      <c r="B1467" s="4" t="s">
        <v>1432</v>
      </c>
      <c r="C1467" s="4" t="str">
        <f>IFERROR(__xludf.DUMMYFUNCTION("GOOGLETRANSLATE(B1467,""id"",""en"")"),"['Registration', 'reset', 'indiehome', 'ugly']")</f>
        <v>['Registration', 'reset', 'indiehome', 'ugly']</v>
      </c>
      <c r="D1467" s="4">
        <v>1.0</v>
      </c>
    </row>
    <row r="1468" ht="15.75" customHeight="1">
      <c r="A1468" s="1">
        <v>1604.0</v>
      </c>
      <c r="B1468" s="4" t="s">
        <v>1433</v>
      </c>
      <c r="C1468" s="4" t="str">
        <f>IFERROR(__xludf.DUMMYFUNCTION("GOOGLETRANSLATE(B1468,""id"",""en"")"),"['Application', 'Error', 'Connect', 'Server']")</f>
        <v>['Application', 'Error', 'Connect', 'Server']</v>
      </c>
      <c r="D1468" s="4">
        <v>1.0</v>
      </c>
    </row>
    <row r="1469" ht="15.75" customHeight="1">
      <c r="A1469" s="1">
        <v>1605.0</v>
      </c>
      <c r="B1469" s="4" t="s">
        <v>1434</v>
      </c>
      <c r="C1469" s="4" t="str">
        <f>IFERROR(__xludf.DUMMYFUNCTION("GOOGLETRANSLATE(B1469,""id"",""en"")"),"['LemoOottt', 'Application', 'Hearts',' Open ',' Try ',' Extreme ',' Uninstall ',' Install ',' LemoOottt ',' Season ',' Ask ',' Machine ',' Answer ',' Cape ',' muter ',' muter ',' alternating ']")</f>
        <v>['LemoOottt', 'Application', 'Hearts',' Open ',' Try ',' Extreme ',' Uninstall ',' Install ',' LemoOottt ',' Season ',' Ask ',' Machine ',' Answer ',' Cape ',' muter ',' muter ',' alternating ']</v>
      </c>
      <c r="D1469" s="4">
        <v>2.0</v>
      </c>
    </row>
    <row r="1470" ht="15.75" customHeight="1">
      <c r="A1470" s="1">
        <v>1606.0</v>
      </c>
      <c r="B1470" s="4" t="s">
        <v>1435</v>
      </c>
      <c r="C1470" s="4" t="str">
        <f>IFERROR(__xludf.DUMMYFUNCTION("GOOGLETRANSLATE(B1470,""id"",""en"")"),"['Pay', 'Open', 'Application', 'Details', 'Read']")</f>
        <v>['Pay', 'Open', 'Application', 'Details', 'Read']</v>
      </c>
      <c r="D1470" s="4">
        <v>1.0</v>
      </c>
    </row>
    <row r="1471" ht="15.75" customHeight="1">
      <c r="A1471" s="1">
        <v>1607.0</v>
      </c>
      <c r="B1471" s="4" t="s">
        <v>1436</v>
      </c>
      <c r="C1471" s="4" t="str">
        <f>IFERROR(__xludf.DUMMYFUNCTION("GOOGLETRANSLATE(B1471,""id"",""en"")"),"['Open', 'Application', 'Disturbs', 'Kah', 'Login', 'Disappointed']")</f>
        <v>['Open', 'Application', 'Disturbs', 'Kah', 'Login', 'Disappointed']</v>
      </c>
      <c r="D1471" s="4">
        <v>1.0</v>
      </c>
    </row>
    <row r="1472" ht="15.75" customHeight="1">
      <c r="A1472" s="1">
        <v>1608.0</v>
      </c>
      <c r="B1472" s="4" t="s">
        <v>1437</v>
      </c>
      <c r="C1472" s="4" t="str">
        <f>IFERROR(__xludf.DUMMYFUNCTION("GOOGLETRANSLATE(B1472,""id"",""en"")"),"['open', 'application', 'slow', 'really', 'lazy', 'open', 'check', 'tap', 'doang', 'until', 'wait', ' ']")</f>
        <v>['open', 'application', 'slow', 'really', 'lazy', 'open', 'check', 'tap', 'doang', 'until', 'wait', ' ']</v>
      </c>
      <c r="D1472" s="4">
        <v>1.0</v>
      </c>
    </row>
    <row r="1473" ht="15.75" customHeight="1">
      <c r="A1473" s="1">
        <v>1609.0</v>
      </c>
      <c r="B1473" s="4" t="s">
        <v>1438</v>
      </c>
      <c r="C1473" s="4" t="str">
        <f>IFERROR(__xludf.DUMMYFUNCTION("GOOGLETRANSLATE(B1473,""id"",""en"")"),"['Application', 'Lot', 'Gin', 'Request', 'Time', 'Out', 'Please', 'Good', 'Control', 'Use', 'Internet', ""]")</f>
        <v>['Application', 'Lot', 'Gin', 'Request', 'Time', 'Out', 'Please', 'Good', 'Control', 'Use', 'Internet', "]</v>
      </c>
      <c r="D1473" s="4">
        <v>1.0</v>
      </c>
    </row>
    <row r="1474" ht="15.75" customHeight="1">
      <c r="A1474" s="1">
        <v>1610.0</v>
      </c>
      <c r="B1474" s="4" t="s">
        <v>1439</v>
      </c>
      <c r="C1474" s="4" t="str">
        <f>IFERROR(__xludf.DUMMYFUNCTION("GOOGLETRANSLATE(B1474,""id"",""en"")"),"['enter', 'Loading', 'Muter', '']")</f>
        <v>['enter', 'Loading', 'Muter', '']</v>
      </c>
      <c r="D1474" s="4">
        <v>1.0</v>
      </c>
    </row>
    <row r="1475" ht="15.75" customHeight="1">
      <c r="A1475" s="1">
        <v>1611.0</v>
      </c>
      <c r="B1475" s="4" t="s">
        <v>1440</v>
      </c>
      <c r="C1475" s="4" t="str">
        <f>IFERROR(__xludf.DUMMYFUNCTION("GOOGLETRANSLATE(B1475,""id"",""en"")"),"['Loading', 'BET', 'AJG']")</f>
        <v>['Loading', 'BET', 'AJG']</v>
      </c>
      <c r="D1475" s="4">
        <v>1.0</v>
      </c>
    </row>
    <row r="1476" ht="15.75" customHeight="1">
      <c r="A1476" s="1">
        <v>1612.0</v>
      </c>
      <c r="B1476" s="4" t="s">
        <v>1441</v>
      </c>
      <c r="C1476" s="4" t="str">
        <f>IFERROR(__xludf.DUMMYFUNCTION("GOOGLETRANSLATE(B1476,""id"",""en"")"),"['features', 'loading']")</f>
        <v>['features', 'loading']</v>
      </c>
      <c r="D1476" s="4">
        <v>1.0</v>
      </c>
    </row>
    <row r="1477" ht="15.75" customHeight="1">
      <c r="A1477" s="1">
        <v>1613.0</v>
      </c>
      <c r="B1477" s="4" t="s">
        <v>1442</v>
      </c>
      <c r="C1477" s="4" t="str">
        <f>IFERROR(__xludf.DUMMYFUNCTION("GOOGLETRANSLATE(B1477,""id"",""en"")"),"['Login', 'account', 'Please', 'Good', 'features', 'Please', 'cooperation']")</f>
        <v>['Login', 'account', 'Please', 'Good', 'features', 'Please', 'cooperation']</v>
      </c>
      <c r="D1477" s="4">
        <v>1.0</v>
      </c>
    </row>
    <row r="1478" ht="15.75" customHeight="1">
      <c r="A1478" s="1">
        <v>1614.0</v>
      </c>
      <c r="B1478" s="4" t="s">
        <v>1443</v>
      </c>
      <c r="C1478" s="4" t="str">
        <f>IFERROR(__xludf.DUMMYFUNCTION("GOOGLETRANSLATE(B1478,""id"",""en"")"),"['Open', 'gontain', 'change', 'difficult', 'enter']")</f>
        <v>['Open', 'gontain', 'change', 'difficult', 'enter']</v>
      </c>
      <c r="D1478" s="4">
        <v>1.0</v>
      </c>
    </row>
    <row r="1479" ht="15.75" customHeight="1">
      <c r="A1479" s="1">
        <v>1615.0</v>
      </c>
      <c r="B1479" s="4" t="s">
        <v>1444</v>
      </c>
      <c r="C1479" s="4" t="str">
        <f>IFERROR(__xludf.DUMMYFUNCTION("GOOGLETRANSLATE(B1479,""id"",""en"")"),"['App', 'garbage', 'renew', 'failed', 'try', 'via', 'web', ""]")</f>
        <v>['App', 'garbage', 'renew', 'failed', 'try', 'via', 'web', "]</v>
      </c>
      <c r="D1479" s="4">
        <v>1.0</v>
      </c>
    </row>
    <row r="1480" ht="15.75" customHeight="1">
      <c r="A1480" s="1">
        <v>1616.0</v>
      </c>
      <c r="B1480" s="4" t="s">
        <v>56</v>
      </c>
      <c r="C1480" s="4" t="str">
        <f>IFERROR(__xludf.DUMMYFUNCTION("GOOGLETRANSLATE(B1480,""id"",""en"")"),"['good']")</f>
        <v>['good']</v>
      </c>
      <c r="D1480" s="4">
        <v>1.0</v>
      </c>
    </row>
    <row r="1481" ht="15.75" customHeight="1">
      <c r="A1481" s="1">
        <v>1617.0</v>
      </c>
      <c r="B1481" s="4" t="s">
        <v>1445</v>
      </c>
      <c r="C1481" s="4" t="str">
        <f>IFERROR(__xludf.DUMMYFUNCTION("GOOGLETRANSLATE(B1481,""id"",""en"")"),"['Play', 'ping', 'Ngejump', 'expensive', 'Biznet', 'already', 'moved', '']")</f>
        <v>['Play', 'ping', 'Ngejump', 'expensive', 'Biznet', 'already', 'moved', '']</v>
      </c>
      <c r="D1481" s="4">
        <v>1.0</v>
      </c>
    </row>
    <row r="1482" ht="15.75" customHeight="1">
      <c r="A1482" s="1">
        <v>1618.0</v>
      </c>
      <c r="B1482" s="4" t="s">
        <v>1446</v>
      </c>
      <c r="C1482" s="4" t="str">
        <f>IFERROR(__xludf.DUMMYFUNCTION("GOOGLETRANSLATE(B1482,""id"",""en"")"),"['Report', 'Disturbs',' Difficult ',' Install ',' Unistal ',' Login ',' reset ',' TLP ',' Machine ',' answer ',' error ',' boss', ' bgmna ',' service ',' custumers', 'report', 'SNI', 'cable', 'road', 'hit', 'wind', 'broke', 'danger', 'cable', 'latitude' ,"&amp;" 'Impact', 'Internet', 'Neighbors',' Dead ',' Please ',' Continue ',' Report ',' Hard ',' Gonta ',' Change ',' Director ',' Serve ',' After ',' Sales', 'ugly', ""]")</f>
        <v>['Report', 'Disturbs',' Difficult ',' Install ',' Unistal ',' Login ',' reset ',' TLP ',' Machine ',' answer ',' error ',' boss', ' bgmna ',' service ',' custumers', 'report', 'SNI', 'cable', 'road', 'hit', 'wind', 'broke', 'danger', 'cable', 'latitude' , 'Impact', 'Internet', 'Neighbors',' Dead ',' Please ',' Continue ',' Report ',' Hard ',' Gonta ',' Change ',' Director ',' Serve ',' After ',' Sales', 'ugly', "]</v>
      </c>
      <c r="D1482" s="4">
        <v>1.0</v>
      </c>
    </row>
    <row r="1483" ht="15.75" customHeight="1">
      <c r="A1483" s="1">
        <v>1619.0</v>
      </c>
      <c r="B1483" s="4" t="s">
        <v>1447</v>
      </c>
      <c r="C1483" s="4" t="str">
        <f>IFERROR(__xludf.DUMMYFUNCTION("GOOGLETRANSLATE(B1483,""id"",""en"")"),"['Indihome', 'Medan', 'Performance', 'Down', 'UDH', 'Nets', 'LEG', 'Lights', 'Red', 'PON', 'Application', 'Indhome']")</f>
        <v>['Indihome', 'Medan', 'Performance', 'Down', 'UDH', 'Nets', 'LEG', 'Lights', 'Red', 'PON', 'Application', 'Indhome']</v>
      </c>
      <c r="D1483" s="4">
        <v>1.0</v>
      </c>
    </row>
    <row r="1484" ht="15.75" customHeight="1">
      <c r="A1484" s="1">
        <v>1620.0</v>
      </c>
      <c r="B1484" s="4" t="s">
        <v>1448</v>
      </c>
      <c r="C1484" s="4" t="str">
        <f>IFERROR(__xludf.DUMMYFUNCTION("GOOGLETRANSLATE(B1484,""id"",""en"")"),"['I', 'Report', 'Disturbs', 'Karna', 'Internet', 'Process', '']")</f>
        <v>['I', 'Report', 'Disturbs', 'Karna', 'Internet', 'Process', '']</v>
      </c>
      <c r="D1484" s="4">
        <v>1.0</v>
      </c>
    </row>
    <row r="1485" ht="15.75" customHeight="1">
      <c r="A1485" s="1">
        <v>1621.0</v>
      </c>
      <c r="B1485" s="4" t="s">
        <v>1449</v>
      </c>
      <c r="C1485" s="4" t="str">
        <f>IFERROR(__xludf.DUMMYFUNCTION("GOOGLETRANSLATE(B1485,""id"",""en"")"),"['application', 'Loading', 'complement', 'application', 'loading', 'open', 'open', '']")</f>
        <v>['application', 'Loading', 'complement', 'application', 'loading', 'open', 'open', '']</v>
      </c>
      <c r="D1485" s="4">
        <v>1.0</v>
      </c>
    </row>
    <row r="1486" ht="15.75" customHeight="1">
      <c r="A1486" s="1">
        <v>1622.0</v>
      </c>
      <c r="B1486" s="4" t="s">
        <v>1450</v>
      </c>
      <c r="C1486" s="4" t="str">
        <f>IFERROR(__xludf.DUMMYFUNCTION("GOOGLETRANSLATE(B1486,""id"",""en"")"),"['UDH', 'Update', 'APK', 'Myindihome', 'Nampil', 'Home', 'Main', 'Loading', 'Minutes',' Wait ',' Minutes', 'Nemu', ' Appear ',' Write ',' What ',' Home ',' Loading ',' Screen ',' Adu ',' Disturbs', 'Layan', 'Wonder', 'APK', 'Layan', 'Access' , '']")</f>
        <v>['UDH', 'Update', 'APK', 'Myindihome', 'Nampil', 'Home', 'Main', 'Loading', 'Minutes',' Wait ',' Minutes', 'Nemu', ' Appear ',' Write ',' What ',' Home ',' Loading ',' Screen ',' Adu ',' Disturbs', 'Layan', 'Wonder', 'APK', 'Layan', 'Access' , '']</v>
      </c>
      <c r="D1486" s="4">
        <v>1.0</v>
      </c>
    </row>
    <row r="1487" ht="15.75" customHeight="1">
      <c r="A1487" s="1">
        <v>1623.0</v>
      </c>
      <c r="B1487" s="4" t="s">
        <v>1451</v>
      </c>
      <c r="C1487" s="4" t="str">
        <f>IFERROR(__xludf.DUMMYFUNCTION("GOOGLETRANSLATE(B1487,""id"",""en"")"),"['', 'update', 'enter', 'code', 'OTP', 'Consider', 'Wrong', 'Mulu', ""]")</f>
        <v>['', 'update', 'enter', 'code', 'OTP', 'Consider', 'Wrong', 'Mulu', "]</v>
      </c>
      <c r="D1487" s="4">
        <v>1.0</v>
      </c>
    </row>
    <row r="1488" ht="15.75" customHeight="1">
      <c r="A1488" s="1">
        <v>1624.0</v>
      </c>
      <c r="B1488" s="4" t="s">
        <v>1452</v>
      </c>
      <c r="C1488" s="4" t="str">
        <f>IFERROR(__xludf.DUMMYFUNCTION("GOOGLETRANSLATE(B1488,""id"",""en"")"),"['Haduuhhh', 'Frequently', 'Ngeblank', 'App', 'Stlah', 'Enter', 'Blank', 'Doang', 'Appearing', 'Menu', 'Mao', 'Cast', ' HARD ',' Mao ',' complement ',' service ',' inhibitly ',' Sampe ',' BBR ',' Time ',' Install ',' reset ',' Application ',' TTP ',' Prob"&amp;"lem ' , 'That's like', 'Mulu', 'sorry', 'star', 'good', 'naekin', 'star', 'thank', 'love']")</f>
        <v>['Haduuhhh', 'Frequently', 'Ngeblank', 'App', 'Stlah', 'Enter', 'Blank', 'Doang', 'Appearing', 'Menu', 'Mao', 'Cast', ' HARD ',' Mao ',' complement ',' service ',' inhibitly ',' Sampe ',' BBR ',' Time ',' Install ',' reset ',' Application ',' TTP ',' Problem ' , 'That's like', 'Mulu', 'sorry', 'star', 'good', 'naekin', 'star', 'thank', 'love']</v>
      </c>
      <c r="D1488" s="4">
        <v>1.0</v>
      </c>
    </row>
    <row r="1489" ht="15.75" customHeight="1">
      <c r="A1489" s="1">
        <v>1625.0</v>
      </c>
      <c r="B1489" s="4" t="s">
        <v>1453</v>
      </c>
      <c r="C1489" s="4" t="str">
        <f>IFERROR(__xludf.DUMMYFUNCTION("GOOGLETRANSLATE(B1489,""id"",""en"")"),"['Hard', 'really', 'entered', 'kemrin', 'skrng', 'malh', 'sekli', '']")</f>
        <v>['Hard', 'really', 'entered', 'kemrin', 'skrng', 'malh', 'sekli', '']</v>
      </c>
      <c r="D1489" s="4">
        <v>1.0</v>
      </c>
    </row>
    <row r="1490" ht="15.75" customHeight="1">
      <c r="A1490" s="1">
        <v>1626.0</v>
      </c>
      <c r="B1490" s="4" t="s">
        <v>1454</v>
      </c>
      <c r="C1490" s="4" t="str">
        <f>IFERROR(__xludf.DUMMYFUNCTION("GOOGLETRANSLATE(B1490,""id"",""en"")"),"['Lot', 'naudzubillah']")</f>
        <v>['Lot', 'naudzubillah']</v>
      </c>
      <c r="D1490" s="4">
        <v>1.0</v>
      </c>
    </row>
    <row r="1491" ht="15.75" customHeight="1">
      <c r="A1491" s="1">
        <v>1627.0</v>
      </c>
      <c r="B1491" s="4" t="s">
        <v>1455</v>
      </c>
      <c r="C1491" s="4" t="str">
        <f>IFERROR(__xludf.DUMMYFUNCTION("GOOGLETRANSLATE(B1491,""id"",""en"")"),"['Open', 'application', 'Lot', 'really', 'anjirr']")</f>
        <v>['Open', 'application', 'Lot', 'really', 'anjirr']</v>
      </c>
      <c r="D1491" s="4">
        <v>3.0</v>
      </c>
    </row>
    <row r="1492" ht="15.75" customHeight="1">
      <c r="A1492" s="1">
        <v>1628.0</v>
      </c>
      <c r="B1492" s="4" t="s">
        <v>1456</v>
      </c>
      <c r="C1492" s="4" t="str">
        <f>IFERROR(__xludf.DUMMYFUNCTION("GOOGLETRANSLATE(B1492,""id"",""en"")"),"['Update', 'Application', 'Lemottttt', 'AJU', 'Upgrade', 'Speed', 'Application', 'Sampe', 'Response', 'Please', 'Good', 'Application', ' Good ',' Lot ',' Please ',' Response ',' AJU ',' Upgrade ',' Speed ​​',' Trims']")</f>
        <v>['Update', 'Application', 'Lemottttt', 'AJU', 'Upgrade', 'Speed', 'Application', 'Sampe', 'Response', 'Please', 'Good', 'Application', ' Good ',' Lot ',' Please ',' Response ',' AJU ',' Upgrade ',' Speed ​​',' Trims']</v>
      </c>
      <c r="D1492" s="4">
        <v>1.0</v>
      </c>
    </row>
    <row r="1493" ht="15.75" customHeight="1">
      <c r="A1493" s="1">
        <v>1629.0</v>
      </c>
      <c r="B1493" s="4" t="s">
        <v>1457</v>
      </c>
      <c r="C1493" s="4" t="str">
        <f>IFERROR(__xludf.DUMMYFUNCTION("GOOGLETRANSLATE(B1493,""id"",""en"")"),"['Knp', 'Application', 'Indihome', 'Error', 'Tlong', 'Good', 'Krna', 'Record', 'TAGIN', 'Appear']")</f>
        <v>['Knp', 'Application', 'Indihome', 'Error', 'Tlong', 'Good', 'Krna', 'Record', 'TAGIN', 'Appear']</v>
      </c>
      <c r="D1493" s="4">
        <v>3.0</v>
      </c>
    </row>
    <row r="1494" ht="15.75" customHeight="1">
      <c r="A1494" s="1">
        <v>1630.0</v>
      </c>
      <c r="B1494" s="4" t="s">
        <v>1458</v>
      </c>
      <c r="C1494" s="4" t="str">
        <f>IFERROR(__xludf.DUMMYFUNCTION("GOOGLETRANSLATE(B1494,""id"",""en"")"),"['Lemooot', 'application', 'open', 'net', 'wifi', 'package', 'lot', 'star', 'thank', 'love', 'hopefully', ' Level ',' service ']")</f>
        <v>['Lemooot', 'application', 'open', 'net', 'wifi', 'package', 'lot', 'star', 'thank', 'love', 'hopefully', ' Level ',' service ']</v>
      </c>
      <c r="D1494" s="4">
        <v>1.0</v>
      </c>
    </row>
    <row r="1495" ht="15.75" customHeight="1">
      <c r="A1495" s="1">
        <v>1631.0</v>
      </c>
      <c r="B1495" s="4" t="s">
        <v>1459</v>
      </c>
      <c r="C1495" s="4" t="str">
        <f>IFERROR(__xludf.DUMMYFUNCTION("GOOGLETRANSLATE(B1495,""id"",""en"")"),"['Net', 'Play', 'Mobile', 'Legend', 'lag', 'win', 'comeback', 'Gara', 'signal', 'Mending', 'Indihomo', 'Debarin', ' Pay ',' yes', 'net', 'kek', 'snail', 'slow', 'luck', 'ane', 'move', 'biznet', 'internet', 'good']")</f>
        <v>['Net', 'Play', 'Mobile', 'Legend', 'lag', 'win', 'comeback', 'Gara', 'signal', 'Mending', 'Indihomo', 'Debarin', ' Pay ',' yes', 'net', 'kek', 'snail', 'slow', 'luck', 'ane', 'move', 'biznet', 'internet', 'good']</v>
      </c>
      <c r="D1495" s="4">
        <v>1.0</v>
      </c>
    </row>
    <row r="1496" ht="15.75" customHeight="1">
      <c r="A1496" s="1">
        <v>1632.0</v>
      </c>
      <c r="B1496" s="4" t="s">
        <v>1460</v>
      </c>
      <c r="C1496" s="4" t="str">
        <f>IFERROR(__xludf.DUMMYFUNCTION("GOOGLETRANSLATE(B1496,""id"",""en"")"),"['comment', '']")</f>
        <v>['comment', '']</v>
      </c>
      <c r="D1496" s="4">
        <v>1.0</v>
      </c>
    </row>
    <row r="1497" ht="15.75" customHeight="1">
      <c r="A1497" s="1">
        <v>1633.0</v>
      </c>
      <c r="B1497" s="4" t="s">
        <v>1461</v>
      </c>
      <c r="C1497" s="4" t="str">
        <f>IFERROR(__xludf.DUMMYFUNCTION("GOOGLETRANSLATE(B1497,""id"",""en"")"),"['Severe', 'muter', 'applikasiny', 'useless']")</f>
        <v>['Severe', 'muter', 'applikasiny', 'useless']</v>
      </c>
      <c r="D1497" s="4">
        <v>1.0</v>
      </c>
    </row>
    <row r="1498" ht="15.75" customHeight="1">
      <c r="A1498" s="1">
        <v>1634.0</v>
      </c>
      <c r="B1498" s="4" t="s">
        <v>1462</v>
      </c>
      <c r="C1498" s="4" t="str">
        <f>IFERROR(__xludf.DUMMYFUNCTION("GOOGLETRANSLATE(B1498,""id"",""en"")"),"['tags',' gimmick ',' according to ',' package ',' internet ',' phone ',' move ',' package ',' internet ',' information ',' pay ',' bln ',' "", 'Moon', 'Reach', 'Mending', 'Move', 'Provider', 'Please', 'Indihome', 'Try', 'Disturbs', 'Provider', 'Msuk', 'R"&amp;"egion' , 'Indihome', 'great', 'Tipu', 'Costumer']")</f>
        <v>['tags',' gimmick ',' according to ',' package ',' internet ',' phone ',' move ',' package ',' internet ',' information ',' pay ',' bln ',' ", 'Moon', 'Reach', 'Mending', 'Move', 'Provider', 'Please', 'Indihome', 'Try', 'Disturbs', 'Provider', 'Msuk', 'Region' , 'Indihome', 'great', 'Tipu', 'Costumer']</v>
      </c>
      <c r="D1498" s="4">
        <v>1.0</v>
      </c>
    </row>
    <row r="1499" ht="15.75" customHeight="1">
      <c r="A1499" s="1">
        <v>1635.0</v>
      </c>
      <c r="B1499" s="4" t="s">
        <v>1463</v>
      </c>
      <c r="C1499" s="4" t="str">
        <f>IFERROR(__xludf.DUMMYFUNCTION("GOOGLETRANSLATE(B1499,""id"",""en"")"),"['', 'Clay', 'tagging', 'ugly', 'bnget', '']")</f>
        <v>['', 'Clay', 'tagging', 'ugly', 'bnget', '']</v>
      </c>
      <c r="D1499" s="4">
        <v>1.0</v>
      </c>
    </row>
    <row r="1500" ht="15.75" customHeight="1">
      <c r="A1500" s="1">
        <v>1636.0</v>
      </c>
      <c r="B1500" s="4" t="s">
        <v>1464</v>
      </c>
      <c r="C1500" s="4" t="str">
        <f>IFERROR(__xludf.DUMMYFUNCTION("GOOGLETRANSLATE(B1500,""id"",""en"")"),"['Paya', 'Bat', 'Sring', 'Disturbs', 'plots']")</f>
        <v>['Paya', 'Bat', 'Sring', 'Disturbs', 'plots']</v>
      </c>
      <c r="D1500" s="4">
        <v>1.0</v>
      </c>
    </row>
    <row r="1501" ht="15.75" customHeight="1">
      <c r="A1501" s="1">
        <v>1637.0</v>
      </c>
      <c r="B1501" s="4" t="s">
        <v>1465</v>
      </c>
      <c r="C1501" s="4" t="str">
        <f>IFERROR(__xludf.DUMMYFUNCTION("GOOGLETRANSLATE(B1501,""id"",""en"")"),"['Ngak', 'Registration']")</f>
        <v>['Ngak', 'Registration']</v>
      </c>
      <c r="D1501" s="4">
        <v>3.0</v>
      </c>
    </row>
    <row r="1502" ht="15.75" customHeight="1">
      <c r="A1502" s="1">
        <v>1638.0</v>
      </c>
      <c r="B1502" s="4" t="s">
        <v>1466</v>
      </c>
      <c r="C1502" s="4" t="str">
        <f>IFERROR(__xludf.DUMMYFUNCTION("GOOGLETRANSLATE(B1502,""id"",""en"")"),"['Try', 'registration', 'reset', 'times', 'fail']")</f>
        <v>['Try', 'registration', 'reset', 'times', 'fail']</v>
      </c>
      <c r="D1502" s="4">
        <v>1.0</v>
      </c>
    </row>
    <row r="1503" ht="15.75" customHeight="1">
      <c r="A1503" s="1">
        <v>1639.0</v>
      </c>
      <c r="B1503" s="4" t="s">
        <v>1467</v>
      </c>
      <c r="C1503" s="4" t="str">
        <f>IFERROR(__xludf.DUMMYFUNCTION("GOOGLETRANSLATE(B1503,""id"",""en"")"),"['Please', 'Application', 'SENAH', 'MAKE', 'Simple', 'Make', 'Ribet', ""]")</f>
        <v>['Please', 'Application', 'SENAH', 'MAKE', 'Simple', 'Make', 'Ribet', "]</v>
      </c>
      <c r="D1503" s="4">
        <v>1.0</v>
      </c>
    </row>
    <row r="1504" ht="15.75" customHeight="1">
      <c r="A1504" s="1">
        <v>1640.0</v>
      </c>
      <c r="B1504" s="4" t="s">
        <v>1468</v>
      </c>
      <c r="C1504" s="4" t="str">
        <f>IFERROR(__xludf.DUMMYFUNCTION("GOOGLETRANSLATE(B1504,""id"",""en"")"),"['Indihome', 'BGN', 'month', 'RB', 'neighbor', 'Masang', 'month', 'package', 'Speed', 'Original', 'Disappointed', 'Asked', ' Sales', 'kyk', 'free', 'hand']")</f>
        <v>['Indihome', 'BGN', 'month', 'RB', 'neighbor', 'Masang', 'month', 'package', 'Speed', 'Original', 'Disappointed', 'Asked', ' Sales', 'kyk', 'free', 'hand']</v>
      </c>
      <c r="D1504" s="4">
        <v>1.0</v>
      </c>
    </row>
    <row r="1505" ht="15.75" customHeight="1">
      <c r="A1505" s="1">
        <v>1641.0</v>
      </c>
      <c r="B1505" s="4" t="s">
        <v>1469</v>
      </c>
      <c r="C1505" s="4" t="str">
        <f>IFERROR(__xludf.DUMMYFUNCTION("GOOGLETRANSLATE(B1505,""id"",""en"")"),"['check', 'tags', 'Please', 'wise', 'hopefully', 'fast', 'right']")</f>
        <v>['check', 'tags', 'Please', 'wise', 'hopefully', 'fast', 'right']</v>
      </c>
      <c r="D1505" s="4">
        <v>1.0</v>
      </c>
    </row>
    <row r="1506" ht="15.75" customHeight="1">
      <c r="A1506" s="1">
        <v>1642.0</v>
      </c>
      <c r="B1506" s="4" t="s">
        <v>1470</v>
      </c>
      <c r="C1506" s="4" t="str">
        <f>IFERROR(__xludf.DUMMYFUNCTION("GOOGLETRANSLATE(B1506,""id"",""en"")"),"['check', 'detail', 'loading', 'doang', 'then', 'uninstall', 'then', 'install', 'reset', 'login', 'enter', 'aneeeeee']")</f>
        <v>['check', 'detail', 'loading', 'doang', 'then', 'uninstall', 'then', 'install', 'reset', 'login', 'enter', 'aneeeeee']</v>
      </c>
      <c r="D1506" s="4">
        <v>1.0</v>
      </c>
    </row>
    <row r="1507" ht="15.75" customHeight="1">
      <c r="A1507" s="1">
        <v>1643.0</v>
      </c>
      <c r="B1507" s="4" t="s">
        <v>1471</v>
      </c>
      <c r="C1507" s="4" t="str">
        <f>IFERROR(__xludf.DUMMYFUNCTION("GOOGLETRANSLATE(B1507,""id"",""en"")"),"['bad', 'use', 'application', 'according to', 'predicate', 'free', 'ADD', 'ounce', 'difficult', 'right', 'check', 'tags',' Indihome ',' threatening ',' go bankrupt ',' how ',' back down ',' service ']")</f>
        <v>['bad', 'use', 'application', 'according to', 'predicate', 'free', 'ADD', 'ounce', 'difficult', 'right', 'check', 'tags',' Indihome ',' threatening ',' go bankrupt ',' how ',' back down ',' service ']</v>
      </c>
      <c r="D1507" s="4">
        <v>1.0</v>
      </c>
    </row>
    <row r="1508" ht="15.75" customHeight="1">
      <c r="A1508" s="1">
        <v>1644.0</v>
      </c>
      <c r="B1508" s="4" t="s">
        <v>1472</v>
      </c>
      <c r="C1508" s="4" t="str">
        <f>IFERROR(__xludf.DUMMYFUNCTION("GOOGLETRANSLATE(B1508,""id"",""en"")"),"['application', 'login', 'ajaa', 'difficult']")</f>
        <v>['application', 'login', 'ajaa', 'difficult']</v>
      </c>
      <c r="D1508" s="4">
        <v>1.0</v>
      </c>
    </row>
    <row r="1509" ht="15.75" customHeight="1">
      <c r="A1509" s="1">
        <v>1645.0</v>
      </c>
      <c r="B1509" s="4" t="s">
        <v>1473</v>
      </c>
      <c r="C1509" s="4" t="str">
        <f>IFERROR(__xludf.DUMMYFUNCTION("GOOGLETRANSLATE(B1509,""id"",""en"")"),"['Application', 'Road', 'Please', 'Good']")</f>
        <v>['Application', 'Road', 'Please', 'Good']</v>
      </c>
      <c r="D1509" s="4">
        <v>1.0</v>
      </c>
    </row>
    <row r="1510" ht="15.75" customHeight="1">
      <c r="A1510" s="1">
        <v>1646.0</v>
      </c>
      <c r="B1510" s="4" t="s">
        <v>1474</v>
      </c>
      <c r="C1510" s="4" t="str">
        <f>IFERROR(__xludf.DUMMYFUNCTION("GOOGLETRANSLATE(B1510,""id"",""en"")"),"['Lemoooot']")</f>
        <v>['Lemoooot']</v>
      </c>
      <c r="D1510" s="4">
        <v>1.0</v>
      </c>
    </row>
    <row r="1511" ht="15.75" customHeight="1">
      <c r="A1511" s="1">
        <v>1647.0</v>
      </c>
      <c r="B1511" s="4" t="s">
        <v>961</v>
      </c>
      <c r="C1511" s="4" t="str">
        <f>IFERROR(__xludf.DUMMYFUNCTION("GOOGLETRANSLATE(B1511,""id"",""en"")"),"['login']")</f>
        <v>['login']</v>
      </c>
      <c r="D1511" s="4">
        <v>1.0</v>
      </c>
    </row>
    <row r="1512" ht="15.75" customHeight="1">
      <c r="A1512" s="1">
        <v>1648.0</v>
      </c>
      <c r="B1512" s="4" t="s">
        <v>1475</v>
      </c>
      <c r="C1512" s="4" t="str">
        <f>IFERROR(__xludf.DUMMYFUNCTION("GOOGLETRANSLATE(B1512,""id"",""en"")"),"['Application', 'rotten']")</f>
        <v>['Application', 'rotten']</v>
      </c>
      <c r="D1512" s="4">
        <v>1.0</v>
      </c>
    </row>
    <row r="1513" ht="15.75" customHeight="1">
      <c r="A1513" s="1">
        <v>1649.0</v>
      </c>
      <c r="B1513" s="4" t="s">
        <v>1476</v>
      </c>
      <c r="C1513" s="4" t="str">
        <f>IFERROR(__xludf.DUMMYFUNCTION("GOOGLETRANSLATE(B1513,""id"",""en"")"),"['stupid', 'public']")</f>
        <v>['stupid', 'public']</v>
      </c>
      <c r="D1513" s="4">
        <v>1.0</v>
      </c>
    </row>
    <row r="1514" ht="15.75" customHeight="1">
      <c r="A1514" s="1">
        <v>1650.0</v>
      </c>
      <c r="B1514" s="4" t="s">
        <v>1477</v>
      </c>
      <c r="C1514" s="4" t="str">
        <f>IFERROR(__xludf.DUMMYFUNCTION("GOOGLETRANSLATE(B1514,""id"",""en"")"),"['Appsi', 'garbage']")</f>
        <v>['Appsi', 'garbage']</v>
      </c>
      <c r="D1514" s="4">
        <v>1.0</v>
      </c>
    </row>
    <row r="1515" ht="15.75" customHeight="1">
      <c r="A1515" s="1">
        <v>1651.0</v>
      </c>
      <c r="B1515" s="4" t="s">
        <v>1478</v>
      </c>
      <c r="C1515" s="4" t="str">
        <f>IFERROR(__xludf.DUMMYFUNCTION("GOOGLETRANSLATE(B1515,""id"",""en"")"),"['dotted']")</f>
        <v>['dotted']</v>
      </c>
      <c r="D1515" s="4">
        <v>1.0</v>
      </c>
    </row>
    <row r="1516" ht="15.75" customHeight="1">
      <c r="A1516" s="1">
        <v>1652.0</v>
      </c>
      <c r="B1516" s="4" t="s">
        <v>1479</v>
      </c>
      <c r="C1516" s="4" t="str">
        <f>IFERROR(__xludf.DUMMYFUNCTION("GOOGLETRANSLATE(B1516,""id"",""en"")"),"['Login', 'difficult', 'already', 'enter', 'OTP']")</f>
        <v>['Login', 'difficult', 'already', 'enter', 'OTP']</v>
      </c>
      <c r="D1516" s="4">
        <v>1.0</v>
      </c>
    </row>
    <row r="1517" ht="15.75" customHeight="1">
      <c r="A1517" s="1">
        <v>1653.0</v>
      </c>
      <c r="B1517" s="4" t="s">
        <v>1480</v>
      </c>
      <c r="C1517" s="4" t="str">
        <f>IFERROR(__xludf.DUMMYFUNCTION("GOOGLETRANSLATE(B1517,""id"",""en"")"),"['Login', 'difficult', 'salaaammmmmmmm']")</f>
        <v>['Login', 'difficult', 'salaaammmmmmmm']</v>
      </c>
      <c r="D1517" s="4">
        <v>1.0</v>
      </c>
    </row>
    <row r="1518" ht="15.75" customHeight="1">
      <c r="A1518" s="1">
        <v>1654.0</v>
      </c>
      <c r="B1518" s="4" t="s">
        <v>1481</v>
      </c>
      <c r="C1518" s="4" t="str">
        <f>IFERROR(__xludf.DUMMYFUNCTION("GOOGLETRANSLATE(B1518,""id"",""en"")"),"['Good', 'application', 'failed', 'access', 'oath', 'severe', 'really', '']")</f>
        <v>['Good', 'application', 'failed', 'access', 'oath', 'severe', 'really', '']</v>
      </c>
      <c r="D1518" s="4">
        <v>2.0</v>
      </c>
    </row>
    <row r="1519" ht="15.75" customHeight="1">
      <c r="A1519" s="1">
        <v>1656.0</v>
      </c>
      <c r="B1519" s="4" t="s">
        <v>1482</v>
      </c>
      <c r="C1519" s="4" t="str">
        <f>IFERROR(__xludf.DUMMYFUNCTION("GOOGLETRANSLATE(B1519,""id"",""en"")"),"['Application', 'difficult', 'open', 'appears',' tags', 'month', 'subscribe', 'indihome', 'disappointed', 'please', 'good', 'application', ' ']")</f>
        <v>['Application', 'difficult', 'open', 'appears',' tags', 'month', 'subscribe', 'indihome', 'disappointed', 'please', 'good', 'application', ' ']</v>
      </c>
      <c r="D1519" s="4">
        <v>1.0</v>
      </c>
    </row>
    <row r="1520" ht="15.75" customHeight="1">
      <c r="A1520" s="1">
        <v>1657.0</v>
      </c>
      <c r="B1520" s="4" t="s">
        <v>1483</v>
      </c>
      <c r="C1520" s="4" t="str">
        <f>IFERROR(__xludf.DUMMYFUNCTION("GOOGLETRANSLATE(B1520,""id"",""en"")"),"['Severe', 'application', 'login', 'difficult', 'login', 'because', 'change', 'net', 'chaotic', 'disappointed', ""]")</f>
        <v>['Severe', 'application', 'login', 'difficult', 'login', 'because', 'change', 'net', 'chaotic', 'disappointed', "]</v>
      </c>
      <c r="D1520" s="4">
        <v>1.0</v>
      </c>
    </row>
    <row r="1521" ht="15.75" customHeight="1">
      <c r="A1521" s="1">
        <v>1658.0</v>
      </c>
      <c r="B1521" s="4" t="s">
        <v>1484</v>
      </c>
      <c r="C1521" s="4" t="str">
        <f>IFERROR(__xludf.DUMMYFUNCTION("GOOGLETRANSLATE(B1521,""id"",""en"")"),"['', 'wifinya', 'server', 'web', 'lot', 'application', 'bug']")</f>
        <v>['', 'wifinya', 'server', 'web', 'lot', 'application', 'bug']</v>
      </c>
      <c r="D1521" s="4">
        <v>1.0</v>
      </c>
    </row>
    <row r="1522" ht="15.75" customHeight="1">
      <c r="A1522" s="1">
        <v>1659.0</v>
      </c>
      <c r="B1522" s="4" t="s">
        <v>1485</v>
      </c>
      <c r="C1522" s="4" t="str">
        <f>IFERROR(__xludf.DUMMYFUNCTION("GOOGLETRANSLATE(B1522,""id"",""en"")"),"['apk', 'complicated', 'failed', 'log', 'see', 'tags',' confused ',' gin ',' ribett ',' log ',' out ',' trs', ' Log ',' failed ']")</f>
        <v>['apk', 'complicated', 'failed', 'log', 'see', 'tags',' confused ',' gin ',' ribett ',' log ',' out ',' trs', ' Log ',' failed ']</v>
      </c>
      <c r="D1522" s="4">
        <v>1.0</v>
      </c>
    </row>
    <row r="1523" ht="15.75" customHeight="1">
      <c r="A1523" s="1">
        <v>1660.0</v>
      </c>
      <c r="B1523" s="4" t="s">
        <v>1486</v>
      </c>
      <c r="C1523" s="4" t="str">
        <f>IFERROR(__xludf.DUMMYFUNCTION("GOOGLETRANSLATE(B1523,""id"",""en"")"),"['Quality', 'disturbing', 'deer', 'Wait', 'process', 'already', 'woy', 'work', ""]")</f>
        <v>['Quality', 'disturbing', 'deer', 'Wait', 'process', 'already', 'woy', 'work', "]</v>
      </c>
      <c r="D1523" s="4">
        <v>1.0</v>
      </c>
    </row>
    <row r="1524" ht="15.75" customHeight="1">
      <c r="A1524" s="1">
        <v>1661.0</v>
      </c>
      <c r="B1524" s="4" t="s">
        <v>1487</v>
      </c>
      <c r="C1524" s="4" t="str">
        <f>IFERROR(__xludf.DUMMYFUNCTION("GOOGLETRANSLATE(B1524,""id"",""en"")"),"['Try', 'hope', 'miles']")</f>
        <v>['Try', 'hope', 'miles']</v>
      </c>
      <c r="D1524" s="4">
        <v>5.0</v>
      </c>
    </row>
    <row r="1525" ht="15.75" customHeight="1">
      <c r="A1525" s="1">
        <v>1662.0</v>
      </c>
      <c r="B1525" s="4" t="s">
        <v>1488</v>
      </c>
      <c r="C1525" s="4" t="str">
        <f>IFERROR(__xludf.DUMMYFUNCTION("GOOGLETRANSLATE(B1525,""id"",""en"")"),"['What', 'Indhome', 'APK', 'Ngelag', 'already', 'account', 'right', 'enter', 'failed', 'sii', 'apk', 'good', ' yeah ',' checked ',' tags', 'difficult', 'really', 'strange', 'indhome', 'really', 'mafia', 'nnya', 'nihh']")</f>
        <v>['What', 'Indhome', 'APK', 'Ngelag', 'already', 'account', 'right', 'enter', 'failed', 'sii', 'apk', 'good', ' yeah ',' checked ',' tags', 'difficult', 'really', 'strange', 'indhome', 'really', 'mafia', 'nnya', 'nihh']</v>
      </c>
      <c r="D1525" s="4">
        <v>1.0</v>
      </c>
    </row>
    <row r="1526" ht="15.75" customHeight="1">
      <c r="A1526" s="1">
        <v>1663.0</v>
      </c>
      <c r="B1526" s="4" t="s">
        <v>1489</v>
      </c>
      <c r="C1526" s="4" t="str">
        <f>IFERROR(__xludf.DUMMYFUNCTION("GOOGLETRANSLATE(B1526,""id"",""en"")"),"['Error']")</f>
        <v>['Error']</v>
      </c>
      <c r="D1526" s="4">
        <v>1.0</v>
      </c>
    </row>
    <row r="1527" ht="15.75" customHeight="1">
      <c r="A1527" s="1">
        <v>1664.0</v>
      </c>
      <c r="B1527" s="4" t="s">
        <v>1490</v>
      </c>
      <c r="C1527" s="4" t="str">
        <f>IFERROR(__xludf.DUMMYFUNCTION("GOOGLETRANSLATE(B1527,""id"",""en"")"),"['enter', 'complicated', 'net', 'slow', 'break up', 'pay', '']")</f>
        <v>['enter', 'complicated', 'net', 'slow', 'break up', 'pay', '']</v>
      </c>
      <c r="D1527" s="4">
        <v>1.0</v>
      </c>
    </row>
    <row r="1528" ht="15.75" customHeight="1">
      <c r="A1528" s="1">
        <v>1665.0</v>
      </c>
      <c r="B1528" s="4" t="s">
        <v>1491</v>
      </c>
      <c r="C1528" s="4" t="str">
        <f>IFERROR(__xludf.DUMMYFUNCTION("GOOGLETRANSLATE(B1528,""id"",""en"")"),"['Forced', 'use', 'net', 'enter', 'Region', 'Sya', '']")</f>
        <v>['Forced', 'use', 'net', 'enter', 'Region', 'Sya', '']</v>
      </c>
      <c r="D1528" s="4">
        <v>1.0</v>
      </c>
    </row>
    <row r="1529" ht="15.75" customHeight="1">
      <c r="A1529" s="1">
        <v>1666.0</v>
      </c>
      <c r="B1529" s="4" t="s">
        <v>1492</v>
      </c>
      <c r="C1529" s="4" t="str">
        <f>IFERROR(__xludf.DUMMYFUNCTION("GOOGLETRANSLATE(B1529,""id"",""en"")"),"['APK', 'Ammpuunnn', 'login', 'reset', 'failed', 'then', 'code', 'otp', 'nda', 'response', 'response', 'try' hours', 'apk', 'make', 'easy', 'mah', 'back', 'complicated', 'make', 'easy', '']")</f>
        <v>['APK', 'Ammpuunnn', 'login', 'reset', 'failed', 'then', 'code', 'otp', 'nda', 'response', 'response', 'try' hours', 'apk', 'make', 'easy', 'mah', 'back', 'complicated', 'make', 'easy', '']</v>
      </c>
      <c r="D1529" s="4">
        <v>1.0</v>
      </c>
    </row>
    <row r="1530" ht="15.75" customHeight="1">
      <c r="A1530" s="1">
        <v>1667.0</v>
      </c>
      <c r="B1530" s="4" t="s">
        <v>1493</v>
      </c>
      <c r="C1530" s="4" t="str">
        <f>IFERROR(__xludf.DUMMYFUNCTION("GOOGLETRANSLATE(B1530,""id"",""en"")"),"['Application', 'Errr']")</f>
        <v>['Application', 'Errr']</v>
      </c>
      <c r="D1530" s="4">
        <v>1.0</v>
      </c>
    </row>
    <row r="1531" ht="15.75" customHeight="1">
      <c r="A1531" s="1">
        <v>1668.0</v>
      </c>
      <c r="B1531" s="4" t="s">
        <v>1494</v>
      </c>
      <c r="C1531" s="4" t="str">
        <f>IFERROR(__xludf.DUMMYFUNCTION("GOOGLETRANSLATE(B1531,""id"",""en"")"),"['How', 'application', 'enter', 'code', 'OTP', 'Sundah', 'appears', 'application', 'Loading']")</f>
        <v>['How', 'application', 'enter', 'code', 'OTP', 'Sundah', 'appears', 'application', 'Loading']</v>
      </c>
      <c r="D1531" s="4">
        <v>1.0</v>
      </c>
    </row>
    <row r="1532" ht="15.75" customHeight="1">
      <c r="A1532" s="1">
        <v>1669.0</v>
      </c>
      <c r="B1532" s="4" t="s">
        <v>1495</v>
      </c>
      <c r="C1532" s="4" t="str">
        <f>IFERROR(__xludf.DUMMYFUNCTION("GOOGLETRANSLATE(B1532,""id"",""en"")"),"['Provider', 'Trash', 'already', 'Masang', 'Package', 'Mbps',' Make ',' People ',' Play ',' Game ',' Doang ',' Ngelag ',' ping ',' red ',' emang ',' udh ',' effort ',' BUMN ',' take care ',' right ',' trash ']")</f>
        <v>['Provider', 'Trash', 'already', 'Masang', 'Package', 'Mbps',' Make ',' People ',' Play ',' Game ',' Doang ',' Ngelag ',' ping ',' red ',' emang ',' udh ',' effort ',' BUMN ',' take care ',' right ',' trash ']</v>
      </c>
      <c r="D1532" s="4">
        <v>1.0</v>
      </c>
    </row>
    <row r="1533" ht="15.75" customHeight="1">
      <c r="A1533" s="1">
        <v>1670.0</v>
      </c>
      <c r="B1533" s="4" t="s">
        <v>1496</v>
      </c>
      <c r="C1533" s="4" t="str">
        <f>IFERROR(__xludf.DUMMYFUNCTION("GOOGLETRANSLATE(B1533,""id"",""en"")"),"['oath', 'service', 'Indihome', 'Rich', 'IIII', 'I', 'Report', 'Pay', 'Adu', 'Via', 'Chat', 'Indita', ' Report ',' date ',' date ',' finished ',' bales', 'admin', 'different', 'different', 'chat', 'chat', 'read', 'bales',' process' , 'process',' Tampa ','"&amp;" acts', 'chaotic', 'work', 'employees',' indihome ',' BUMN ',' lose ',' private ',' kampret ',' loss', ' Gara ',' internet ',' isolir ',' slow ',' ']")</f>
        <v>['oath', 'service', 'Indihome', 'Rich', 'IIII', 'I', 'Report', 'Pay', 'Adu', 'Via', 'Chat', 'Indita', ' Report ',' date ',' date ',' finished ',' bales', 'admin', 'different', 'different', 'chat', 'chat', 'read', 'bales',' process' , 'process',' Tampa ',' acts', 'chaotic', 'work', 'employees',' indihome ',' BUMN ',' lose ',' private ',' kampret ',' loss', ' Gara ',' internet ',' isolir ',' slow ',' ']</v>
      </c>
      <c r="D1533" s="4">
        <v>1.0</v>
      </c>
    </row>
    <row r="1534" ht="15.75" customHeight="1">
      <c r="A1534" s="1">
        <v>1671.0</v>
      </c>
      <c r="B1534" s="4" t="s">
        <v>1497</v>
      </c>
      <c r="C1534" s="4" t="str">
        <f>IFERROR(__xludf.DUMMYFUNCTION("GOOGLETRANSLATE(B1534,""id"",""en"")"),"['Application', 'Error', '']")</f>
        <v>['Application', 'Error', '']</v>
      </c>
      <c r="D1534" s="4">
        <v>1.0</v>
      </c>
    </row>
    <row r="1535" ht="15.75" customHeight="1">
      <c r="A1535" s="1">
        <v>1672.0</v>
      </c>
      <c r="B1535" s="4" t="s">
        <v>1498</v>
      </c>
      <c r="C1535" s="4" t="str">
        <f>IFERROR(__xludf.DUMMYFUNCTION("GOOGLETRANSLATE(B1535,""id"",""en"")"),"['Log', 'code', 'OTP', 'FAILURE', 'Enter', 'Lot', 'Loading']")</f>
        <v>['Log', 'code', 'OTP', 'FAILURE', 'Enter', 'Lot', 'Loading']</v>
      </c>
      <c r="D1535" s="4">
        <v>1.0</v>
      </c>
    </row>
    <row r="1536" ht="15.75" customHeight="1">
      <c r="A1536" s="1">
        <v>1673.0</v>
      </c>
      <c r="B1536" s="4" t="s">
        <v>1499</v>
      </c>
      <c r="C1536" s="4" t="str">
        <f>IFERROR(__xludf.DUMMYFUNCTION("GOOGLETRANSLATE(B1536,""id"",""en"")"),"['Difficult', 'APK', 'INDIHOME']")</f>
        <v>['Difficult', 'APK', 'INDIHOME']</v>
      </c>
      <c r="D1536" s="4">
        <v>1.0</v>
      </c>
    </row>
    <row r="1537" ht="15.75" customHeight="1">
      <c r="A1537" s="1">
        <v>1674.0</v>
      </c>
      <c r="B1537" s="4" t="s">
        <v>1500</v>
      </c>
      <c r="C1537" s="4" t="str">
        <f>IFERROR(__xludf.DUMMYFUNCTION("GOOGLETRANSLATE(B1537,""id"",""en"")"),"['Good', 'smooth', 'road', 'month', 'leg', 'stump', 'loby', 'appears',' pitur ',' symbol ',' load ',' reset ',' Application ',' Indihome ',' ']")</f>
        <v>['Good', 'smooth', 'road', 'month', 'leg', 'stump', 'loby', 'appears',' pitur ',' symbol ',' load ',' reset ',' Application ',' Indihome ',' ']</v>
      </c>
      <c r="D1537" s="4">
        <v>1.0</v>
      </c>
    </row>
    <row r="1538" ht="15.75" customHeight="1">
      <c r="A1538" s="1">
        <v>1675.0</v>
      </c>
      <c r="B1538" s="4" t="s">
        <v>1501</v>
      </c>
      <c r="C1538" s="4" t="str">
        <f>IFERROR(__xludf.DUMMYFUNCTION("GOOGLETRANSLATE(B1538,""id"",""en"")"),"['Application', 'idiot', 'loading', 'Loading', 'Install', 'reset', 'enter', 'OTP', 'Send', 'late', 'fail', 'send', ' reset ',' until ',' run out ',' Try ',' idiot ']")</f>
        <v>['Application', 'idiot', 'loading', 'Loading', 'Install', 'reset', 'enter', 'OTP', 'Send', 'late', 'fail', 'send', ' reset ',' until ',' run out ',' Try ',' idiot ']</v>
      </c>
      <c r="D1538" s="4">
        <v>1.0</v>
      </c>
    </row>
    <row r="1539" ht="15.75" customHeight="1">
      <c r="A1539" s="1">
        <v>1676.0</v>
      </c>
      <c r="B1539" s="4" t="s">
        <v>1502</v>
      </c>
      <c r="C1539" s="4" t="str">
        <f>IFERROR(__xludf.DUMMYFUNCTION("GOOGLETRANSLATE(B1539,""id"",""en"")"),"['Already', 'Install', 'Login', 'Difficult', 'Bener', 'Forgiveness']")</f>
        <v>['Already', 'Install', 'Login', 'Difficult', 'Bener', 'Forgiveness']</v>
      </c>
      <c r="D1539" s="4">
        <v>1.0</v>
      </c>
    </row>
    <row r="1540" ht="15.75" customHeight="1">
      <c r="A1540" s="1">
        <v>1677.0</v>
      </c>
      <c r="B1540" s="4" t="s">
        <v>1503</v>
      </c>
      <c r="C1540" s="4" t="str">
        <f>IFERROR(__xludf.DUMMYFUNCTION("GOOGLETRANSLATE(B1540,""id"",""en"")"),"['Lot', 'Lose', 'competitor']")</f>
        <v>['Lot', 'Lose', 'competitor']</v>
      </c>
      <c r="D1540" s="4">
        <v>1.0</v>
      </c>
    </row>
    <row r="1541" ht="15.75" customHeight="1">
      <c r="A1541" s="1">
        <v>1679.0</v>
      </c>
      <c r="B1541" s="4" t="s">
        <v>1504</v>
      </c>
      <c r="C1541" s="4" t="str">
        <f>IFERROR(__xludf.DUMMYFUNCTION("GOOGLETRANSLATE(B1541,""id"",""en"")"),"['Ngellag', 'Severe', '']")</f>
        <v>['Ngellag', 'Severe', '']</v>
      </c>
      <c r="D1541" s="4">
        <v>1.0</v>
      </c>
    </row>
    <row r="1542" ht="15.75" customHeight="1">
      <c r="A1542" s="1">
        <v>1680.0</v>
      </c>
      <c r="B1542" s="4" t="s">
        <v>1505</v>
      </c>
      <c r="C1542" s="4" t="str">
        <f>IFERROR(__xludf.DUMMYFUNCTION("GOOGLETRANSLATE(B1542,""id"",""en"")"),"['Details',' tags', 'Light', 'Tipu', 'Enter', 'Nominal', 'Tap', 'Love', 'Details',' Pay ',' Clear ',' Cut ',' Professional ',' Send ',' Details', 'Details',' Tagih ',' Tagih ',' Level ',' Clear ', ""]")</f>
        <v>['Details',' tags', 'Light', 'Tipu', 'Enter', 'Nominal', 'Tap', 'Love', 'Details',' Pay ',' Clear ',' Cut ',' Professional ',' Send ',' Details', 'Details',' Tagih ',' Tagih ',' Level ',' Clear ', "]</v>
      </c>
      <c r="D1542" s="4">
        <v>1.0</v>
      </c>
    </row>
    <row r="1543" ht="15.75" customHeight="1">
      <c r="A1543" s="1">
        <v>1681.0</v>
      </c>
      <c r="B1543" s="4" t="s">
        <v>1506</v>
      </c>
      <c r="C1543" s="4" t="str">
        <f>IFERROR(__xludf.DUMMYFUNCTION("GOOGLETRANSLATE(B1543,""id"",""en"")"),"['Holidays',' Restless', 'Krna', 'Dri', 'kmrn', 'ampe', 'skrng', 'gada', 'good', 'response', 'bangett', 'loss',' Pay ',' HRUS ',' FULL ',' SEDANGKN ',' DRI ',' KMRN ',' SKRNG ',' Disgu ',' Mulu ',' Los', 'Truss',' Power ' , 'PAYR', 'Mauny', 'Full', 'but',"&amp;" 'Disturbs', 'Mulu', 'Kapokk', 'Masang', 'LGI', 'INDIHOME']")</f>
        <v>['Holidays',' Restless', 'Krna', 'Dri', 'kmrn', 'ampe', 'skrng', 'gada', 'good', 'response', 'bangett', 'loss',' Pay ',' HRUS ',' FULL ',' SEDANGKN ',' DRI ',' KMRN ',' SKRNG ',' Disgu ',' Mulu ',' Los', 'Truss',' Power ' , 'PAYR', 'Mauny', 'Full', 'but', 'Disturbs', 'Mulu', 'Kapokk', 'Masang', 'LGI', 'INDIHOME']</v>
      </c>
      <c r="D1543" s="4">
        <v>1.0</v>
      </c>
    </row>
    <row r="1544" ht="15.75" customHeight="1">
      <c r="A1544" s="1">
        <v>1682.0</v>
      </c>
      <c r="B1544" s="4" t="s">
        <v>1507</v>
      </c>
      <c r="C1544" s="4" t="str">
        <f>IFERROR(__xludf.DUMMYFUNCTION("GOOGLETRANSLATE(B1544,""id"",""en"")"),"['Indihome', 'Voucher', 'thousand', 'Disturbs', 'Mulu', 'battered', 'ugly', 'Disturbs', 'then']")</f>
        <v>['Indihome', 'Voucher', 'thousand', 'Disturbs', 'Mulu', 'battered', 'ugly', 'Disturbs', 'then']</v>
      </c>
      <c r="D1544" s="4">
        <v>1.0</v>
      </c>
    </row>
    <row r="1545" ht="15.75" customHeight="1">
      <c r="A1545" s="1">
        <v>1683.0</v>
      </c>
      <c r="B1545" s="4" t="s">
        <v>1508</v>
      </c>
      <c r="C1545" s="4" t="str">
        <f>IFERROR(__xludf.DUMMYFUNCTION("GOOGLETRANSLATE(B1545,""id"",""en"")"),"['Error', 'Knp', 'Gabisa', 'Login', '']")</f>
        <v>['Error', 'Knp', 'Gabisa', 'Login', '']</v>
      </c>
      <c r="D1545" s="4">
        <v>2.0</v>
      </c>
    </row>
    <row r="1546" ht="15.75" customHeight="1">
      <c r="A1546" s="1">
        <v>1684.0</v>
      </c>
      <c r="B1546" s="4" t="s">
        <v>1509</v>
      </c>
      <c r="C1546" s="4" t="str">
        <f>IFERROR(__xludf.DUMMYFUNCTION("GOOGLETRANSLATE(B1546,""id"",""en"")"),"['Indihome', 'Disneyhostar', 'exciting', 'steady']")</f>
        <v>['Indihome', 'Disneyhostar', 'exciting', 'steady']</v>
      </c>
      <c r="D1546" s="4">
        <v>5.0</v>
      </c>
    </row>
    <row r="1547" ht="15.75" customHeight="1">
      <c r="A1547" s="1">
        <v>1685.0</v>
      </c>
      <c r="B1547" s="4" t="s">
        <v>1510</v>
      </c>
      <c r="C1547" s="4" t="str">
        <f>IFERROR(__xludf.DUMMYFUNCTION("GOOGLETRANSLATE(B1547,""id"",""en"")"),"['upgrade', 'speed', 'complicated', 'rich', 'mending', 'service', 'neighbor', 'service', 'complicated', 'many', 'interview', 'already', ' Interview ',' work ',' ']")</f>
        <v>['upgrade', 'speed', 'complicated', 'rich', 'mending', 'service', 'neighbor', 'service', 'complicated', 'many', 'interview', 'already', ' Interview ',' work ',' ']</v>
      </c>
      <c r="D1547" s="4">
        <v>1.0</v>
      </c>
    </row>
    <row r="1548" ht="15.75" customHeight="1">
      <c r="A1548" s="1">
        <v>1686.0</v>
      </c>
      <c r="B1548" s="4" t="s">
        <v>1511</v>
      </c>
      <c r="C1548" s="4" t="str">
        <f>IFERROR(__xludf.DUMMYFUNCTION("GOOGLETRANSLATE(B1548,""id"",""en"")"),"['Change', 'name', 'Inditod', 'Net', 'Ngen', ""]")</f>
        <v>['Change', 'name', 'Inditod', 'Net', 'Ngen', "]</v>
      </c>
      <c r="D1548" s="4">
        <v>1.0</v>
      </c>
    </row>
    <row r="1549" ht="15.75" customHeight="1">
      <c r="A1549" s="1">
        <v>1687.0</v>
      </c>
      <c r="B1549" s="4" t="s">
        <v>1512</v>
      </c>
      <c r="C1549" s="4" t="str">
        <f>IFERROR(__xludf.DUMMYFUNCTION("GOOGLETRANSLATE(B1549,""id"",""en"")"),"['Country', 'Select', 'Provider', 'Trash', 'Quality', 'Services',' Trash ',' Cucup ',' Region ',' Forced ',' Untung ',' Abai ',' Quality ',' Services']")</f>
        <v>['Country', 'Select', 'Provider', 'Trash', 'Quality', 'Services',' Trash ',' Cucup ',' Region ',' Forced ',' Untung ',' Abai ',' Quality ',' Services']</v>
      </c>
      <c r="D1549" s="4">
        <v>1.0</v>
      </c>
    </row>
    <row r="1550" ht="15.75" customHeight="1">
      <c r="A1550" s="1">
        <v>1688.0</v>
      </c>
      <c r="B1550" s="4" t="s">
        <v>1513</v>
      </c>
      <c r="C1550" s="4" t="str">
        <f>IFERROR(__xludf.DUMMYFUNCTION("GOOGLETRANSLATE(B1550,""id"",""en"")"),"['Tilt', 'TPI', 'Difficult', 'technicians',' nets', 'available', 'location', 'get', 'confirm', 'direct', 'dri', 'indihome', ' love ',' info ',' net ',' ready ',' told ',' wait ',' continued ',' wait ',' skr ',' work ',' wfh ',' child ',' teach ' , 'Dri', "&amp;"'home', 'service', 'internet', 'difficult', 'bad', 'service', '']")</f>
        <v>['Tilt', 'TPI', 'Difficult', 'technicians',' nets', 'available', 'location', 'get', 'confirm', 'direct', 'dri', 'indihome', ' love ',' info ',' net ',' ready ',' told ',' wait ',' continued ',' wait ',' skr ',' work ',' wfh ',' child ',' teach ' , 'Dri', 'home', 'service', 'internet', 'difficult', 'bad', 'service', '']</v>
      </c>
      <c r="D1550" s="4">
        <v>1.0</v>
      </c>
    </row>
    <row r="1551" ht="15.75" customHeight="1">
      <c r="A1551" s="1">
        <v>1689.0</v>
      </c>
      <c r="B1551" s="4" t="s">
        <v>1514</v>
      </c>
      <c r="C1551" s="4" t="str">
        <f>IFERROR(__xludf.DUMMYFUNCTION("GOOGLETRANSLATE(B1551,""id"",""en"")"),"['Star', 'Talk']")</f>
        <v>['Star', 'Talk']</v>
      </c>
      <c r="D1551" s="4">
        <v>1.0</v>
      </c>
    </row>
    <row r="1552" ht="15.75" customHeight="1">
      <c r="A1552" s="1">
        <v>1690.0</v>
      </c>
      <c r="B1552" s="4" t="s">
        <v>1515</v>
      </c>
      <c r="C1552" s="4" t="str">
        <f>IFERROR(__xludf.DUMMYFUNCTION("GOOGLETRANSLATE(B1552,""id"",""en"")"),"['bad', 'error']")</f>
        <v>['bad', 'error']</v>
      </c>
      <c r="D1552" s="4">
        <v>1.0</v>
      </c>
    </row>
    <row r="1553" ht="15.75" customHeight="1">
      <c r="A1553" s="1">
        <v>1691.0</v>
      </c>
      <c r="B1553" s="4" t="s">
        <v>1516</v>
      </c>
      <c r="C1553" s="4" t="str">
        <f>IFERROR(__xludf.DUMMYFUNCTION("GOOGLETRANSLATE(B1553,""id"",""en"")"),"['device', 'smooth', 'Happy']")</f>
        <v>['device', 'smooth', 'Happy']</v>
      </c>
      <c r="D1553" s="4">
        <v>5.0</v>
      </c>
    </row>
    <row r="1554" ht="15.75" customHeight="1">
      <c r="A1554" s="1">
        <v>1692.0</v>
      </c>
      <c r="B1554" s="4" t="s">
        <v>1517</v>
      </c>
      <c r="C1554" s="4" t="str">
        <f>IFERROR(__xludf.DUMMYFUNCTION("GOOGLETRANSLATE(B1554,""id"",""en"")"),"['update', 'appears',' details', 'tags',' download ',' proof ',' pay ',' application ',' indihome ',' core ',' good ',' application ',' tags', 'keep', 'already', 'confirm', 'upgrade', 'speed', 'tap', 'indihome', 'no', 'yes',' email ',' telkom ',' statemen"&amp;"t ' , 'Light', 'tags', 'contents', 'detailed', 'Benefit', 'skrg', 'details', '']")</f>
        <v>['update', 'appears',' details', 'tags',' download ',' proof ',' pay ',' application ',' indihome ',' core ',' good ',' application ',' tags', 'keep', 'already', 'confirm', 'upgrade', 'speed', 'tap', 'indihome', 'no', 'yes',' email ',' telkom ',' statement ' , 'Light', 'tags', 'contents', 'detailed', 'Benefit', 'skrg', 'details', '']</v>
      </c>
      <c r="D1554" s="4">
        <v>1.0</v>
      </c>
    </row>
    <row r="1555" ht="15.75" customHeight="1">
      <c r="A1555" s="1">
        <v>1693.0</v>
      </c>
      <c r="B1555" s="4" t="s">
        <v>1518</v>
      </c>
      <c r="C1555" s="4" t="str">
        <f>IFERROR(__xludf.DUMMYFUNCTION("GOOGLETRANSLATE(B1555,""id"",""en"")"),"['application', 'crash', 'right', 'open']")</f>
        <v>['application', 'crash', 'right', 'open']</v>
      </c>
      <c r="D1555" s="4">
        <v>1.0</v>
      </c>
    </row>
    <row r="1556" ht="15.75" customHeight="1">
      <c r="A1556" s="1">
        <v>1694.0</v>
      </c>
      <c r="B1556" s="4" t="s">
        <v>1519</v>
      </c>
      <c r="C1556" s="4" t="str">
        <f>IFERROR(__xludf.DUMMYFUNCTION("GOOGLETRANSLATE(B1556,""id"",""en"")"),"['Nob']")</f>
        <v>['Nob']</v>
      </c>
      <c r="D1556" s="4">
        <v>1.0</v>
      </c>
    </row>
    <row r="1557" ht="15.75" customHeight="1">
      <c r="A1557" s="1">
        <v>1695.0</v>
      </c>
      <c r="B1557" s="4" t="s">
        <v>1520</v>
      </c>
      <c r="C1557" s="4" t="str">
        <f>IFERROR(__xludf.DUMMYFUNCTION("GOOGLETRANSLATE(B1557,""id"",""en"")"),"['Internet', 'already', 'entered', 'replace', 'Indihome', 'Internet', 'Mulu', 'I', 'Call', 'person', 'Indihome', 'Benerin', ' Mintain ',' money ',' Roko ',' already ',' month ',' expensive ',' pay ',' person ',' indihome ',' nervous']")</f>
        <v>['Internet', 'already', 'entered', 'replace', 'Indihome', 'Internet', 'Mulu', 'I', 'Call', 'person', 'Indihome', 'Benerin', ' Mintain ',' money ',' Roko ',' already ',' month ',' expensive ',' pay ',' person ',' indihome ',' nervous']</v>
      </c>
      <c r="D1557" s="4">
        <v>1.0</v>
      </c>
    </row>
    <row r="1558" ht="15.75" customHeight="1">
      <c r="A1558" s="1">
        <v>1696.0</v>
      </c>
      <c r="B1558" s="4" t="s">
        <v>1521</v>
      </c>
      <c r="C1558" s="4" t="str">
        <f>IFERROR(__xludf.DUMMYFUNCTION("GOOGLETRANSLATE(B1558,""id"",""en"")"),"['fit', 'play', 'game', 'online', 'signal', 'jumping', 'mulu', 'ngak', 'people', 'make', 'just', 'doang', ' directly ',' Lemes', 'signal', 'what']")</f>
        <v>['fit', 'play', 'game', 'online', 'signal', 'jumping', 'mulu', 'ngak', 'people', 'make', 'just', 'doang', ' directly ',' Lemes', 'signal', 'what']</v>
      </c>
      <c r="D1558" s="4">
        <v>1.0</v>
      </c>
    </row>
    <row r="1559" ht="15.75" customHeight="1">
      <c r="A1559" s="1">
        <v>1697.0</v>
      </c>
      <c r="B1559" s="4" t="s">
        <v>1522</v>
      </c>
      <c r="C1559" s="4" t="str">
        <f>IFERROR(__xludf.DUMMYFUNCTION("GOOGLETRANSLATE(B1559,""id"",""en"")"),"['Indihome', 'slow', 'poll', 'hand', 'anjirr']")</f>
        <v>['Indihome', 'slow', 'poll', 'hand', 'anjirr']</v>
      </c>
      <c r="D1559" s="4">
        <v>1.0</v>
      </c>
    </row>
    <row r="1560" ht="15.75" customHeight="1">
      <c r="A1560" s="1">
        <v>1699.0</v>
      </c>
      <c r="B1560" s="4" t="s">
        <v>1523</v>
      </c>
      <c r="C1560" s="4" t="str">
        <f>IFERROR(__xludf.DUMMYFUNCTION("GOOGLETRANSLATE(B1560,""id"",""en"")"),"['already', 'pay', 'month', 'already', 'upgrade', 'tetep', 'lag', 'times', 'wifinya', 'dead', 'price', 'according to' quality', '']")</f>
        <v>['already', 'pay', 'month', 'already', 'upgrade', 'tetep', 'lag', 'times', 'wifinya', 'dead', 'price', 'according to' quality', '']</v>
      </c>
      <c r="D1560" s="4">
        <v>1.0</v>
      </c>
    </row>
    <row r="1561" ht="15.75" customHeight="1">
      <c r="A1561" s="1">
        <v>1700.0</v>
      </c>
      <c r="B1561" s="4" t="s">
        <v>1524</v>
      </c>
      <c r="C1561" s="4" t="str">
        <f>IFERROR(__xludf.DUMMYFUNCTION("GOOGLETRANSLATE(B1561,""id"",""en"")"),"['Check', 'Capture', 'Force', 'Close', 'Bug', 'Flow', 'Application', 'Aware', 'Star', 'Difix', 'Bug', 'Update', ' Bugs', 'fixed', 'star', '']")</f>
        <v>['Check', 'Capture', 'Force', 'Close', 'Bug', 'Flow', 'Application', 'Aware', 'Star', 'Difix', 'Bug', 'Update', ' Bugs', 'fixed', 'star', '']</v>
      </c>
      <c r="D1561" s="4">
        <v>5.0</v>
      </c>
    </row>
    <row r="1562" ht="15.75" customHeight="1">
      <c r="A1562" s="1">
        <v>1701.0</v>
      </c>
      <c r="B1562" s="4" t="s">
        <v>1525</v>
      </c>
      <c r="C1562" s="4" t="str">
        <f>IFERROR(__xludf.DUMMYFUNCTION("GOOGLETRANSLATE(B1562,""id"",""en"")"),"['Indihome', 'nets', 'expensive', 'lot', 'regret', 'really', 'subscribe', 'indihome', '']")</f>
        <v>['Indihome', 'nets', 'expensive', 'lot', 'regret', 'really', 'subscribe', 'indihome', '']</v>
      </c>
      <c r="D1562" s="4">
        <v>1.0</v>
      </c>
    </row>
    <row r="1563" ht="15.75" customHeight="1">
      <c r="A1563" s="1">
        <v>1702.0</v>
      </c>
      <c r="B1563" s="4" t="s">
        <v>1526</v>
      </c>
      <c r="C1563" s="4" t="str">
        <f>IFERROR(__xludf.DUMMYFUNCTION("GOOGLETRANSLATE(B1563,""id"",""en"")"),"['already', 'internet', 'access',' already ',' telephone ',' customer ',' service ',' until ',' times', 'already', 'adu', 'times',' Have ',' Wait ',' Wait ',' Until ',' ']")</f>
        <v>['already', 'internet', 'access',' already ',' telephone ',' customer ',' service ',' until ',' times', 'already', 'adu', 'times',' Have ',' Wait ',' Wait ',' Until ',' ']</v>
      </c>
      <c r="D1563" s="4">
        <v>1.0</v>
      </c>
    </row>
    <row r="1564" ht="15.75" customHeight="1">
      <c r="A1564" s="1">
        <v>1703.0</v>
      </c>
      <c r="B1564" s="4" t="s">
        <v>1527</v>
      </c>
      <c r="C1564" s="4" t="str">
        <f>IFERROR(__xludf.DUMMYFUNCTION("GOOGLETRANSLATE(B1564,""id"",""en"")"),"['', 'technicians',' appears', 'disturbing', 'yanh', 'greetings',' complained ',' before ',' pairs', 'package', 'Mbps',' Disturbs', 'serve ',' Indiehome ',' Report ',' Action ',' Technicians', 'TLPN', 'Indihome', 'Streamer', 'Loss',' appears', 'Disturbs',"&amp;"' Sampe ', ""]")</f>
        <v>['', 'technicians',' appears', 'disturbing', 'yanh', 'greetings',' complained ',' before ',' pairs', 'package', 'Mbps',' Disturbs', 'serve ',' Indiehome ',' Report ',' Action ',' Technicians', 'TLPN', 'Indihome', 'Streamer', 'Loss',' appears', 'Disturbs',' Sampe ', "]</v>
      </c>
      <c r="D1564" s="4">
        <v>1.0</v>
      </c>
    </row>
    <row r="1565" ht="15.75" customHeight="1">
      <c r="A1565" s="1">
        <v>1704.0</v>
      </c>
      <c r="B1565" s="4" t="s">
        <v>1528</v>
      </c>
      <c r="C1565" s="4" t="str">
        <f>IFERROR(__xludf.DUMMYFUNCTION("GOOGLETRANSLATE(B1565,""id"",""en"")"),"['Bnyak']")</f>
        <v>['Bnyak']</v>
      </c>
      <c r="D1565" s="4">
        <v>1.0</v>
      </c>
    </row>
    <row r="1566" ht="15.75" customHeight="1">
      <c r="A1566" s="1">
        <v>1705.0</v>
      </c>
      <c r="B1566" s="4" t="s">
        <v>1529</v>
      </c>
      <c r="C1566" s="4" t="str">
        <f>IFERROR(__xludf.DUMMYFUNCTION("GOOGLETRANSLATE(B1566,""id"",""en"")"),"['Star', 'net', 'Lot', 'Indihome', 'Please', 'Good', 'Quality', '']")</f>
        <v>['Star', 'net', 'Lot', 'Indihome', 'Please', 'Good', 'Quality', '']</v>
      </c>
      <c r="D1566" s="4">
        <v>2.0</v>
      </c>
    </row>
    <row r="1567" ht="15.75" customHeight="1">
      <c r="A1567" s="1">
        <v>1706.0</v>
      </c>
      <c r="B1567" s="4" t="s">
        <v>1530</v>
      </c>
      <c r="C1567" s="4" t="str">
        <f>IFERROR(__xludf.DUMMYFUNCTION("GOOGLETRANSLATE(B1567,""id"",""en"")"),"['Login', 'Code', 'Verification', 'Send', 'Employee', 'Intention', 'Sell', 'Poor', 'Telkom', 'Try', 'Tawar', 'Tawar', ' Myindi ',' Different ',' bargained ',' telephone ',' bargain ',' add ',' package ',' number ',' sympathy ',' etc. ']")</f>
        <v>['Login', 'Code', 'Verification', 'Send', 'Employee', 'Intention', 'Sell', 'Poor', 'Telkom', 'Try', 'Tawar', 'Tawar', ' Myindi ',' Different ',' bargained ',' telephone ',' bargain ',' add ',' package ',' number ',' sympathy ',' etc. ']</v>
      </c>
      <c r="D1567" s="4">
        <v>3.0</v>
      </c>
    </row>
    <row r="1568" ht="15.75" customHeight="1">
      <c r="A1568" s="1">
        <v>1707.0</v>
      </c>
      <c r="B1568" s="4" t="s">
        <v>1531</v>
      </c>
      <c r="C1568" s="4" t="str">
        <f>IFERROR(__xludf.DUMMYFUNCTION("GOOGLETRANSLATE(B1568,""id"",""en"")"),"['Technicians',' times', 'weve', 'Males',' Benerin ',' Mending ',' Dateng ',' Dateng ',' Give ',' Solution ',' Connect ',' The Prists', ' Level ',' service ',' ']")</f>
        <v>['Technicians',' times', 'weve', 'Males',' Benerin ',' Mending ',' Dateng ',' Dateng ',' Give ',' Solution ',' Connect ',' The Prists', ' Level ',' service ',' ']</v>
      </c>
      <c r="D1568" s="4">
        <v>4.0</v>
      </c>
    </row>
    <row r="1569" ht="15.75" customHeight="1">
      <c r="A1569" s="1">
        <v>1708.0</v>
      </c>
      <c r="B1569" s="4" t="s">
        <v>1532</v>
      </c>
      <c r="C1569" s="4" t="str">
        <f>IFERROR(__xludf.DUMMYFUNCTION("GOOGLETRANSLATE(B1569,""id"",""en"")"),"['Application', 'Complete', 'Feedah', 'See', 'Tagih', 'Use']")</f>
        <v>['Application', 'Complete', 'Feedah', 'See', 'Tagih', 'Use']</v>
      </c>
      <c r="D1569" s="4">
        <v>1.0</v>
      </c>
    </row>
    <row r="1570" ht="15.75" customHeight="1">
      <c r="A1570" s="1">
        <v>1709.0</v>
      </c>
      <c r="B1570" s="4" t="s">
        <v>1533</v>
      </c>
      <c r="C1570" s="4" t="str">
        <f>IFERROR(__xludf.DUMMYFUNCTION("GOOGLETRANSLATE(B1570,""id"",""en"")"),"['rotten', 'net', 'suggestion', 'indihome', 'stress', 'net', 'pulp', 'whatsapp', 'delay', 'terosss']")</f>
        <v>['rotten', 'net', 'suggestion', 'indihome', 'stress', 'net', 'pulp', 'whatsapp', 'delay', 'terosss']</v>
      </c>
      <c r="D1570" s="4">
        <v>1.0</v>
      </c>
    </row>
    <row r="1571" ht="15.75" customHeight="1">
      <c r="A1571" s="1">
        <v>1710.0</v>
      </c>
      <c r="B1571" s="4" t="s">
        <v>1534</v>
      </c>
      <c r="C1571" s="4" t="str">
        <f>IFERROR(__xludf.DUMMYFUNCTION("GOOGLETRANSLATE(B1571,""id"",""en"")"),"['lucky', 'but', '']")</f>
        <v>['lucky', 'but', '']</v>
      </c>
      <c r="D1571" s="4">
        <v>5.0</v>
      </c>
    </row>
    <row r="1572" ht="15.75" customHeight="1">
      <c r="A1572" s="1">
        <v>1711.0</v>
      </c>
      <c r="B1572" s="4" t="s">
        <v>1535</v>
      </c>
      <c r="C1572" s="4" t="str">
        <f>IFERROR(__xludf.DUMMYFUNCTION("GOOGLETRANSLATE(B1572,""id"",""en"")"),"['Details', 'tags']")</f>
        <v>['Details', 'tags']</v>
      </c>
      <c r="D1572" s="4">
        <v>2.0</v>
      </c>
    </row>
    <row r="1573" ht="15.75" customHeight="1">
      <c r="A1573" s="1">
        <v>1712.0</v>
      </c>
      <c r="B1573" s="4" t="s">
        <v>1536</v>
      </c>
      <c r="C1573" s="4" t="str">
        <f>IFERROR(__xludf.DUMMYFUNCTION("GOOGLETRANSLATE(B1573,""id"",""en"")"),"['Ngini', 'Pack', 'Net', 'Really', 'Flowing', '']")</f>
        <v>['Ngini', 'Pack', 'Net', 'Really', 'Flowing', '']</v>
      </c>
      <c r="D1573" s="4">
        <v>2.0</v>
      </c>
    </row>
    <row r="1574" ht="15.75" customHeight="1">
      <c r="A1574" s="1">
        <v>1713.0</v>
      </c>
      <c r="B1574" s="4" t="s">
        <v>1537</v>
      </c>
      <c r="C1574" s="4" t="str">
        <f>IFERROR(__xludf.DUMMYFUNCTION("GOOGLETRANSLATE(B1574,""id"",""en"")"),"['Indihome', 'Internet', 'lag', '']")</f>
        <v>['Indihome', 'Internet', 'lag', '']</v>
      </c>
      <c r="D1574" s="4">
        <v>1.0</v>
      </c>
    </row>
    <row r="1575" ht="15.75" customHeight="1">
      <c r="A1575" s="1">
        <v>1714.0</v>
      </c>
      <c r="B1575" s="4" t="s">
        <v>1538</v>
      </c>
      <c r="C1575" s="4" t="str">
        <f>IFERROR(__xludf.DUMMYFUNCTION("GOOGLETRANSLATE(B1575,""id"",""en"")"),"['Bentar', 'sell', 'Furthere', '']")</f>
        <v>['Bentar', 'sell', 'Furthere', '']</v>
      </c>
      <c r="D1575" s="4">
        <v>1.0</v>
      </c>
    </row>
    <row r="1576" ht="15.75" customHeight="1">
      <c r="A1576" s="1">
        <v>1715.0</v>
      </c>
      <c r="B1576" s="4" t="s">
        <v>1539</v>
      </c>
      <c r="C1576" s="4" t="str">
        <f>IFERROR(__xludf.DUMMYFUNCTION("GOOGLETRANSLATE(B1576,""id"",""en"")"),"['lag', 'pdhl', 'pay', 'service', 'numb', 'quality', 'wifi', 'ugly', 'lag', 'please', 'quality', 'wifi', ' Keep ',' Loss', 'Pay', 'Quality', 'MUAS', '']")</f>
        <v>['lag', 'pdhl', 'pay', 'service', 'numb', 'quality', 'wifi', 'ugly', 'lag', 'please', 'quality', 'wifi', ' Keep ',' Loss', 'Pay', 'Quality', 'MUAS', '']</v>
      </c>
      <c r="D1576" s="4">
        <v>1.0</v>
      </c>
    </row>
    <row r="1577" ht="15.75" customHeight="1">
      <c r="A1577" s="1">
        <v>1716.0</v>
      </c>
      <c r="B1577" s="4" t="s">
        <v>1540</v>
      </c>
      <c r="C1577" s="4" t="str">
        <f>IFERROR(__xludf.DUMMYFUNCTION("GOOGLETRANSLATE(B1577,""id"",""en"")"),"['constraints',' pairs', 'week', 'pairs',' technicians', 'friendly', 'really', 'no', 'medicine', 'friendly', 'love', 'clear', ' Patience ',' Mantep ',' Lahh ']")</f>
        <v>['constraints',' pairs', 'week', 'pairs',' technicians', 'friendly', 'really', 'no', 'medicine', 'friendly', 'love', 'clear', ' Patience ',' Mantep ',' Lahh ']</v>
      </c>
      <c r="D1577" s="4">
        <v>3.0</v>
      </c>
    </row>
    <row r="1578" ht="15.75" customHeight="1">
      <c r="A1578" s="1">
        <v>1717.0</v>
      </c>
      <c r="B1578" s="4" t="s">
        <v>1541</v>
      </c>
      <c r="C1578" s="4" t="str">
        <f>IFERROR(__xludf.DUMMYFUNCTION("GOOGLETRANSLATE(B1578,""id"",""en"")"),"['Ngegame', 'lag', 'really', 'padal', 'normal']")</f>
        <v>['Ngegame', 'lag', 'really', 'padal', 'normal']</v>
      </c>
      <c r="D1578" s="4">
        <v>1.0</v>
      </c>
    </row>
    <row r="1579" ht="15.75" customHeight="1">
      <c r="A1579" s="1">
        <v>1718.0</v>
      </c>
      <c r="B1579" s="4" t="s">
        <v>1542</v>
      </c>
      <c r="C1579" s="4" t="str">
        <f>IFERROR(__xludf.DUMMYFUNCTION("GOOGLETRANSLATE(B1579,""id"",""en"")"),"['Disturbs', 'Internet', 'No', 'Life', 'No', 'Beretulin', 'Indihome', 'Pay', 'Layan', 'Kayak', ""]")</f>
        <v>['Disturbs', 'Internet', 'No', 'Life', 'No', 'Beretulin', 'Indihome', 'Pay', 'Layan', 'Kayak', "]</v>
      </c>
      <c r="D1579" s="4">
        <v>5.0</v>
      </c>
    </row>
    <row r="1580" ht="15.75" customHeight="1">
      <c r="A1580" s="1">
        <v>1719.0</v>
      </c>
      <c r="B1580" s="4" t="s">
        <v>1543</v>
      </c>
      <c r="C1580" s="4" t="str">
        <f>IFERROR(__xludf.DUMMYFUNCTION("GOOGLETRANSLATE(B1580,""id"",""en"")"),"['Install', 'Indihome', 'Difficult', 'Forgiveness',' ODP ',' Slalu ',' Full ',' ODP ',' Technician ',' Office ',' Layan ',' Bad ',' the area ',' sukabumi ',' jampang ',' kulon ']")</f>
        <v>['Install', 'Indihome', 'Difficult', 'Forgiveness',' ODP ',' Slalu ',' Full ',' ODP ',' Technician ',' Office ',' Layan ',' Bad ',' the area ',' sukabumi ',' jampang ',' kulon ']</v>
      </c>
      <c r="D1580" s="4">
        <v>1.0</v>
      </c>
    </row>
    <row r="1581" ht="15.75" customHeight="1">
      <c r="A1581" s="1">
        <v>1720.0</v>
      </c>
      <c r="B1581" s="4" t="s">
        <v>1544</v>
      </c>
      <c r="C1581" s="4" t="str">
        <f>IFERROR(__xludf.DUMMYFUNCTION("GOOGLETRANSLATE(B1581,""id"",""en"")"),"['Indihome', 'Mbps', 'price', 'price', 'skrng', ""]")</f>
        <v>['Indihome', 'Mbps', 'price', 'price', 'skrng', "]</v>
      </c>
      <c r="D1581" s="4">
        <v>1.0</v>
      </c>
    </row>
    <row r="1582" ht="15.75" customHeight="1">
      <c r="A1582" s="1">
        <v>1721.0</v>
      </c>
      <c r="B1582" s="4" t="s">
        <v>108</v>
      </c>
      <c r="C1582" s="4" t="str">
        <f>IFERROR(__xludf.DUMMYFUNCTION("GOOGLETRANSLATE(B1582,""id"",""en"")"),"['', '']")</f>
        <v>['', '']</v>
      </c>
      <c r="D1582" s="4">
        <v>2.0</v>
      </c>
    </row>
    <row r="1583" ht="15.75" customHeight="1">
      <c r="A1583" s="1">
        <v>1722.0</v>
      </c>
      <c r="B1583" s="4" t="s">
        <v>1545</v>
      </c>
      <c r="C1583" s="4" t="str">
        <f>IFERROR(__xludf.DUMMYFUNCTION("GOOGLETRANSLATE(B1583,""id"",""en"")"),"['Indihome', 'net', 'wifi', 'weak', 'error', 'net', 'good', 'wifi', 'wifi', 'steady']")</f>
        <v>['Indihome', 'net', 'wifi', 'weak', 'error', 'net', 'good', 'wifi', 'wifi', 'steady']</v>
      </c>
      <c r="D1583" s="4">
        <v>1.0</v>
      </c>
    </row>
    <row r="1584" ht="15.75" customHeight="1">
      <c r="A1584" s="1">
        <v>1724.0</v>
      </c>
      <c r="B1584" s="4" t="s">
        <v>1546</v>
      </c>
      <c r="C1584" s="4" t="str">
        <f>IFERROR(__xludf.DUMMYFUNCTION("GOOGLETRANSLATE(B1584,""id"",""en"")"),"['Thank you', 'Application', 'Moga', 'Performance']")</f>
        <v>['Thank you', 'Application', 'Moga', 'Performance']</v>
      </c>
      <c r="D1584" s="4">
        <v>4.0</v>
      </c>
    </row>
    <row r="1585" ht="15.75" customHeight="1">
      <c r="A1585" s="1">
        <v>1725.0</v>
      </c>
      <c r="B1585" s="4" t="s">
        <v>1547</v>
      </c>
      <c r="C1585" s="4" t="str">
        <f>IFERROR(__xludf.DUMMYFUNCTION("GOOGLETRANSLATE(B1585,""id"",""en"")"),"['intention', 'service']")</f>
        <v>['intention', 'service']</v>
      </c>
      <c r="D1585" s="4">
        <v>1.0</v>
      </c>
    </row>
    <row r="1586" ht="15.75" customHeight="1">
      <c r="A1586" s="1">
        <v>1726.0</v>
      </c>
      <c r="B1586" s="4" t="s">
        <v>1548</v>
      </c>
      <c r="C1586" s="4" t="str">
        <f>IFERROR(__xludf.DUMMYFUNCTION("GOOGLETRANSLATE(B1586,""id"",""en"")"),"['Under', 'Construction']")</f>
        <v>['Under', 'Construction']</v>
      </c>
      <c r="D1586" s="4">
        <v>1.0</v>
      </c>
    </row>
    <row r="1587" ht="15.75" customHeight="1">
      <c r="A1587" s="1">
        <v>1727.0</v>
      </c>
      <c r="B1587" s="4" t="s">
        <v>1549</v>
      </c>
      <c r="C1587" s="4" t="str">
        <f>IFERROR(__xludf.DUMMYFUNCTION("GOOGLETRANSLATE(B1587,""id"",""en"")"),"['Update', 'enter', '']")</f>
        <v>['Update', 'enter', '']</v>
      </c>
      <c r="D1587" s="4">
        <v>4.0</v>
      </c>
    </row>
    <row r="1588" ht="15.75" customHeight="1">
      <c r="A1588" s="1">
        <v>1728.0</v>
      </c>
      <c r="B1588" s="4" t="s">
        <v>1550</v>
      </c>
      <c r="C1588" s="4" t="str">
        <f>IFERROR(__xludf.DUMMYFUNCTION("GOOGLETRANSLATE(B1588,""id"",""en"")"),"['knp', 'net', 'indihome', 'skrg', 'ugly', 'nyesel', 'kmrn', 'masang', 'indihome', 'mending', 'moved', 'republic', ' ']")</f>
        <v>['knp', 'net', 'indihome', 'skrg', 'ugly', 'nyesel', 'kmrn', 'masang', 'indihome', 'mending', 'moved', 'republic', ' ']</v>
      </c>
      <c r="D1588" s="4">
        <v>1.0</v>
      </c>
    </row>
    <row r="1589" ht="15.75" customHeight="1">
      <c r="A1589" s="1">
        <v>1729.0</v>
      </c>
      <c r="B1589" s="4" t="s">
        <v>1551</v>
      </c>
      <c r="C1589" s="4" t="str">
        <f>IFERROR(__xludf.DUMMYFUNCTION("GOOGLETRANSLATE(B1589,""id"",""en"")"),"['', 'net', 'ngelos',' Mulu ',' week ',' times', 'times',' internet ',' ilang ',' Nilagan ',' pay ',' expensive ',' pay ',' Date ',' Disturbs', 'Mulu', 'mah', 'love', 'light', 'gpp', 'deh', 'disturbing', 'mah', 'pay', 'full', 'no', 'cut', 'service', 'no',"&amp;" 'sang', 'disappointed', 'phone', 'girl', 'jutek', 'forgiveness', ""]")</f>
        <v>['', 'net', 'ngelos',' Mulu ',' week ',' times', 'times',' internet ',' ilang ',' Nilagan ',' pay ',' expensive ',' pay ',' Date ',' Disturbs', 'Mulu', 'mah', 'love', 'light', 'gpp', 'deh', 'disturbing', 'mah', 'pay', 'full', 'no', 'cut', 'service', 'no', 'sang', 'disappointed', 'phone', 'girl', 'jutek', 'forgiveness', "]</v>
      </c>
      <c r="D1589" s="4">
        <v>1.0</v>
      </c>
    </row>
    <row r="1590" ht="15.75" customHeight="1">
      <c r="A1590" s="1">
        <v>1730.0</v>
      </c>
      <c r="B1590" s="4" t="s">
        <v>1552</v>
      </c>
      <c r="C1590" s="4" t="str">
        <f>IFERROR(__xludf.DUMMYFUNCTION("GOOGLETRANSLATE(B1590,""id"",""en"")"),"['confused', 'ride', 'tags']")</f>
        <v>['confused', 'ride', 'tags']</v>
      </c>
      <c r="D1590" s="4">
        <v>1.0</v>
      </c>
    </row>
    <row r="1591" ht="15.75" customHeight="1">
      <c r="A1591" s="1">
        <v>1731.0</v>
      </c>
      <c r="B1591" s="4" t="s">
        <v>1553</v>
      </c>
      <c r="C1591" s="4" t="str">
        <f>IFERROR(__xludf.DUMMYFUNCTION("GOOGLETRANSLATE(B1591,""id"",""en"")"),"['Mantabs']")</f>
        <v>['Mantabs']</v>
      </c>
      <c r="D1591" s="4">
        <v>5.0</v>
      </c>
    </row>
    <row r="1592" ht="15.75" customHeight="1">
      <c r="A1592" s="1">
        <v>1732.0</v>
      </c>
      <c r="B1592" s="4" t="s">
        <v>1554</v>
      </c>
      <c r="C1592" s="4" t="str">
        <f>IFERROR(__xludf.DUMMYFUNCTION("GOOGLETRANSLATE(B1592,""id"",""en"")"),"['already', 'pairs', 'tags', 'ngeukunjak', 'Sebel', 'dehh', 'dipake', 'GB']")</f>
        <v>['already', 'pairs', 'tags', 'ngeukunjak', 'Sebel', 'dehh', 'dipake', 'GB']</v>
      </c>
      <c r="D1592" s="4">
        <v>1.0</v>
      </c>
    </row>
    <row r="1593" ht="15.75" customHeight="1">
      <c r="A1593" s="1">
        <v>1733.0</v>
      </c>
      <c r="B1593" s="4" t="s">
        <v>1555</v>
      </c>
      <c r="C1593" s="4" t="str">
        <f>IFERROR(__xludf.DUMMYFUNCTION("GOOGLETRANSLATE(B1593,""id"",""en"")"),"['Delete', 'Application', 'Playstore', 'Guna', '']")</f>
        <v>['Delete', 'Application', 'Playstore', 'Guna', '']</v>
      </c>
      <c r="D1593" s="4">
        <v>1.0</v>
      </c>
    </row>
    <row r="1594" ht="15.75" customHeight="1">
      <c r="A1594" s="1">
        <v>1734.0</v>
      </c>
      <c r="B1594" s="4" t="s">
        <v>1556</v>
      </c>
      <c r="C1594" s="4" t="str">
        <f>IFERROR(__xludf.DUMMYFUNCTION("GOOGLETRANSLATE(B1594,""id"",""en"")"),"['Sekar', 'signal', 'bad']")</f>
        <v>['Sekar', 'signal', 'bad']</v>
      </c>
      <c r="D1594" s="4">
        <v>1.0</v>
      </c>
    </row>
    <row r="1595" ht="15.75" customHeight="1">
      <c r="A1595" s="1">
        <v>1735.0</v>
      </c>
      <c r="B1595" s="4" t="s">
        <v>1557</v>
      </c>
      <c r="C1595" s="4" t="str">
        <f>IFERROR(__xludf.DUMMYFUNCTION("GOOGLETRANSLATE(B1595,""id"",""en"")"),"['application', 'menu', 'stop', 'subscribe']")</f>
        <v>['application', 'menu', 'stop', 'subscribe']</v>
      </c>
      <c r="D1595" s="4">
        <v>1.0</v>
      </c>
    </row>
    <row r="1596" ht="15.75" customHeight="1">
      <c r="A1596" s="1">
        <v>1736.0</v>
      </c>
      <c r="B1596" s="4" t="s">
        <v>1558</v>
      </c>
      <c r="C1596" s="4" t="str">
        <f>IFERROR(__xludf.DUMMYFUNCTION("GOOGLETRANSLATE(B1596,""id"",""en"")"),"['complain', 'SPT', 'Oktobet', 'Have', 'Wait', 'Kali', 'Report', 'Phone', 'Indihome', 'Function', ""]")</f>
        <v>['complain', 'SPT', 'Oktobet', 'Have', 'Wait', 'Kali', 'Report', 'Phone', 'Indihome', 'Function', "]</v>
      </c>
      <c r="D1596" s="4">
        <v>1.0</v>
      </c>
    </row>
    <row r="1597" ht="15.75" customHeight="1">
      <c r="A1597" s="1">
        <v>1737.0</v>
      </c>
      <c r="B1597" s="4" t="s">
        <v>1559</v>
      </c>
      <c r="C1597" s="4" t="str">
        <f>IFERROR(__xludf.DUMMYFUNCTION("GOOGLETRANSLATE(B1597,""id"",""en"")"),"['Welcome', 'friendly', 'good', 'please', 'directly', 'top', 'hyphen', 'say', 'beg', 'patient', 'progress',' process', ' list ',' hyphen ',' ngak ',' class', 'report', 'complained', 'deer', 'wifi', 'direct', 'top', 'process',' progress', 'ngak' , 'Good', "&amp;"'net', 'beg', 'good', 'good']")</f>
        <v>['Welcome', 'friendly', 'good', 'please', 'directly', 'top', 'hyphen', 'say', 'beg', 'patient', 'progress',' process', ' list ',' hyphen ',' ngak ',' class', 'report', 'complained', 'deer', 'wifi', 'direct', 'top', 'process',' progress', 'ngak' , 'Good', 'net', 'beg', 'good', 'good']</v>
      </c>
      <c r="D1597" s="4">
        <v>1.0</v>
      </c>
    </row>
    <row r="1598" ht="15.75" customHeight="1">
      <c r="A1598" s="1">
        <v>1738.0</v>
      </c>
      <c r="B1598" s="4" t="s">
        <v>1560</v>
      </c>
      <c r="C1598" s="4" t="str">
        <f>IFERROR(__xludf.DUMMYFUNCTION("GOOGLETRANSLATE(B1598,""id"",""en"")"),"['woi', 'nge', 'lag', 'mulu', 'what', 'anjg', 'woi', 'root', 'router']")</f>
        <v>['woi', 'nge', 'lag', 'mulu', 'what', 'anjg', 'woi', 'root', 'router']</v>
      </c>
      <c r="D1598" s="4">
        <v>1.0</v>
      </c>
    </row>
    <row r="1599" ht="15.75" customHeight="1">
      <c r="A1599" s="1">
        <v>1739.0</v>
      </c>
      <c r="B1599" s="4" t="s">
        <v>1561</v>
      </c>
      <c r="C1599" s="4" t="str">
        <f>IFERROR(__xludf.DUMMYFUNCTION("GOOGLETRANSLATE(B1599,""id"",""en"")"),"['Application', 'Upgrade', 'Speed', 'Upgrade', 'UDH', 'TLP', 'TAGIH', 'SCHOOL', 'Package', 'Dualplay', 'Tel', 'TPI', ' Price ',' Triple ',' Pay ',' Say ',' get ',' VAT ',' TPI ',' DRI ',' Price ',' Basic ',' Different ',' Appeal ',' friend ' , 'Triple', '"&amp;"Pay', 'Cheap', 'Gajelas']")</f>
        <v>['Application', 'Upgrade', 'Speed', 'Upgrade', 'UDH', 'TLP', 'TAGIH', 'SCHOOL', 'Package', 'Dualplay', 'Tel', 'TPI', ' Price ',' Triple ',' Pay ',' Say ',' get ',' VAT ',' TPI ',' DRI ',' Price ',' Basic ',' Different ',' Appeal ',' friend ' , 'Triple', 'Pay', 'Cheap', 'Gajelas']</v>
      </c>
      <c r="D1599" s="4">
        <v>3.0</v>
      </c>
    </row>
    <row r="1600" ht="15.75" customHeight="1">
      <c r="A1600" s="1">
        <v>1740.0</v>
      </c>
      <c r="B1600" s="4" t="s">
        <v>1562</v>
      </c>
      <c r="C1600" s="4" t="str">
        <f>IFERROR(__xludf.DUMMYFUNCTION("GOOGLETRANSLATE(B1600,""id"",""en"")"),"['Nambin', 'quota', 'Kek', 'City', 'Install', 'Full', 'trs']")</f>
        <v>['Nambin', 'quota', 'Kek', 'City', 'Install', 'Full', 'trs']</v>
      </c>
      <c r="D1600" s="4">
        <v>1.0</v>
      </c>
    </row>
    <row r="1601" ht="15.75" customHeight="1">
      <c r="A1601" s="1">
        <v>1741.0</v>
      </c>
      <c r="B1601" s="4" t="s">
        <v>1563</v>
      </c>
      <c r="C1601" s="4" t="str">
        <f>IFERROR(__xludf.DUMMYFUNCTION("GOOGLETRANSLATE(B1601,""id"",""en"")"),"['Provider', 'defective', 'disturbing', 'pay', 'gapernah', 'late', 'quality', 'liedure', 'customer']")</f>
        <v>['Provider', 'defective', 'disturbing', 'pay', 'gapernah', 'late', 'quality', 'liedure', 'customer']</v>
      </c>
      <c r="D1601" s="4">
        <v>1.0</v>
      </c>
    </row>
    <row r="1602" ht="15.75" customHeight="1">
      <c r="A1602" s="1">
        <v>1742.0</v>
      </c>
      <c r="B1602" s="4" t="s">
        <v>1564</v>
      </c>
      <c r="C1602" s="4" t="str">
        <f>IFERROR(__xludf.DUMMYFUNCTION("GOOGLETRANSLATE(B1602,""id"",""en"")"),"['Jumplah', 'TAGIH', 'Nambah', '']")</f>
        <v>['Jumplah', 'TAGIH', 'Nambah', '']</v>
      </c>
      <c r="D1602" s="4">
        <v>1.0</v>
      </c>
    </row>
    <row r="1603" ht="15.75" customHeight="1">
      <c r="A1603" s="1">
        <v>1743.0</v>
      </c>
      <c r="B1603" s="4" t="s">
        <v>1565</v>
      </c>
      <c r="C1603" s="4" t="str">
        <f>IFERROR(__xludf.DUMMYFUNCTION("GOOGLETRANSLATE(B1603,""id"",""en"")"),"['apk', 'idiot', 'verification', 'error']")</f>
        <v>['apk', 'idiot', 'verification', 'error']</v>
      </c>
      <c r="D1603" s="4">
        <v>1.0</v>
      </c>
    </row>
    <row r="1604" ht="15.75" customHeight="1">
      <c r="A1604" s="1">
        <v>1744.0</v>
      </c>
      <c r="B1604" s="4" t="s">
        <v>1566</v>
      </c>
      <c r="C1604" s="4" t="str">
        <f>IFERROR(__xludf.DUMMYFUNCTION("GOOGLETRANSLATE(B1604,""id"",""en"")"),"['GMN', 'Indihome', 'Register', 'Login', 'Strange', 'Disappointed', 'UDH', 'Register', 'List', 'Enter']")</f>
        <v>['GMN', 'Indihome', 'Register', 'Login', 'Strange', 'Disappointed', 'UDH', 'Register', 'List', 'Enter']</v>
      </c>
      <c r="D1604" s="4">
        <v>1.0</v>
      </c>
    </row>
    <row r="1605" ht="15.75" customHeight="1">
      <c r="A1605" s="1">
        <v>1745.0</v>
      </c>
      <c r="B1605" s="4" t="s">
        <v>1567</v>
      </c>
      <c r="C1605" s="4" t="str">
        <f>IFERROR(__xludf.DUMMYFUNCTION("GOOGLETRANSLATE(B1605,""id"",""en"")"),"['UDH', 'Registration', 'NGX', 'Login', 'Situ', 'Healthy', 'Value', 'MES']")</f>
        <v>['UDH', 'Registration', 'NGX', 'Login', 'Situ', 'Healthy', 'Value', 'MES']</v>
      </c>
      <c r="D1605" s="4">
        <v>1.0</v>
      </c>
    </row>
    <row r="1606" ht="15.75" customHeight="1">
      <c r="A1606" s="1">
        <v>1746.0</v>
      </c>
      <c r="B1606" s="4" t="s">
        <v>1568</v>
      </c>
      <c r="C1606" s="4" t="str">
        <f>IFERROR(__xludf.DUMMYFUNCTION("GOOGLETRANSLATE(B1606,""id"",""en"")"),"['Knpaa', 'Udaa', 'Register', 'Regiater', 'Cana', 'Enter', 'APK', 'Bener', 'bner', 'chaotic']")</f>
        <v>['Knpaa', 'Udaa', 'Register', 'Regiater', 'Cana', 'Enter', 'APK', 'Bener', 'bner', 'chaotic']</v>
      </c>
      <c r="D1606" s="4">
        <v>1.0</v>
      </c>
    </row>
    <row r="1607" ht="15.75" customHeight="1">
      <c r="A1607" s="1">
        <v>1747.0</v>
      </c>
      <c r="B1607" s="4" t="s">
        <v>1569</v>
      </c>
      <c r="C1607" s="4" t="str">
        <f>IFERROR(__xludf.DUMMYFUNCTION("GOOGLETRANSLATE(B1607,""id"",""en"")"),"['entry', 'lag', 'hell', 'data', 'entry', 'number', 'cigital', 'list', 'list', 'enter', 'service', 'me', ' thousand ',' Mbps', 'Mbps',' purpose ']")</f>
        <v>['entry', 'lag', 'hell', 'data', 'entry', 'number', 'cigital', 'list', 'list', 'enter', 'service', 'me', ' thousand ',' Mbps', 'Mbps',' purpose ']</v>
      </c>
      <c r="D1607" s="4">
        <v>1.0</v>
      </c>
    </row>
    <row r="1608" ht="15.75" customHeight="1">
      <c r="A1608" s="1">
        <v>1748.0</v>
      </c>
      <c r="B1608" s="4" t="s">
        <v>1570</v>
      </c>
      <c r="C1608" s="4" t="str">
        <f>IFERROR(__xludf.DUMMYFUNCTION("GOOGLETRANSLATE(B1608,""id"",""en"")"),"['update', 'technicians', 'pairs', 'fees', 'added', 'million', 'great', 'service', 'indihome', '']")</f>
        <v>['update', 'technicians', 'pairs', 'fees', 'added', 'million', 'great', 'service', 'indihome', '']</v>
      </c>
      <c r="D1608" s="4">
        <v>1.0</v>
      </c>
    </row>
    <row r="1609" ht="15.75" customHeight="1">
      <c r="A1609" s="1">
        <v>1749.0</v>
      </c>
      <c r="B1609" s="4" t="s">
        <v>1571</v>
      </c>
      <c r="C1609" s="4" t="str">
        <f>IFERROR(__xludf.DUMMYFUNCTION("GOOGLETRANSLATE(B1609,""id"",""en"")"),"['Login', 'yaa', 'already', 'install', 'reset', 'tetep', 'login']")</f>
        <v>['Login', 'yaa', 'already', 'install', 'reset', 'tetep', 'login']</v>
      </c>
      <c r="D1609" s="4">
        <v>1.0</v>
      </c>
    </row>
    <row r="1610" ht="15.75" customHeight="1">
      <c r="A1610" s="1">
        <v>1750.0</v>
      </c>
      <c r="B1610" s="4" t="s">
        <v>1572</v>
      </c>
      <c r="C1610" s="4" t="str">
        <f>IFERROR(__xludf.DUMMYFUNCTION("GOOGLETRANSLATE(B1610,""id"",""en"")"),"['Application', 'Login', 'Application', 'Enter', 'Untk', 'Cook', 'Did', 'undefined', 'Karepmu', 'OPO', 'IKI', 'Pay', ' tags', 'ojok', 'naek', 'then', 'promise', 'flat', 'iso', 'naek', 'sak', 'rich', ""]")</f>
        <v>['Application', 'Login', 'Application', 'Enter', 'Untk', 'Cook', 'Did', 'undefined', 'Karepmu', 'OPO', 'IKI', 'Pay', ' tags', 'ojok', 'naek', 'then', 'promise', 'flat', 'iso', 'naek', 'sak', 'rich', "]</v>
      </c>
      <c r="D1610" s="4">
        <v>1.0</v>
      </c>
    </row>
    <row r="1611" ht="15.75" customHeight="1">
      <c r="A1611" s="1">
        <v>1751.0</v>
      </c>
      <c r="B1611" s="4" t="s">
        <v>1573</v>
      </c>
      <c r="C1611" s="4" t="str">
        <f>IFERROR(__xludf.DUMMYFUNCTION("GOOGLETRANSLATE(B1611,""id"",""en"")"),"['failed', 'Login', '']")</f>
        <v>['failed', 'Login', '']</v>
      </c>
      <c r="D1611" s="4">
        <v>1.0</v>
      </c>
    </row>
    <row r="1612" ht="15.75" customHeight="1">
      <c r="A1612" s="1">
        <v>1752.0</v>
      </c>
      <c r="B1612" s="4" t="s">
        <v>1574</v>
      </c>
      <c r="C1612" s="4" t="str">
        <f>IFERROR(__xludf.DUMMYFUNCTION("GOOGLETRANSLATE(B1612,""id"",""en"")"),"['entry', 'failed', 'base', 'difficult', 'times', 'APK', 'Please', 'set', 'reset']")</f>
        <v>['entry', 'failed', 'base', 'difficult', 'times', 'APK', 'Please', 'set', 'reset']</v>
      </c>
      <c r="D1612" s="4">
        <v>1.0</v>
      </c>
    </row>
    <row r="1613" ht="15.75" customHeight="1">
      <c r="A1613" s="1">
        <v>1753.0</v>
      </c>
      <c r="B1613" s="4" t="s">
        <v>1575</v>
      </c>
      <c r="C1613" s="4" t="str">
        <f>IFERROR(__xludf.DUMMYFUNCTION("GOOGLETRANSLATE(B1613,""id"",""en"")"),"['screen', 'appears', 'myindihome', 'click', 'what', 'scroll', 'knp', '']")</f>
        <v>['screen', 'appears', 'myindihome', 'click', 'what', 'scroll', 'knp', '']</v>
      </c>
      <c r="D1613" s="4">
        <v>3.0</v>
      </c>
    </row>
    <row r="1614" ht="15.75" customHeight="1">
      <c r="A1614" s="1">
        <v>1754.0</v>
      </c>
      <c r="B1614" s="4" t="s">
        <v>1576</v>
      </c>
      <c r="C1614" s="4" t="str">
        <f>IFERROR(__xludf.DUMMYFUNCTION("GOOGLETRANSLATE(B1614,""id"",""en"")"),"['Udh', 'gnti', 'package', 'pay', 'cheap', 'expensive', 'that way', 'strange']")</f>
        <v>['Udh', 'gnti', 'package', 'pay', 'cheap', 'expensive', 'that way', 'strange']</v>
      </c>
      <c r="D1614" s="4">
        <v>1.0</v>
      </c>
    </row>
    <row r="1615" ht="15.75" customHeight="1">
      <c r="A1615" s="1">
        <v>1755.0</v>
      </c>
      <c r="B1615" s="4" t="s">
        <v>1577</v>
      </c>
      <c r="C1615" s="4" t="str">
        <f>IFERROR(__xludf.DUMMYFUNCTION("GOOGLETRANSLATE(B1615,""id"",""en"")"),"['account', 'Indihome', 'right', 'log', 'complain', 'net', 'disturbing', 'indihome']")</f>
        <v>['account', 'Indihome', 'right', 'log', 'complain', 'net', 'disturbing', 'indihome']</v>
      </c>
      <c r="D1615" s="4">
        <v>2.0</v>
      </c>
    </row>
    <row r="1616" ht="15.75" customHeight="1">
      <c r="A1616" s="1">
        <v>1756.0</v>
      </c>
      <c r="B1616" s="4" t="s">
        <v>1578</v>
      </c>
      <c r="C1616" s="4" t="str">
        <f>IFERROR(__xludf.DUMMYFUNCTION("GOOGLETRANSLATE(B1616,""id"",""en"")"),"['Login', 'account', 'Registration', 'Time', 'Tetep', 'Severe']")</f>
        <v>['Login', 'account', 'Registration', 'Time', 'Tetep', 'Severe']</v>
      </c>
      <c r="D1616" s="4">
        <v>1.0</v>
      </c>
    </row>
    <row r="1617" ht="15.75" customHeight="1">
      <c r="A1617" s="1">
        <v>1757.0</v>
      </c>
      <c r="B1617" s="4" t="s">
        <v>1579</v>
      </c>
      <c r="C1617" s="4" t="str">
        <f>IFERROR(__xludf.DUMMYFUNCTION("GOOGLETRANSLATE(B1617,""id"",""en"")"),"['Tagih']")</f>
        <v>['Tagih']</v>
      </c>
      <c r="D1617" s="4">
        <v>1.0</v>
      </c>
    </row>
    <row r="1618" ht="15.75" customHeight="1">
      <c r="A1618" s="1">
        <v>1758.0</v>
      </c>
      <c r="B1618" s="4" t="s">
        <v>1580</v>
      </c>
      <c r="C1618" s="4" t="str">
        <f>IFERROR(__xludf.DUMMYFUNCTION("GOOGLETRANSLATE(B1618,""id"",""en"")"),"['Indihome', 'Main', 'Game', 'Moba', 'Ping', 'Down', 'Sampe', 'Red', 'Lag', 'Severe', 'Fast', 'Mb', ' gadgets', 'loss',' pay ',' expensive ',' please ',' good ',' subscribe ',' over ',' vendor ',' sorry ',' star ',' underrated ']")</f>
        <v>['Indihome', 'Main', 'Game', 'Moba', 'Ping', 'Down', 'Sampe', 'Red', 'Lag', 'Severe', 'Fast', 'Mb', ' gadgets', 'loss',' pay ',' expensive ',' please ',' good ',' subscribe ',' over ',' vendor ',' sorry ',' star ',' underrated ']</v>
      </c>
      <c r="D1618" s="4">
        <v>1.0</v>
      </c>
    </row>
    <row r="1619" ht="15.75" customHeight="1">
      <c r="A1619" s="1">
        <v>1759.0</v>
      </c>
      <c r="B1619" s="4" t="s">
        <v>1581</v>
      </c>
      <c r="C1619" s="4" t="str">
        <f>IFERROR(__xludf.DUMMYFUNCTION("GOOGLETRANSLATE(B1619,""id"",""en"")"),"['INDIHOME', 'BERES', 'Login', 'times', 'Time', 'Tetep', 'Fail']")</f>
        <v>['INDIHOME', 'BERES', 'Login', 'times', 'Time', 'Tetep', 'Fail']</v>
      </c>
      <c r="D1619" s="4">
        <v>1.0</v>
      </c>
    </row>
    <row r="1620" ht="15.75" customHeight="1">
      <c r="A1620" s="1">
        <v>1760.0</v>
      </c>
      <c r="B1620" s="4" t="s">
        <v>1582</v>
      </c>
      <c r="C1620" s="4" t="str">
        <f>IFERROR(__xludf.DUMMYFUNCTION("GOOGLETRANSLATE(B1620,""id"",""en"")"),"['apk', 'indihome', 'entry', 'address', 'email', 'tetep', 'fail', 'enter', '']")</f>
        <v>['apk', 'indihome', 'entry', 'address', 'email', 'tetep', 'fail', 'enter', '']</v>
      </c>
      <c r="D1620" s="4">
        <v>1.0</v>
      </c>
    </row>
    <row r="1621" ht="15.75" customHeight="1">
      <c r="A1621" s="1">
        <v>1761.0</v>
      </c>
      <c r="B1621" s="4" t="s">
        <v>1583</v>
      </c>
      <c r="C1621" s="4" t="str">
        <f>IFERROR(__xludf.DUMMYFUNCTION("GOOGLETRANSLATE(B1621,""id"",""en"")"),"['application']")</f>
        <v>['application']</v>
      </c>
      <c r="D1621" s="4">
        <v>1.0</v>
      </c>
    </row>
    <row r="1622" ht="15.75" customHeight="1">
      <c r="A1622" s="1">
        <v>1762.0</v>
      </c>
      <c r="B1622" s="4" t="s">
        <v>1584</v>
      </c>
      <c r="C1622" s="4" t="str">
        <f>IFERROR(__xludf.DUMMYFUNCTION("GOOGLETRANSLATE(B1622,""id"",""en"")"),"['Info', 'TLP', 'Minutes', 'Minutes', 'Free', 'Info', 'LIAT', '']")</f>
        <v>['Info', 'TLP', 'Minutes', 'Minutes', 'Free', 'Info', 'LIAT', '']</v>
      </c>
      <c r="D1622" s="4">
        <v>1.0</v>
      </c>
    </row>
    <row r="1623" ht="15.75" customHeight="1">
      <c r="A1623" s="1">
        <v>1763.0</v>
      </c>
      <c r="B1623" s="4" t="s">
        <v>1585</v>
      </c>
      <c r="C1623" s="4" t="str">
        <f>IFERROR(__xludf.DUMMYFUNCTION("GOOGLETRANSLATE(B1623,""id"",""en"")"),"['', 'login', 'failed', 'application', 'net', 'Buriq']")</f>
        <v>['', 'login', 'failed', 'application', 'net', 'Buriq']</v>
      </c>
      <c r="D1623" s="4">
        <v>1.0</v>
      </c>
    </row>
    <row r="1624" ht="15.75" customHeight="1">
      <c r="A1624" s="1">
        <v>1764.0</v>
      </c>
      <c r="B1624" s="4" t="s">
        <v>1586</v>
      </c>
      <c r="C1624" s="4" t="str">
        <f>IFERROR(__xludf.DUMMYFUNCTION("GOOGLETRANSLATE(B1624,""id"",""en"")"),"['Malem', 'Disturbs',' Sunday ',' Disguard ',' Top ',' Disturbs', 'Severe', 'Severe', 'Severe', 'Please', 'Technician', 'Bener', ' Loss', 'Consumer']")</f>
        <v>['Malem', 'Disturbs',' Sunday ',' Disguard ',' Top ',' Disturbs', 'Severe', 'Severe', 'Severe', 'Please', 'Technician', 'Bener', ' Loss', 'Consumer']</v>
      </c>
      <c r="D1624" s="4">
        <v>1.0</v>
      </c>
    </row>
    <row r="1625" ht="15.75" customHeight="1">
      <c r="A1625" s="1">
        <v>1765.0</v>
      </c>
      <c r="B1625" s="4" t="s">
        <v>1587</v>
      </c>
      <c r="C1625" s="4" t="str">
        <f>IFERROR(__xludf.DUMMYFUNCTION("GOOGLETRANSLATE(B1625,""id"",""en"")"),"['No', 'Login']")</f>
        <v>['No', 'Login']</v>
      </c>
      <c r="D1625" s="4">
        <v>1.0</v>
      </c>
    </row>
    <row r="1626" ht="15.75" customHeight="1">
      <c r="A1626" s="1">
        <v>1766.0</v>
      </c>
      <c r="B1626" s="4" t="s">
        <v>1588</v>
      </c>
      <c r="C1626" s="4" t="str">
        <f>IFERROR(__xludf.DUMMYFUNCTION("GOOGLETRANSLATE(B1626,""id"",""en"")"),"['Bad', 'Login']")</f>
        <v>['Bad', 'Login']</v>
      </c>
      <c r="D1626" s="4">
        <v>1.0</v>
      </c>
    </row>
    <row r="1627" ht="15.75" customHeight="1">
      <c r="A1627" s="1">
        <v>1767.0</v>
      </c>
      <c r="B1627" s="4" t="s">
        <v>1589</v>
      </c>
      <c r="C1627" s="4" t="str">
        <f>IFERROR(__xludf.DUMMYFUNCTION("GOOGLETRANSLATE(B1627,""id"",""en"")"),"['wooIII', 'Indihome', 'signal', 'browsing', 'streaming', 'medsos',' etc. ',' smooth ',' play ',' game ',' Nge ',' lag ',' ping ',' yellow ',' please ',' good ',' disappointed ',' subscribe ',' ']")</f>
        <v>['wooIII', 'Indihome', 'signal', 'browsing', 'streaming', 'medsos',' etc. ',' smooth ',' play ',' game ',' Nge ',' lag ',' ping ',' yellow ',' please ',' good ',' disappointed ',' subscribe ',' ']</v>
      </c>
      <c r="D1627" s="4">
        <v>1.0</v>
      </c>
    </row>
    <row r="1628" ht="15.75" customHeight="1">
      <c r="A1628" s="1">
        <v>1768.0</v>
      </c>
      <c r="B1628" s="4" t="s">
        <v>1590</v>
      </c>
      <c r="C1628" s="4" t="str">
        <f>IFERROR(__xludf.DUMMYFUNCTION("GOOGLETRANSLATE(B1628,""id"",""en"")"),"['Change', 'Device', 'Open', 'Application', 'Reset', 'Time', 'Try', 'Use', 'Email', 'Number', 'Failed', 'Login', ' Device ',' Log ',' Out ',' PEAH ']")</f>
        <v>['Change', 'Device', 'Open', 'Application', 'Reset', 'Time', 'Try', 'Use', 'Email', 'Number', 'Failed', 'Login', ' Device ',' Log ',' Out ',' PEAH ']</v>
      </c>
      <c r="D1628" s="4">
        <v>1.0</v>
      </c>
    </row>
    <row r="1629" ht="15.75" customHeight="1">
      <c r="A1629" s="1">
        <v>1769.0</v>
      </c>
      <c r="B1629" s="4" t="s">
        <v>1591</v>
      </c>
      <c r="C1629" s="4" t="str">
        <f>IFERROR(__xludf.DUMMYFUNCTION("GOOGLETRANSLATE(B1629,""id"",""en"")"),"['Gabisa', 'Login', 'Application', 'Indihome', 'Read', 'FAIL']")</f>
        <v>['Gabisa', 'Login', 'Application', 'Indihome', 'Read', 'FAIL']</v>
      </c>
      <c r="D1629" s="4">
        <v>2.0</v>
      </c>
    </row>
    <row r="1630" ht="15.75" customHeight="1">
      <c r="A1630" s="1">
        <v>1770.0</v>
      </c>
      <c r="B1630" s="4" t="s">
        <v>1592</v>
      </c>
      <c r="C1630" s="4" t="str">
        <f>IFERROR(__xludf.DUMMYFUNCTION("GOOGLETRANSLATE(B1630,""id"",""en"")"),"['mobile', 'legends', 'alternating', 'Kek', 'that's', 'wkwkw', 'severe', 'siii']")</f>
        <v>['mobile', 'legends', 'alternating', 'Kek', 'that's', 'wkwkw', 'severe', 'siii']</v>
      </c>
      <c r="D1630" s="4">
        <v>1.0</v>
      </c>
    </row>
    <row r="1631" ht="15.75" customHeight="1">
      <c r="A1631" s="1">
        <v>1771.0</v>
      </c>
      <c r="B1631" s="4" t="s">
        <v>1593</v>
      </c>
      <c r="C1631" s="4" t="str">
        <f>IFERROR(__xludf.DUMMYFUNCTION("GOOGLETRANSLATE(B1631,""id"",""en"")"),"['min', 'please', 'good', 'perfoma', 'application', 'log', 'enter', 'menu', 'over', 'menu', 'menu', 'like', ' lag ',' Please ',' Monitor ',' Thank you ']")</f>
        <v>['min', 'please', 'good', 'perfoma', 'application', 'log', 'enter', 'menu', 'over', 'menu', 'menu', 'like', ' lag ',' Please ',' Monitor ',' Thank you ']</v>
      </c>
      <c r="D1631" s="4">
        <v>3.0</v>
      </c>
    </row>
    <row r="1632" ht="15.75" customHeight="1">
      <c r="A1632" s="1">
        <v>1772.0</v>
      </c>
      <c r="B1632" s="4" t="s">
        <v>1594</v>
      </c>
      <c r="C1632" s="4" t="str">
        <f>IFERROR(__xludf.DUMMYFUNCTION("GOOGLETRANSLATE(B1632,""id"",""en"")"),"['Knpa', 'sya', 'can', 'log', 'sya', 'cba', 'input', 'register', 'dkeola', 'krna', 'tedftr', 'sya', ' Try ',' Log ',' Disolak ',' Krna ',' undefined ',' Please ',' Help ',' ']")</f>
        <v>['Knpa', 'sya', 'can', 'log', 'sya', 'cba', 'input', 'register', 'dkeola', 'krna', 'tedftr', 'sya', ' Try ',' Log ',' Disolak ',' Krna ',' undefined ',' Please ',' Help ',' ']</v>
      </c>
      <c r="D1632" s="4">
        <v>2.0</v>
      </c>
    </row>
    <row r="1633" ht="15.75" customHeight="1">
      <c r="A1633" s="1">
        <v>1773.0</v>
      </c>
      <c r="B1633" s="4" t="s">
        <v>1595</v>
      </c>
      <c r="C1633" s="4" t="str">
        <f>IFERROR(__xludf.DUMMYFUNCTION("GOOGLETRANSLATE(B1633,""id"",""en"")"),"['Good', 'net', 'game', 'difficult', 'forgiveness', 'jammed', 'rua', 'net']")</f>
        <v>['Good', 'net', 'game', 'difficult', 'forgiveness', 'jammed', 'rua', 'net']</v>
      </c>
      <c r="D1633" s="4">
        <v>1.0</v>
      </c>
    </row>
    <row r="1634" ht="15.75" customHeight="1">
      <c r="A1634" s="1">
        <v>1774.0</v>
      </c>
      <c r="B1634" s="4" t="s">
        <v>1596</v>
      </c>
      <c r="C1634" s="4" t="str">
        <f>IFERROR(__xludf.DUMMYFUNCTION("GOOGLETRANSLATE(B1634,""id"",""en"")"),"['Application', 'Login', 'Severe', '']")</f>
        <v>['Application', 'Login', 'Severe', '']</v>
      </c>
      <c r="D1634" s="4">
        <v>1.0</v>
      </c>
    </row>
    <row r="1635" ht="15.75" customHeight="1">
      <c r="A1635" s="1">
        <v>1775.0</v>
      </c>
      <c r="B1635" s="4" t="s">
        <v>1597</v>
      </c>
      <c r="C1635" s="4" t="str">
        <f>IFERROR(__xludf.DUMMYFUNCTION("GOOGLETRANSLATE(B1635,""id"",""en"")"),"['Severe', 'Login', 'Padah']")</f>
        <v>['Severe', 'Login', 'Padah']</v>
      </c>
      <c r="D1635" s="4">
        <v>1.0</v>
      </c>
    </row>
    <row r="1636" ht="15.75" customHeight="1">
      <c r="A1636" s="1">
        <v>1776.0</v>
      </c>
      <c r="B1636" s="4" t="s">
        <v>1598</v>
      </c>
      <c r="C1636" s="4" t="str">
        <f>IFERROR(__xludf.DUMMYFUNCTION("GOOGLETRANSLATE(B1636,""id"",""en"")"),"['Net', 'Indihome', 'Kayak', 'card', 'abal', ""]")</f>
        <v>['Net', 'Indihome', 'Kayak', 'card', 'abal', "]</v>
      </c>
      <c r="D1636" s="4">
        <v>1.0</v>
      </c>
    </row>
    <row r="1637" ht="15.75" customHeight="1">
      <c r="A1637" s="1">
        <v>1777.0</v>
      </c>
      <c r="B1637" s="4" t="s">
        <v>1599</v>
      </c>
      <c r="C1637" s="4" t="str">
        <f>IFERROR(__xludf.DUMMYFUNCTION("GOOGLETRANSLATE(B1637,""id"",""en"")"),"['Provider', 'garbage']")</f>
        <v>['Provider', 'garbage']</v>
      </c>
      <c r="D1637" s="4">
        <v>1.0</v>
      </c>
    </row>
    <row r="1638" ht="15.75" customHeight="1">
      <c r="A1638" s="1">
        <v>1778.0</v>
      </c>
      <c r="B1638" s="4" t="s">
        <v>1600</v>
      </c>
      <c r="C1638" s="4" t="str">
        <f>IFERROR(__xludf.DUMMYFUNCTION("GOOGLETRANSLATE(B1638,""id"",""en"")"),"['undefined', 'failed', 'bro', 'business', 'state', 'can', 'billion', 'dollar', 'garbage']")</f>
        <v>['undefined', 'failed', 'bro', 'business', 'state', 'can', 'billion', 'dollar', 'garbage']</v>
      </c>
      <c r="D1638" s="4">
        <v>2.0</v>
      </c>
    </row>
    <row r="1639" ht="15.75" customHeight="1">
      <c r="A1639" s="1">
        <v>1779.0</v>
      </c>
      <c r="B1639" s="4" t="s">
        <v>1165</v>
      </c>
      <c r="C1639" s="4" t="str">
        <f>IFERROR(__xludf.DUMMYFUNCTION("GOOGLETRANSLATE(B1639,""id"",""en"")"),"['Login', '']")</f>
        <v>['Login', '']</v>
      </c>
      <c r="D1639" s="4">
        <v>1.0</v>
      </c>
    </row>
    <row r="1640" ht="15.75" customHeight="1">
      <c r="A1640" s="1">
        <v>1780.0</v>
      </c>
      <c r="B1640" s="4" t="s">
        <v>1601</v>
      </c>
      <c r="C1640" s="4" t="str">
        <f>IFERROR(__xludf.DUMMYFUNCTION("GOOGLETRANSLATE(B1640,""id"",""en"")"),"['', 'login', 'log', 'out', 'failed', 'undefined', 'read', 'service', 'bad', 'application', 'star', 'minus',' pressing ',' ']")</f>
        <v>['', 'login', 'log', 'out', 'failed', 'undefined', 'read', 'service', 'bad', 'application', 'star', 'minus',' pressing ',' ']</v>
      </c>
      <c r="D1640" s="4">
        <v>1.0</v>
      </c>
    </row>
    <row r="1641" ht="15.75" customHeight="1">
      <c r="A1641" s="1">
        <v>1781.0</v>
      </c>
      <c r="B1641" s="4" t="s">
        <v>1602</v>
      </c>
      <c r="C1641" s="4" t="str">
        <f>IFERROR(__xludf.DUMMYFUNCTION("GOOGLETRANSLATE(B1641,""id"",""en"")"),"['Please', 'payati', 'karayawan', 'partner', 'kid', 'direct', 'fired', '']")</f>
        <v>['Please', 'payati', 'karayawan', 'partner', 'kid', 'direct', 'fired', '']</v>
      </c>
      <c r="D1641" s="4">
        <v>1.0</v>
      </c>
    </row>
    <row r="1642" ht="15.75" customHeight="1">
      <c r="A1642" s="1">
        <v>1782.0</v>
      </c>
      <c r="B1642" s="4" t="s">
        <v>1603</v>
      </c>
      <c r="C1642" s="4" t="str">
        <f>IFERROR(__xludf.DUMMYFUNCTION("GOOGLETRANSLATE(B1642,""id"",""en"")"),"['times', 'technicians', 'good', 'cable', 'broke', 'response', 'technicians', 'call', 'hours', 'work', 'wake up', 'what' Tagih ',' service ',' bad ',' ']")</f>
        <v>['times', 'technicians', 'good', 'cable', 'broke', 'response', 'technicians', 'call', 'hours', 'work', 'wake up', 'what' Tagih ',' service ',' bad ',' ']</v>
      </c>
      <c r="D1642" s="4">
        <v>1.0</v>
      </c>
    </row>
    <row r="1643" ht="15.75" customHeight="1">
      <c r="A1643" s="1">
        <v>1783.0</v>
      </c>
      <c r="B1643" s="4" t="s">
        <v>1604</v>
      </c>
      <c r="C1643" s="4" t="str">
        <f>IFERROR(__xludf.DUMMYFUNCTION("GOOGLETRANSLATE(B1643,""id"",""en"")"),"['App', 'Apain', 'Move', 'Home', 'Add', 'Net', 'ugly', 'Layan', '']")</f>
        <v>['App', 'Apain', 'Move', 'Home', 'Add', 'Net', 'ugly', 'Layan', '']</v>
      </c>
      <c r="D1643" s="4">
        <v>1.0</v>
      </c>
    </row>
    <row r="1644" ht="15.75" customHeight="1">
      <c r="A1644" s="1">
        <v>1784.0</v>
      </c>
      <c r="B1644" s="4" t="s">
        <v>1605</v>
      </c>
      <c r="C1644" s="4" t="str">
        <f>IFERROR(__xludf.DUMMYFUNCTION("GOOGLETRANSLATE(B1644,""id"",""en"")"),"['', 'bad', 'internet', 'lot', 'nets',' break up ',' December ',' Sampe ',' Cape ',' call ',' Call ',' Center ',' center ',' Only ',' Task ',' Dateng ',' ']")</f>
        <v>['', 'bad', 'internet', 'lot', 'nets',' break up ',' December ',' Sampe ',' Cape ',' call ',' Call ',' Center ',' center ',' Only ',' Task ',' Dateng ',' ']</v>
      </c>
      <c r="D1644" s="4">
        <v>1.0</v>
      </c>
    </row>
    <row r="1645" ht="15.75" customHeight="1">
      <c r="A1645" s="1">
        <v>1785.0</v>
      </c>
      <c r="B1645" s="4" t="s">
        <v>1606</v>
      </c>
      <c r="C1645" s="4" t="str">
        <f>IFERROR(__xludf.DUMMYFUNCTION("GOOGLETRANSLATE(B1645,""id"",""en"")"),"['Net', 'Internet', 'City', 'Ambon', 'Problems',' Comfortable ',' Difficult ',' Cutting ',' Tasks', 'Indihome', 'Area', 'Ambon', ' ']")</f>
        <v>['Net', 'Internet', 'City', 'Ambon', 'Problems',' Comfortable ',' Difficult ',' Cutting ',' Tasks', 'Indihome', 'Area', 'Ambon', ' ']</v>
      </c>
      <c r="D1645" s="4">
        <v>1.0</v>
      </c>
    </row>
    <row r="1646" ht="15.75" customHeight="1">
      <c r="A1646" s="1">
        <v>1786.0</v>
      </c>
      <c r="B1646" s="4" t="s">
        <v>1607</v>
      </c>
      <c r="C1646" s="4" t="str">
        <f>IFERROR(__xludf.DUMMYFUNCTION("GOOGLETRANSLATE(B1646,""id"",""en"")"),"['Disappointed', 'Indihome', 'Masang', 'Slot', 'Full', 'Wait', 'Unplug', 'Place', 'Home', 'Citizens',' House ',' Slot ',' ODP ',' available ',' slot ',' ya't ',' kasi ',' child ',' child ',' told ',' online ',' pjj ',' pay ',' use ',' provider ' , 'Indiho"&amp;"me', 'recommendation', 'provider', 'info']")</f>
        <v>['Disappointed', 'Indihome', 'Masang', 'Slot', 'Full', 'Wait', 'Unplug', 'Place', 'Home', 'Citizens',' House ',' Slot ',' ODP ',' available ',' slot ',' ya't ',' kasi ',' child ',' child ',' told ',' online ',' pjj ',' pay ',' use ',' provider ' , 'Indihome', 'recommendation', 'provider', 'info']</v>
      </c>
      <c r="D1646" s="4">
        <v>1.0</v>
      </c>
    </row>
    <row r="1647" ht="15.75" customHeight="1">
      <c r="A1647" s="1">
        <v>1787.0</v>
      </c>
      <c r="B1647" s="4" t="s">
        <v>1608</v>
      </c>
      <c r="C1647" s="4" t="str">
        <f>IFERROR(__xludf.DUMMYFUNCTION("GOOGLETRANSLATE(B1647,""id"",""en"")"),"['knp', 'yaa', 'you', 'tube', 'smooth', 'knp', 'mobile', 'lagends',' lot ',' really ',' please ',' comfortable ',' ']")</f>
        <v>['knp', 'yaa', 'you', 'tube', 'smooth', 'knp', 'mobile', 'lagends',' lot ',' really ',' please ',' comfortable ',' ']</v>
      </c>
      <c r="D1647" s="4">
        <v>2.0</v>
      </c>
    </row>
    <row r="1648" ht="15.75" customHeight="1">
      <c r="A1648" s="1">
        <v>1789.0</v>
      </c>
      <c r="B1648" s="4" t="s">
        <v>1609</v>
      </c>
      <c r="C1648" s="4" t="str">
        <f>IFERROR(__xludf.DUMMYFUNCTION("GOOGLETRANSLATE(B1648,""id"",""en"")"),"['Inetnya', 'Lot', 'like', 'broke', 'Mbps',' use ',' Android ',' for a while ',' for a while ',' Lot ',' SBNTAR ',' net ',' Disconnect ',' already ',' bnyak ',' fight ',' lot ',' post ',' date ',' clock ',' internet ',' function ',' clock ',' noon ',' rep"&amp;"ort ' , 'Sampe', 'seconds', 'Blm', '']")</f>
        <v>['Inetnya', 'Lot', 'like', 'broke', 'Mbps',' use ',' Android ',' for a while ',' for a while ',' Lot ',' SBNTAR ',' net ',' Disconnect ',' already ',' bnyak ',' fight ',' lot ',' post ',' date ',' clock ',' internet ',' function ',' clock ',' noon ',' report ' , 'Sampe', 'seconds', 'Blm', '']</v>
      </c>
      <c r="D1648" s="4">
        <v>1.0</v>
      </c>
    </row>
    <row r="1649" ht="15.75" customHeight="1">
      <c r="A1649" s="1">
        <v>1790.0</v>
      </c>
      <c r="B1649" s="4" t="s">
        <v>1610</v>
      </c>
      <c r="C1649" s="4" t="str">
        <f>IFERROR(__xludf.DUMMYFUNCTION("GOOGLETRANSLATE(B1649,""id"",""en"")"),"['service', 'Indihome', 'bad', 'slow', 'hand', 'cs',' fight ',' Tuesday ',' morning ',' indihome ',' promise ',' week ',' Team ',' Technicians', 'Customer', 'Disappointed']")</f>
        <v>['service', 'Indihome', 'bad', 'slow', 'hand', 'cs',' fight ',' Tuesday ',' morning ',' indihome ',' promise ',' week ',' Team ',' Technicians', 'Customer', 'Disappointed']</v>
      </c>
      <c r="D1649" s="4">
        <v>1.0</v>
      </c>
    </row>
    <row r="1650" ht="15.75" customHeight="1">
      <c r="A1650" s="1">
        <v>1791.0</v>
      </c>
      <c r="B1650" s="4" t="s">
        <v>1611</v>
      </c>
      <c r="C1650" s="4" t="str">
        <f>IFERROR(__xludf.DUMMYFUNCTION("GOOGLETRANSLATE(B1650,""id"",""en"")"),"['Really', 'Disappointed', 'Subscribe', 'Move', 'Address',' Confirm ',' Solution ',' Help ',' What ',' Take ',' Telkom ',' Center ',' money ',' deposit ',' use ',' indihome ',' address', 'send', 'email', 'login', 'register', 'apps',' indihome ',' please '"&amp;",' donk ' , 'obviously', 'relevant', 'thank', 'love']")</f>
        <v>['Really', 'Disappointed', 'Subscribe', 'Move', 'Address',' Confirm ',' Solution ',' Help ',' What ',' Take ',' Telkom ',' Center ',' money ',' deposit ',' use ',' indihome ',' address', 'send', 'email', 'login', 'register', 'apps',' indihome ',' please ',' donk ' , 'obviously', 'relevant', 'thank', 'love']</v>
      </c>
      <c r="D1650" s="4">
        <v>1.0</v>
      </c>
    </row>
    <row r="1651" ht="15.75" customHeight="1">
      <c r="A1651" s="1">
        <v>1792.0</v>
      </c>
      <c r="B1651" s="4" t="s">
        <v>1612</v>
      </c>
      <c r="C1651" s="4" t="str">
        <f>IFERROR(__xludf.DUMMYFUNCTION("GOOGLETRANSLATE(B1651,""id"",""en"")"),"['net', 'please', 'woi', 'jiancok', 'mending', 'pull out', 'ngeselin', 'chapter', '']")</f>
        <v>['net', 'please', 'woi', 'jiancok', 'mending', 'pull out', 'ngeselin', 'chapter', '']</v>
      </c>
      <c r="D1651" s="4">
        <v>5.0</v>
      </c>
    </row>
    <row r="1652" ht="15.75" customHeight="1">
      <c r="A1652" s="1">
        <v>1793.0</v>
      </c>
      <c r="B1652" s="4" t="s">
        <v>1613</v>
      </c>
      <c r="C1652" s="4" t="str">
        <f>IFERROR(__xludf.DUMMYFUNCTION("GOOGLETRANSLATE(B1652,""id"",""en"")"),"['application', 'bugs', 'click', '']")</f>
        <v>['application', 'bugs', 'click', '']</v>
      </c>
      <c r="D1652" s="4">
        <v>1.0</v>
      </c>
    </row>
    <row r="1653" ht="15.75" customHeight="1">
      <c r="A1653" s="1">
        <v>1794.0</v>
      </c>
      <c r="B1653" s="4" t="s">
        <v>1614</v>
      </c>
      <c r="C1653" s="4" t="str">
        <f>IFERROR(__xludf.DUMMYFUNCTION("GOOGLETRANSLATE(B1653,""id"",""en"")"),"['front', 'feature', 'missing']")</f>
        <v>['front', 'feature', 'missing']</v>
      </c>
      <c r="D1653" s="4">
        <v>1.0</v>
      </c>
    </row>
    <row r="1654" ht="15.75" customHeight="1">
      <c r="A1654" s="1">
        <v>1795.0</v>
      </c>
      <c r="B1654" s="4" t="s">
        <v>1615</v>
      </c>
      <c r="C1654" s="4" t="str">
        <f>IFERROR(__xludf.DUMMYFUNCTION("GOOGLETRANSLATE(B1654,""id"",""en"")"),"['deer', 'central', 'cable', 'optics', 'unit', '']")</f>
        <v>['deer', 'central', 'cable', 'optics', 'unit', '']</v>
      </c>
      <c r="D1654" s="4">
        <v>1.0</v>
      </c>
    </row>
    <row r="1655" ht="15.75" customHeight="1">
      <c r="A1655" s="1">
        <v>1796.0</v>
      </c>
      <c r="B1655" s="4" t="s">
        <v>130</v>
      </c>
      <c r="C1655" s="4" t="str">
        <f>IFERROR(__xludf.DUMMYFUNCTION("GOOGLETRANSLATE(B1655,""id"",""en"")"),"Of course")</f>
        <v>Of course</v>
      </c>
      <c r="D1655" s="4">
        <v>5.0</v>
      </c>
    </row>
    <row r="1656" ht="15.75" customHeight="1">
      <c r="A1656" s="1">
        <v>1797.0</v>
      </c>
      <c r="B1656" s="4" t="s">
        <v>1616</v>
      </c>
      <c r="C1656" s="4" t="str">
        <f>IFERROR(__xludf.DUMMYFUNCTION("GOOGLETRANSLATE(B1656,""id"",""en"")"),"['Application', 'Indihome', 'appears',' details', 'tags',' SPT ',' VAT ',' Costs', 'Call', 'Etc.', 'Application', 'Indihome', ' version ',' quality ',' upgrade ',' down ']")</f>
        <v>['Application', 'Indihome', 'appears',' details', 'tags',' SPT ',' VAT ',' Costs', 'Call', 'Etc.', 'Application', 'Indihome', ' version ',' quality ',' upgrade ',' down ']</v>
      </c>
      <c r="D1656" s="4">
        <v>1.0</v>
      </c>
    </row>
    <row r="1657" ht="15.75" customHeight="1">
      <c r="A1657" s="1">
        <v>1798.0</v>
      </c>
      <c r="B1657" s="4" t="s">
        <v>1617</v>
      </c>
      <c r="C1657" s="4" t="str">
        <f>IFERROR(__xludf.DUMMYFUNCTION("GOOGLETRANSLATE(B1657,""id"",""en"")"),"['Signal', 'Error', 'Adu', 'Via', 'Application', 'Error', 'Pay', 'Pay', 'mah', 'Routine']")</f>
        <v>['Signal', 'Error', 'Adu', 'Via', 'Application', 'Error', 'Pay', 'Pay', 'mah', 'Routine']</v>
      </c>
      <c r="D1657" s="4">
        <v>3.0</v>
      </c>
    </row>
    <row r="1658" ht="15.75" customHeight="1">
      <c r="A1658" s="1">
        <v>1800.0</v>
      </c>
      <c r="B1658" s="4" t="s">
        <v>1618</v>
      </c>
      <c r="C1658" s="4" t="str">
        <f>IFERROR(__xludf.DUMMYFUNCTION("GOOGLETRANSLATE(B1658,""id"",""en"")"),"['Lot', 'aaplication', 'Open', 'Kedap', 'blinking', 'doang', 'poor', ""]")</f>
        <v>['Lot', 'aaplication', 'Open', 'Kedap', 'blinking', 'doang', 'poor', "]</v>
      </c>
      <c r="D1658" s="4">
        <v>1.0</v>
      </c>
    </row>
    <row r="1659" ht="15.75" customHeight="1">
      <c r="A1659" s="1">
        <v>1801.0</v>
      </c>
      <c r="B1659" s="4" t="s">
        <v>1619</v>
      </c>
      <c r="C1659" s="4" t="str">
        <f>IFERROR(__xludf.DUMMYFUNCTION("GOOGLETRANSLATE(B1659,""id"",""en"")"),"['Internet', 'Tel', 'Error', 'Adu', 'Choose', 'Adu', 'Layan', 'Liilangan', '']")</f>
        <v>['Internet', 'Tel', 'Error', 'Adu', 'Choose', 'Adu', 'Layan', 'Liilangan', '']</v>
      </c>
      <c r="D1659" s="4">
        <v>1.0</v>
      </c>
    </row>
    <row r="1660" ht="15.75" customHeight="1">
      <c r="A1660" s="1">
        <v>1802.0</v>
      </c>
      <c r="B1660" s="4" t="s">
        <v>1620</v>
      </c>
      <c r="C1660" s="4" t="str">
        <f>IFERROR(__xludf.DUMMYFUNCTION("GOOGLETRANSLATE(B1660,""id"",""en"")"),"['Quick', 'response', 'chat', 'report', 'internet', 'disturbing', 'response', 'online', '']")</f>
        <v>['Quick', 'response', 'chat', 'report', 'internet', 'disturbing', 'response', 'online', '']</v>
      </c>
      <c r="D1660" s="4">
        <v>1.0</v>
      </c>
    </row>
    <row r="1661" ht="15.75" customHeight="1">
      <c r="A1661" s="1">
        <v>1803.0</v>
      </c>
      <c r="B1661" s="4" t="s">
        <v>1621</v>
      </c>
      <c r="C1661" s="4" t="str">
        <f>IFERROR(__xludf.DUMMYFUNCTION("GOOGLETRANSLATE(B1661,""id"",""en"")"),"['Application', 'Log', 'Code', 'OTP', 'Code', 'OTP', 'Enter']")</f>
        <v>['Application', 'Log', 'Code', 'OTP', 'Code', 'OTP', 'Enter']</v>
      </c>
      <c r="D1661" s="4">
        <v>1.0</v>
      </c>
    </row>
    <row r="1662" ht="15.75" customHeight="1">
      <c r="A1662" s="1">
        <v>1804.0</v>
      </c>
      <c r="B1662" s="4" t="s">
        <v>1622</v>
      </c>
      <c r="C1662" s="4" t="str">
        <f>IFERROR(__xludf.DUMMYFUNCTION("GOOGLETRANSLATE(B1662,""id"",""en"")"),"['continued', 'internet', 'good', 'indihome', 'padahl', 'report', 'reply', 'tetep', 'good', ""]")</f>
        <v>['continued', 'internet', 'good', 'indihome', 'padahl', 'report', 'reply', 'tetep', 'good', "]</v>
      </c>
      <c r="D1662" s="4">
        <v>1.0</v>
      </c>
    </row>
    <row r="1663" ht="15.75" customHeight="1">
      <c r="A1663" s="1">
        <v>1805.0</v>
      </c>
      <c r="B1663" s="4" t="s">
        <v>1623</v>
      </c>
      <c r="C1663" s="4" t="str">
        <f>IFERROR(__xludf.DUMMYFUNCTION("GOOGLETRANSLATE(B1663,""id"",""en"")"),"['Dear', 'Indihome', 'then', 'internet', 'open', 'youtube', 'smooth', 'open', 'google', 'play', 'game', 'etc.' internet ',' lot ',' then ']")</f>
        <v>['Dear', 'Indihome', 'then', 'internet', 'open', 'youtube', 'smooth', 'open', 'google', 'play', 'game', 'etc.' internet ',' lot ',' then ']</v>
      </c>
      <c r="D1663" s="4">
        <v>1.0</v>
      </c>
    </row>
    <row r="1664" ht="15.75" customHeight="1">
      <c r="A1664" s="1">
        <v>1806.0</v>
      </c>
      <c r="B1664" s="4" t="s">
        <v>334</v>
      </c>
      <c r="C1664" s="4" t="str">
        <f>IFERROR(__xludf.DUMMYFUNCTION("GOOGLETRANSLATE(B1664,""id"",""en"")"),"['good']")</f>
        <v>['good']</v>
      </c>
      <c r="D1664" s="4">
        <v>5.0</v>
      </c>
    </row>
    <row r="1665" ht="15.75" customHeight="1">
      <c r="A1665" s="1">
        <v>1807.0</v>
      </c>
      <c r="B1665" s="4" t="s">
        <v>1624</v>
      </c>
      <c r="C1665" s="4" t="str">
        <f>IFERROR(__xludf.DUMMYFUNCTION("GOOGLETRANSLATE(B1665,""id"",""en"")"),"['signal', 'lot', 'slow', 'connection', 'ugly', 'really', '']")</f>
        <v>['signal', 'lot', 'slow', 'connection', 'ugly', 'really', '']</v>
      </c>
      <c r="D1665" s="4">
        <v>1.0</v>
      </c>
    </row>
    <row r="1666" ht="15.75" customHeight="1">
      <c r="A1666" s="1">
        <v>1808.0</v>
      </c>
      <c r="B1666" s="4" t="s">
        <v>1625</v>
      </c>
      <c r="C1666" s="4" t="str">
        <f>IFERROR(__xludf.DUMMYFUNCTION("GOOGLETRANSLATE(B1666,""id"",""en"")"),"['Benerin', 'Error', 'Mulu', 'APK', 'Gabisa', 'LIAT', 'FUP']")</f>
        <v>['Benerin', 'Error', 'Mulu', 'APK', 'Gabisa', 'LIAT', 'FUP']</v>
      </c>
      <c r="D1666" s="4">
        <v>1.0</v>
      </c>
    </row>
    <row r="1667" ht="15.75" customHeight="1">
      <c r="A1667" s="1">
        <v>1809.0</v>
      </c>
      <c r="B1667" s="4" t="s">
        <v>1626</v>
      </c>
      <c r="C1667" s="4" t="str">
        <f>IFERROR(__xludf.DUMMYFUNCTION("GOOGLETRANSLATE(B1667,""id"",""en"")"),"['Ngaco', 'signal', 'missing', 'please', 'good', ""]")</f>
        <v>['Ngaco', 'signal', 'missing', 'please', 'good', "]</v>
      </c>
      <c r="D1667" s="4">
        <v>1.0</v>
      </c>
    </row>
    <row r="1668" ht="15.75" customHeight="1">
      <c r="A1668" s="1">
        <v>1811.0</v>
      </c>
      <c r="B1668" s="4" t="s">
        <v>1627</v>
      </c>
      <c r="C1668" s="4" t="str">
        <f>IFERROR(__xludf.DUMMYFUNCTION("GOOGLETRANSLATE(B1668,""id"",""en"")"),"['Leet', 'really', ""]")</f>
        <v>['Leet', 'really', "]</v>
      </c>
      <c r="D1668" s="4">
        <v>1.0</v>
      </c>
    </row>
    <row r="1669" ht="15.75" customHeight="1">
      <c r="A1669" s="1">
        <v>1812.0</v>
      </c>
      <c r="B1669" s="4" t="s">
        <v>1628</v>
      </c>
      <c r="C1669" s="4" t="str">
        <f>IFERROR(__xludf.DUMMYFUNCTION("GOOGLETRANSLATE(B1669,""id"",""en"")"),"['SOS', 'then', 'Dekoder', 'Read', 'Bgus']")</f>
        <v>['SOS', 'then', 'Dekoder', 'Read', 'Bgus']</v>
      </c>
      <c r="D1669" s="4">
        <v>1.0</v>
      </c>
    </row>
    <row r="1670" ht="15.75" customHeight="1">
      <c r="A1670" s="1">
        <v>1813.0</v>
      </c>
      <c r="B1670" s="4" t="s">
        <v>1629</v>
      </c>
      <c r="C1670" s="4" t="str">
        <f>IFERROR(__xludf.DUMMYFUNCTION("GOOGLETRANSLATE(B1670,""id"",""en"")"),"['open', 'sosmed', 'mah', 'smooth', 'knpa', 'play', 'game', 'mobile', 'legands',' signal ',' broken ',' broken ',' strange ',' times', 'Indihome', 'Hadeh', 'hilarious']")</f>
        <v>['open', 'sosmed', 'mah', 'smooth', 'knpa', 'play', 'game', 'mobile', 'legands',' signal ',' broken ',' broken ',' strange ',' times', 'Indihome', 'Hadeh', 'hilarious']</v>
      </c>
      <c r="D1670" s="4">
        <v>1.0</v>
      </c>
    </row>
    <row r="1671" ht="15.75" customHeight="1">
      <c r="A1671" s="1">
        <v>1814.0</v>
      </c>
      <c r="B1671" s="4" t="s">
        <v>1630</v>
      </c>
      <c r="C1671" s="4" t="str">
        <f>IFERROR(__xludf.DUMMYFUNCTION("GOOGLETRANSLATE(B1671,""id"",""en"")"),"['Pay', 'Special', 'Inditod', 'KNTL', 'Ping', 'Jumping', 'Upload', 'Lot', 'Provider', 'Install', 'Inditod']")</f>
        <v>['Pay', 'Special', 'Inditod', 'KNTL', 'Ping', 'Jumping', 'Upload', 'Lot', 'Provider', 'Install', 'Inditod']</v>
      </c>
      <c r="D1671" s="4">
        <v>1.0</v>
      </c>
    </row>
    <row r="1672" ht="15.75" customHeight="1">
      <c r="A1672" s="1">
        <v>1815.0</v>
      </c>
      <c r="B1672" s="4" t="s">
        <v>1631</v>
      </c>
      <c r="C1672" s="4" t="str">
        <f>IFERROR(__xludf.DUMMYFUNCTION("GOOGLETRANSLATE(B1672,""id"",""en"")"),"['Application', 'Open', 'Negri', 'Liat', 'Pay', ""]")</f>
        <v>['Application', 'Open', 'Negri', 'Liat', 'Pay', "]</v>
      </c>
      <c r="D1672" s="4">
        <v>1.0</v>
      </c>
    </row>
    <row r="1673" ht="15.75" customHeight="1">
      <c r="A1673" s="1">
        <v>1816.0</v>
      </c>
      <c r="B1673" s="4" t="s">
        <v>1632</v>
      </c>
      <c r="C1673" s="4" t="str">
        <f>IFERROR(__xludf.DUMMYFUNCTION("GOOGLETRANSLATE(B1673,""id"",""en"")"),"['net', 'front', 'Buriq', 'BUMN', '']")</f>
        <v>['net', 'front', 'Buriq', 'BUMN', '']</v>
      </c>
      <c r="D1673" s="4">
        <v>1.0</v>
      </c>
    </row>
    <row r="1674" ht="15.75" customHeight="1">
      <c r="A1674" s="1">
        <v>1817.0</v>
      </c>
      <c r="B1674" s="4" t="s">
        <v>1633</v>
      </c>
      <c r="C1674" s="4" t="str">
        <f>IFERROR(__xludf.DUMMYFUNCTION("GOOGLETRANSLATE(B1674,""id"",""en"")"),"['SERBA', 'EASY', '' ']")</f>
        <v>['SERBA', 'EASY', '' ']</v>
      </c>
      <c r="D1674" s="4">
        <v>5.0</v>
      </c>
    </row>
    <row r="1675" ht="15.75" customHeight="1">
      <c r="A1675" s="1">
        <v>1818.0</v>
      </c>
      <c r="B1675" s="4" t="s">
        <v>1634</v>
      </c>
      <c r="C1675" s="4" t="str">
        <f>IFERROR(__xludf.DUMMYFUNCTION("GOOGLETRANSLATE(B1675,""id"",""en"")"),"['then', 'wifi', 'tags', 'sam', 'padahl', 'fill', 'balance', ""]")</f>
        <v>['then', 'wifi', 'tags', 'sam', 'padahl', 'fill', 'balance', "]</v>
      </c>
      <c r="D1675" s="4">
        <v>1.0</v>
      </c>
    </row>
    <row r="1676" ht="15.75" customHeight="1">
      <c r="A1676" s="1">
        <v>1819.0</v>
      </c>
      <c r="B1676" s="4" t="s">
        <v>1635</v>
      </c>
      <c r="C1676" s="4" t="str">
        <f>IFERROR(__xludf.DUMMYFUNCTION("GOOGLETRANSLATE(B1676,""id"",""en"")"),"['signal', 'pulp', 'ugly', 'mulu', 'signal', 'regret', 'pay', 'indihome']")</f>
        <v>['signal', 'pulp', 'ugly', 'mulu', 'signal', 'regret', 'pay', 'indihome']</v>
      </c>
      <c r="D1676" s="4">
        <v>1.0</v>
      </c>
    </row>
    <row r="1677" ht="15.75" customHeight="1">
      <c r="A1677" s="1">
        <v>1820.0</v>
      </c>
      <c r="B1677" s="4" t="s">
        <v>1636</v>
      </c>
      <c r="C1677" s="4" t="str">
        <f>IFERROR(__xludf.DUMMYFUNCTION("GOOGLETRANSLATE(B1677,""id"",""en"")"),"['Sis',' number ',' Pay ',' Indihome ',' One ',' Damaged ',' No ',' Powered ',' Pay ',' Numbers', 'No', 'What', ' Sis', '']")</f>
        <v>['Sis',' number ',' Pay ',' Indihome ',' One ',' Damaged ',' No ',' Powered ',' Pay ',' Numbers', 'No', 'What', ' Sis', '']</v>
      </c>
      <c r="D1677" s="4">
        <v>5.0</v>
      </c>
    </row>
    <row r="1678" ht="15.75" customHeight="1">
      <c r="A1678" s="1">
        <v>1821.0</v>
      </c>
      <c r="B1678" s="4" t="s">
        <v>1637</v>
      </c>
      <c r="C1678" s="4" t="str">
        <f>IFERROR(__xludf.DUMMYFUNCTION("GOOGLETRANSLATE(B1678,""id"",""en"")"),"['how']")</f>
        <v>['how']</v>
      </c>
      <c r="D1678" s="4">
        <v>1.0</v>
      </c>
    </row>
    <row r="1679" ht="15.75" customHeight="1">
      <c r="A1679" s="1">
        <v>1822.0</v>
      </c>
      <c r="B1679" s="4" t="s">
        <v>1638</v>
      </c>
      <c r="C1679" s="4" t="str">
        <f>IFERROR(__xludf.DUMMYFUNCTION("GOOGLETRANSLATE(B1679,""id"",""en"")"),"['Login', 'Emain', 'Since', 'Update']")</f>
        <v>['Login', 'Emain', 'Since', 'Update']</v>
      </c>
      <c r="D1679" s="4">
        <v>1.0</v>
      </c>
    </row>
    <row r="1680" ht="15.75" customHeight="1">
      <c r="A1680" s="1">
        <v>1823.0</v>
      </c>
      <c r="B1680" s="4" t="s">
        <v>1639</v>
      </c>
      <c r="C1680" s="4" t="str">
        <f>IFERROR(__xludf.DUMMYFUNCTION("GOOGLETRANSLATE(B1680,""id"",""en"")"),"['Connect', 'Report', 'Disturbs', 'Difficult']")</f>
        <v>['Connect', 'Report', 'Disturbs', 'Difficult']</v>
      </c>
      <c r="D1680" s="4">
        <v>2.0</v>
      </c>
    </row>
    <row r="1681" ht="15.75" customHeight="1">
      <c r="A1681" s="1">
        <v>1824.0</v>
      </c>
      <c r="B1681" s="4" t="s">
        <v>1640</v>
      </c>
      <c r="C1681" s="4" t="str">
        <f>IFERROR(__xludf.DUMMYFUNCTION("GOOGLETRANSLATE(B1681,""id"",""en"")"),"['wifi', 'Indihome', 'home', 'ugly', 'fast', 'open', 'bufering', 'really', 'month', 'money', 'thousand', 'kayak', ' Gin ',' Pening ',' open ',' upgrade ',' patient ',' plus', 'slamming', 'sangking', 'sleep', 'slow', 'oath', 'indihome', 'kayak' , 'Gin', 'd"&amp;"isappointed', 'really', 'January', 'net', 'slow', 'Kirain', 'February', 'Normal', 'Kayak', 'Males',' Pay ',' ken ',' stop ',' subscribe ',' gin ']")</f>
        <v>['wifi', 'Indihome', 'home', 'ugly', 'fast', 'open', 'bufering', 'really', 'month', 'money', 'thousand', 'kayak', ' Gin ',' Pening ',' open ',' upgrade ',' patient ',' plus', 'slamming', 'sangking', 'sleep', 'slow', 'oath', 'indihome', 'kayak' , 'Gin', 'disappointed', 'really', 'January', 'net', 'slow', 'Kirain', 'February', 'Normal', 'Kayak', 'Males',' Pay ',' ken ',' stop ',' subscribe ',' gin ']</v>
      </c>
      <c r="D1681" s="4">
        <v>1.0</v>
      </c>
    </row>
    <row r="1682" ht="15.75" customHeight="1">
      <c r="A1682" s="1">
        <v>1825.0</v>
      </c>
      <c r="B1682" s="4" t="s">
        <v>1641</v>
      </c>
      <c r="C1682" s="4" t="str">
        <f>IFERROR(__xludf.DUMMYFUNCTION("GOOGLETRANSLATE(B1682,""id"",""en"")"),"['Indihome', 'Babik', 'Ngapa', 'Ngeapain', 'Signal', 'Good', 'Competition', 'Online', 'Signal', 'ugly', 'gabisa', 'access',' staple ',' BURIK ',' BET ',' BURIK ',' BURIK ',' BURIK ',' BURIKKKKKKKKKKK ',' Anjinggggg ',' Call ',' Agus', 'told', 'Benerin', '"&amp;"GBLKKKKKKKK' ]")</f>
        <v>['Indihome', 'Babik', 'Ngapa', 'Ngeapain', 'Signal', 'Good', 'Competition', 'Online', 'Signal', 'ugly', 'gabisa', 'access',' staple ',' BURIK ',' BET ',' BURIK ',' BURIK ',' BURIK ',' BURIKKKKKKKKKKK ',' Anjinggggg ',' Call ',' Agus', 'told', 'Benerin', 'GBLKKKKKKKK' ]</v>
      </c>
      <c r="D1682" s="4">
        <v>1.0</v>
      </c>
    </row>
    <row r="1683" ht="15.75" customHeight="1">
      <c r="A1683" s="1">
        <v>1826.0</v>
      </c>
      <c r="B1683" s="4" t="s">
        <v>1642</v>
      </c>
      <c r="C1683" s="4" t="str">
        <f>IFERROR(__xludf.DUMMYFUNCTION("GOOGLETRANSLATE(B1683,""id"",""en"")"),"['Pandemic', 'Covid', 'Telkom', 'CONSOUS', 'COMMUNITY', 'RATES', 'BPK', 'Internet', 'Add', 'Results',' Warung ',' Pandemi ',' Warung ',' Lonely ',' Internet ',' That Sege ',' Tolerance ',' Star ']")</f>
        <v>['Pandemic', 'Covid', 'Telkom', 'CONSOUS', 'COMMUNITY', 'RATES', 'BPK', 'Internet', 'Add', 'Results',' Warung ',' Pandemi ',' Warung ',' Lonely ',' Internet ',' That Sege ',' Tolerance ',' Star ']</v>
      </c>
      <c r="D1683" s="4">
        <v>1.0</v>
      </c>
    </row>
    <row r="1684" ht="15.75" customHeight="1">
      <c r="A1684" s="1">
        <v>1827.0</v>
      </c>
      <c r="B1684" s="4" t="s">
        <v>1643</v>
      </c>
      <c r="C1684" s="4" t="str">
        <f>IFERROR(__xludf.DUMMYFUNCTION("GOOGLETRANSLATE(B1684,""id"",""en"")"),"['application', 'slow', 'response', 'hope', 'service', 'Please', 'sorry', 'review', 'application', 'responsive', 'check', 'tap', ' fast ',' use ',' application ',' marketplace ']")</f>
        <v>['application', 'slow', 'response', 'hope', 'service', 'Please', 'sorry', 'review', 'application', 'responsive', 'check', 'tap', ' fast ',' use ',' application ',' marketplace ']</v>
      </c>
      <c r="D1684" s="4">
        <v>1.0</v>
      </c>
    </row>
    <row r="1685" ht="15.75" customHeight="1">
      <c r="A1685" s="1">
        <v>1828.0</v>
      </c>
      <c r="B1685" s="4" t="s">
        <v>1644</v>
      </c>
      <c r="C1685" s="4" t="str">
        <f>IFERROR(__xludf.DUMMYFUNCTION("GOOGLETRANSLATE(B1685,""id"",""en"")"),"['detail', 'details',' tags', 'lost', 'gajelas',' indihome ',' kayak ',' gin ',' tags', 'kayak', 'tags',' racial ',' ',' Missing ',' Balikin ',' Feature ',' Details', 'Tagih', '']")</f>
        <v>['detail', 'details',' tags', 'lost', 'gajelas',' indihome ',' kayak ',' gin ',' tags', 'kayak', 'tags',' racial ',' ',' Missing ',' Balikin ',' Feature ',' Details', 'Tagih', '']</v>
      </c>
      <c r="D1685" s="4">
        <v>1.0</v>
      </c>
    </row>
    <row r="1686" ht="15.75" customHeight="1">
      <c r="A1686" s="1">
        <v>1829.0</v>
      </c>
      <c r="B1686" s="4" t="s">
        <v>1645</v>
      </c>
      <c r="C1686" s="4" t="str">
        <f>IFERROR(__xludf.DUMMYFUNCTION("GOOGLETRANSLATE(B1686,""id"",""en"")"),"['Add', 'Mbps', 'Mbps', 'Lot']")</f>
        <v>['Add', 'Mbps', 'Mbps', 'Lot']</v>
      </c>
      <c r="D1686" s="4">
        <v>2.0</v>
      </c>
    </row>
    <row r="1687" ht="15.75" customHeight="1">
      <c r="A1687" s="1">
        <v>1830.0</v>
      </c>
      <c r="B1687" s="4" t="s">
        <v>1646</v>
      </c>
      <c r="C1687" s="4" t="str">
        <f>IFERROR(__xludf.DUMMYFUNCTION("GOOGLETRANSLATE(B1687,""id"",""en"")"),"['hope', 'lag', 'work', 'Indihome', 'dead', 'rodok', 'pig', 'grave', 'thank', 'earth']")</f>
        <v>['hope', 'lag', 'work', 'Indihome', 'dead', 'rodok', 'pig', 'grave', 'thank', 'earth']</v>
      </c>
      <c r="D1687" s="4">
        <v>1.0</v>
      </c>
    </row>
    <row r="1688" ht="15.75" customHeight="1">
      <c r="A1688" s="1">
        <v>1831.0</v>
      </c>
      <c r="B1688" s="4" t="s">
        <v>1647</v>
      </c>
      <c r="C1688" s="4" t="str">
        <f>IFERROR(__xludf.DUMMYFUNCTION("GOOGLETRANSLATE(B1688,""id"",""en"")"),"['Please', 'Cantum', 'number', 'HUBAT', 'Keryaka', 'Susa']")</f>
        <v>['Please', 'Cantum', 'number', 'HUBAT', 'Keryaka', 'Susa']</v>
      </c>
      <c r="D1688" s="4">
        <v>5.0</v>
      </c>
    </row>
    <row r="1689" ht="15.75" customHeight="1">
      <c r="A1689" s="1">
        <v>1832.0</v>
      </c>
      <c r="B1689" s="4" t="s">
        <v>1648</v>
      </c>
      <c r="C1689" s="4" t="str">
        <f>IFERROR(__xludf.DUMMYFUNCTION("GOOGLETRANSLATE(B1689,""id"",""en"")"),"['hahaha', 'kasi', 'deh', 'love', 'star', 'doang', 'so', 'ngaca', 'knp', 'subscribe', 'ksh', 'review', ' ugly ',' good ',' broken ',' net ',' watch ',' youtube ',' muter ',' mulu ',' maen ',' game ',' online ',' golir ',' pay ' , 'Mandatory', 'slow', 'lit"&amp;"tle', 'fine', 'destroyed', 'destroyed', 'destroyed', ""]")</f>
        <v>['hahaha', 'kasi', 'deh', 'love', 'star', 'doang', 'so', 'ngaca', 'knp', 'subscribe', 'ksh', 'review', ' ugly ',' good ',' broken ',' net ',' watch ',' youtube ',' muter ',' mulu ',' maen ',' game ',' online ',' golir ',' pay ' , 'Mandatory', 'slow', 'little', 'fine', 'destroyed', 'destroyed', 'destroyed', "]</v>
      </c>
      <c r="D1689" s="4">
        <v>1.0</v>
      </c>
    </row>
    <row r="1690" ht="15.75" customHeight="1">
      <c r="A1690" s="1">
        <v>1833.0</v>
      </c>
      <c r="B1690" s="4" t="s">
        <v>1649</v>
      </c>
      <c r="C1690" s="4" t="str">
        <f>IFERROR(__xludf.DUMMYFUNCTION("GOOGLETRANSLATE(B1690,""id"",""en"")"),"['servicenya', 'good', 'slese', 'report', 'Langaung', 'good', 'trmksh']")</f>
        <v>['servicenya', 'good', 'slese', 'report', 'Langaung', 'good', 'trmksh']</v>
      </c>
      <c r="D1690" s="4">
        <v>5.0</v>
      </c>
    </row>
    <row r="1691" ht="15.75" customHeight="1">
      <c r="A1691" s="1">
        <v>1834.0</v>
      </c>
      <c r="B1691" s="4" t="s">
        <v>1650</v>
      </c>
      <c r="C1691" s="4" t="str">
        <f>IFERROR(__xludf.DUMMYFUNCTION("GOOGLETRANSLATE(B1691,""id"",""en"")"),"['already', 'internet', 'dead', 'report', 'use', 'application', 'use', 'disturbing', 'mass',' neighbor ',' split ',' home ',' Use ',' Indihome ',' Disgueness ',' Normal ',' Tau ',' Disturbs ',' Mass ',' Region ',' Alat ',' No "", 'Subscribe', 'Disappointe"&amp;"d',""]")</f>
        <v>['already', 'internet', 'dead', 'report', 'use', 'application', 'use', 'disturbing', 'mass',' neighbor ',' split ',' home ',' Use ',' Indihome ',' Disgueness ',' Normal ',' Tau ',' Disturbs ',' Mass ',' Region ',' Alat ',' No ", 'Subscribe', 'Disappointed',"]</v>
      </c>
      <c r="D1691" s="4">
        <v>1.0</v>
      </c>
    </row>
    <row r="1692" ht="15.75" customHeight="1">
      <c r="A1692" s="1">
        <v>1835.0</v>
      </c>
      <c r="B1692" s="4" t="s">
        <v>1651</v>
      </c>
      <c r="C1692" s="4" t="str">
        <f>IFERROR(__xludf.DUMMYFUNCTION("GOOGLETRANSLATE(B1692,""id"",""en"")"),"['signal', 'play', 'sosmed', 'smooth', 'right', 'play', 'game', 'online', 'pub', 'gidaga', 'nge', 'lag', ' Really ',' ping ',' red ',' yellow ',' Aduhhhhhhhhhhhhh ',' Ryesel ',' masang ',' ']")</f>
        <v>['signal', 'play', 'sosmed', 'smooth', 'right', 'play', 'game', 'online', 'pub', 'gidaga', 'nge', 'lag', ' Really ',' ping ',' red ',' yellow ',' Aduhhhhhhhhhhhhh ',' Ryesel ',' masang ',' ']</v>
      </c>
      <c r="D1692" s="4">
        <v>1.0</v>
      </c>
    </row>
    <row r="1693" ht="15.75" customHeight="1">
      <c r="A1693" s="1">
        <v>1836.0</v>
      </c>
      <c r="B1693" s="4" t="s">
        <v>1652</v>
      </c>
      <c r="C1693" s="4" t="str">
        <f>IFERROR(__xludf.DUMMYFUNCTION("GOOGLETRANSLATE(B1693,""id"",""en"")"),"['bargain', 'package', 'smooa', 'according to', 'appointment', 'try', 'bln', 'lnjt', 'disabled', 'udh', 'disabled', 'tags',' Msh ',' appears', 'PKI', 'BLN', 'BLN', 'BYR', 'EASY', 'BLN', 'BYR', 'STLH', 'UANG', 'INDIHOME', 'Nambah' , 'work', 'anti', 'bargai"&amp;"ned', 'indihome']")</f>
        <v>['bargain', 'package', 'smooa', 'according to', 'appointment', 'try', 'bln', 'lnjt', 'disabled', 'udh', 'disabled', 'tags',' Msh ',' appears', 'PKI', 'BLN', 'BLN', 'BYR', 'EASY', 'BLN', 'BYR', 'STLH', 'UANG', 'INDIHOME', 'Nambah' , 'work', 'anti', 'bargained', 'indihome']</v>
      </c>
      <c r="D1693" s="4">
        <v>1.0</v>
      </c>
    </row>
    <row r="1694" ht="15.75" customHeight="1">
      <c r="A1694" s="1">
        <v>1837.0</v>
      </c>
      <c r="B1694" s="4" t="s">
        <v>1653</v>
      </c>
      <c r="C1694" s="4" t="str">
        <f>IFERROR(__xludf.DUMMYFUNCTION("GOOGLETRANSLATE(B1694,""id"",""en"")"),"['loss',' Pay ',' expensive ',' expensive ',' quality ',' poor ',' Mbps', 'signal', 'Mbps',' entry ',' sense ',' then ',' ',' home ',' signal ',' lot ',' open ',' youtube ',' ngelag ',' open ',' google ',' ngelag ',' read ',' status', 'ngelag' , 'how', 'e"&amp;"motion']")</f>
        <v>['loss',' Pay ',' expensive ',' expensive ',' quality ',' poor ',' Mbps', 'signal', 'Mbps',' entry ',' sense ',' then ',' ',' home ',' signal ',' lot ',' open ',' youtube ',' ngelag ',' open ',' google ',' ngelag ',' read ',' status', 'ngelag' , 'how', 'emotion']</v>
      </c>
      <c r="D1694" s="4">
        <v>1.0</v>
      </c>
    </row>
    <row r="1695" ht="15.75" customHeight="1">
      <c r="A1695" s="1">
        <v>1838.0</v>
      </c>
      <c r="B1695" s="4" t="s">
        <v>1654</v>
      </c>
      <c r="C1695" s="4" t="str">
        <f>IFERROR(__xludf.DUMMYFUNCTION("GOOGLETRANSLATE(B1695,""id"",""en"")"),"['Please', 'Sorry', 'Star', 'Registration', 'Survey', 'Registration', 'Sales',' Install ',' Disappointed ',' Layan ',' Indihome ',' Kec ',' Bay, 'Batang', 'Kab', 'Kayong', 'North', 'West Kalimantar', ""]")</f>
        <v>['Please', 'Sorry', 'Star', 'Registration', 'Survey', 'Registration', 'Sales',' Install ',' Disappointed ',' Layan ',' Indihome ',' Kec ',' Bay, 'Batang', 'Kab', 'Kayong', 'North', 'West Kalimantar', "]</v>
      </c>
      <c r="D1695" s="4">
        <v>1.0</v>
      </c>
    </row>
    <row r="1696" ht="15.75" customHeight="1">
      <c r="A1696" s="1">
        <v>1839.0</v>
      </c>
      <c r="B1696" s="4" t="s">
        <v>1655</v>
      </c>
      <c r="C1696" s="4" t="str">
        <f>IFERROR(__xludf.DUMMYFUNCTION("GOOGLETRANSLATE(B1696,""id"",""en"")"),"['', 'Intention', 'Benerin', 'Disturbs', 'already', 'Report', 'week', 'response', 'ALIIII', 'LOSS', 'Pay', 'Internet', "" ]")</f>
        <v>['', 'Intention', 'Benerin', 'Disturbs', 'already', 'Report', 'week', 'response', 'ALIIII', 'LOSS', 'Pay', 'Internet', " ]</v>
      </c>
      <c r="D1696" s="4">
        <v>1.0</v>
      </c>
    </row>
    <row r="1697" ht="15.75" customHeight="1">
      <c r="A1697" s="1">
        <v>1840.0</v>
      </c>
      <c r="B1697" s="4" t="s">
        <v>1656</v>
      </c>
      <c r="C1697" s="4" t="str">
        <f>IFERROR(__xludf.DUMMYFUNCTION("GOOGLETRANSLATE(B1697,""id"",""en"")"),"['account', 'indihome', 'uda', 'list', 'complicated', 'play', 'loading', 'super', 'mpe', 'timeout', 'disappointed', 'entered', ' Login ',' Indihome ',' Leet ',' Disappointed ',' Verification ',' Super ',' Ribet ']")</f>
        <v>['account', 'indihome', 'uda', 'list', 'complicated', 'play', 'loading', 'super', 'mpe', 'timeout', 'disappointed', 'entered', ' Login ',' Indihome ',' Leet ',' Disappointed ',' Verification ',' Super ',' Ribet ']</v>
      </c>
      <c r="D1697" s="4">
        <v>1.0</v>
      </c>
    </row>
    <row r="1698" ht="15.75" customHeight="1">
      <c r="A1698" s="1">
        <v>1841.0</v>
      </c>
      <c r="B1698" s="4" t="s">
        <v>1583</v>
      </c>
      <c r="C1698" s="4" t="str">
        <f>IFERROR(__xludf.DUMMYFUNCTION("GOOGLETRANSLATE(B1698,""id"",""en"")"),"['application']")</f>
        <v>['application']</v>
      </c>
      <c r="D1698" s="4">
        <v>1.0</v>
      </c>
    </row>
    <row r="1699" ht="15.75" customHeight="1">
      <c r="A1699" s="1">
        <v>1842.0</v>
      </c>
      <c r="B1699" s="4" t="s">
        <v>1657</v>
      </c>
      <c r="C1699" s="4" t="str">
        <f>IFERROR(__xludf.DUMMYFUNCTION("GOOGLETRANSLATE(B1699,""id"",""en"")"),"['service', 'bad', '']")</f>
        <v>['service', 'bad', '']</v>
      </c>
      <c r="D1699" s="4">
        <v>1.0</v>
      </c>
    </row>
    <row r="1700" ht="15.75" customHeight="1">
      <c r="A1700" s="1">
        <v>1843.0</v>
      </c>
      <c r="B1700" s="4" t="s">
        <v>1658</v>
      </c>
      <c r="C1700" s="4" t="str">
        <f>IFERROR(__xludf.DUMMYFUNCTION("GOOGLETRANSLATE(B1700,""id"",""en"")"),"['Case', 'finished', 'admin', 'indihome', 'signal', 'game', 'login', 'application', 'see', 'capacity', 'quota', 'use', ' Instant ',' Overall ',' Good ',' Moga ',' Home ',' Signal ',' Normal ',' Change ',' Opinion ',' Use ',' Services', 'Indihome', 'Change"&amp;"' , 'positive']")</f>
        <v>['Case', 'finished', 'admin', 'indihome', 'signal', 'game', 'login', 'application', 'see', 'capacity', 'quota', 'use', ' Instant ',' Overall ',' Good ',' Moga ',' Home ',' Signal ',' Normal ',' Change ',' Opinion ',' Use ',' Services', 'Indihome', 'Change' , 'positive']</v>
      </c>
      <c r="D1700" s="4">
        <v>5.0</v>
      </c>
    </row>
    <row r="1701" ht="15.75" customHeight="1">
      <c r="A1701" s="1">
        <v>1844.0</v>
      </c>
      <c r="B1701" s="4" t="s">
        <v>1659</v>
      </c>
      <c r="C1701" s="4" t="str">
        <f>IFERROR(__xludf.DUMMYFUNCTION("GOOGLETRANSLATE(B1701,""id"",""en"")"),"['Aduhh', 'poor', 'Lahhh', 'Punye', 'APK', 'Lazy', 'Dahhh', 'Lahh', 'Balekk', 'Kampungjee', 'Malaisya']")</f>
        <v>['Aduhh', 'poor', 'Lahhh', 'Punye', 'APK', 'Lazy', 'Dahhh', 'Lahh', 'Balekk', 'Kampungjee', 'Malaisya']</v>
      </c>
      <c r="D1701" s="4">
        <v>1.0</v>
      </c>
    </row>
    <row r="1702" ht="15.75" customHeight="1">
      <c r="A1702" s="1">
        <v>1845.0</v>
      </c>
      <c r="B1702" s="4" t="s">
        <v>1660</v>
      </c>
      <c r="C1702" s="4" t="str">
        <f>IFERROR(__xludf.DUMMYFUNCTION("GOOGLETRANSLATE(B1702,""id"",""en"")"),"['Pay', 'swollen', 'according to', 'bargain', 'application', 'grade', 'Mbps',' add ',' bln ',' booooohooong ',' trap ',' regret ',' Operators', 'Fast', 'Ngadunya', 'Mana', '']")</f>
        <v>['Pay', 'swollen', 'according to', 'bargain', 'application', 'grade', 'Mbps',' add ',' bln ',' booooohooong ',' trap ',' regret ',' Operators', 'Fast', 'Ngadunya', 'Mana', '']</v>
      </c>
      <c r="D1702" s="4">
        <v>1.0</v>
      </c>
    </row>
    <row r="1703" ht="15.75" customHeight="1">
      <c r="A1703" s="1">
        <v>1846.0</v>
      </c>
      <c r="B1703" s="4" t="s">
        <v>1661</v>
      </c>
      <c r="C1703" s="4" t="str">
        <f>IFERROR(__xludf.DUMMYFUNCTION("GOOGLETRANSLATE(B1703,""id"",""en"")"),"['Net', 'Internet', 'Good', 'Application', 'Indihomen', 'Need', 'Good', 'Bug', 'Employee', 'Indihome', 'Please', 'Level', ' Layan ',' ']")</f>
        <v>['Net', 'Internet', 'Good', 'Application', 'Indihomen', 'Need', 'Good', 'Bug', 'Employee', 'Indihome', 'Please', 'Level', ' Layan ',' ']</v>
      </c>
      <c r="D1703" s="4">
        <v>5.0</v>
      </c>
    </row>
    <row r="1704" ht="15.75" customHeight="1">
      <c r="A1704" s="1">
        <v>1847.0</v>
      </c>
      <c r="B1704" s="4" t="s">
        <v>1662</v>
      </c>
      <c r="C1704" s="4" t="str">
        <f>IFERROR(__xludf.DUMMYFUNCTION("GOOGLETRANSLATE(B1704,""id"",""en"")"),"['Open', 'Application', 'Slalu', 'Macet', '']")</f>
        <v>['Open', 'Application', 'Slalu', 'Macet', '']</v>
      </c>
      <c r="D1704" s="4">
        <v>1.0</v>
      </c>
    </row>
    <row r="1705" ht="15.75" customHeight="1">
      <c r="A1705" s="1">
        <v>1848.0</v>
      </c>
      <c r="B1705" s="4" t="s">
        <v>1663</v>
      </c>
      <c r="C1705" s="4" t="str">
        <f>IFERROR(__xludf.DUMMYFUNCTION("GOOGLETRANSLATE(B1705,""id"",""en"")"),"['good', 'application', 'good', 'appears',' work ',' right ',' amps', 'slow', 'verification', 'difficult', 'error', 'go', ' belongs', 'menu', 'see', 'details',' fees', 'contents',' total ',' fees', 'fees',' month ',' package ',' Mbps', 'month' , 'take car"&amp;"e', 'brother', 'understand', 'difficult', 'looks']")</f>
        <v>['good', 'application', 'good', 'appears',' work ',' right ',' amps', 'slow', 'verification', 'difficult', 'error', 'go', ' belongs', 'menu', 'see', 'details',' fees', 'contents',' total ',' fees', 'fees',' month ',' package ',' Mbps', 'month' , 'take care', 'brother', 'understand', 'difficult', 'looks']</v>
      </c>
      <c r="D1705" s="4">
        <v>1.0</v>
      </c>
    </row>
    <row r="1706" ht="15.75" customHeight="1">
      <c r="A1706" s="1">
        <v>1849.0</v>
      </c>
      <c r="B1706" s="4" t="s">
        <v>1664</v>
      </c>
      <c r="C1706" s="4" t="str">
        <f>IFERROR(__xludf.DUMMYFUNCTION("GOOGLETRANSLATE(B1706,""id"",""en"")"),"['Application', 'Broken', 'Login', '']")</f>
        <v>['Application', 'Broken', 'Login', '']</v>
      </c>
      <c r="D1706" s="4">
        <v>1.0</v>
      </c>
    </row>
    <row r="1707" ht="15.75" customHeight="1">
      <c r="A1707" s="1">
        <v>1851.0</v>
      </c>
      <c r="B1707" s="4" t="s">
        <v>1665</v>
      </c>
      <c r="C1707" s="4" t="str">
        <f>IFERROR(__xludf.DUMMYFUNCTION("GOOGLETRANSLATE(B1707,""id"",""en"")"),"['Adu', 'difficult', 'application', 'disturbing', 'tip', 'appears', 'adu', 'tagih', '']")</f>
        <v>['Adu', 'difficult', 'application', 'disturbing', 'tip', 'appears', 'adu', 'tagih', '']</v>
      </c>
      <c r="D1707" s="4">
        <v>2.0</v>
      </c>
    </row>
    <row r="1708" ht="15.75" customHeight="1">
      <c r="A1708" s="1">
        <v>1852.0</v>
      </c>
      <c r="B1708" s="4" t="s">
        <v>1666</v>
      </c>
      <c r="C1708" s="4" t="str">
        <f>IFERROR(__xludf.DUMMYFUNCTION("GOOGLETRANSLATE(B1708,""id"",""en"")"),"['service', 'application', 'fast']")</f>
        <v>['service', 'application', 'fast']</v>
      </c>
      <c r="D1708" s="4">
        <v>5.0</v>
      </c>
    </row>
    <row r="1709" ht="15.75" customHeight="1">
      <c r="A1709" s="1">
        <v>1853.0</v>
      </c>
      <c r="B1709" s="4" t="s">
        <v>1667</v>
      </c>
      <c r="C1709" s="4" t="str">
        <f>IFERROR(__xludf.DUMMYFUNCTION("GOOGLETRANSLATE(B1709,""id"",""en"")"),"['Guna', 'Game', 'Aga', 'Smooth']")</f>
        <v>['Guna', 'Game', 'Aga', 'Smooth']</v>
      </c>
      <c r="D1709" s="4">
        <v>4.0</v>
      </c>
    </row>
    <row r="1710" ht="15.75" customHeight="1">
      <c r="A1710" s="1">
        <v>1854.0</v>
      </c>
      <c r="B1710" s="4" t="s">
        <v>1668</v>
      </c>
      <c r="C1710" s="4" t="str">
        <f>IFERROR(__xludf.DUMMYFUNCTION("GOOGLETRANSLATE(B1710,""id"",""en"")"),"['Laggg', 'Benerrrrrrrr']")</f>
        <v>['Laggg', 'Benerrrrrrrr']</v>
      </c>
      <c r="D1710" s="4">
        <v>1.0</v>
      </c>
    </row>
    <row r="1711" ht="15.75" customHeight="1">
      <c r="A1711" s="1">
        <v>1855.0</v>
      </c>
      <c r="B1711" s="4" t="s">
        <v>1669</v>
      </c>
      <c r="C1711" s="4" t="str">
        <f>IFERROR(__xludf.DUMMYFUNCTION("GOOGLETRANSLATE(B1711,""id"",""en"")"),"['Konol', 'rain', 'lag', 'already', 'mood', 'org', 'threat', 'trima', 'love']")</f>
        <v>['Konol', 'rain', 'lag', 'already', 'mood', 'org', 'threat', 'trima', 'love']</v>
      </c>
      <c r="D1711" s="4">
        <v>1.0</v>
      </c>
    </row>
    <row r="1712" ht="15.75" customHeight="1">
      <c r="A1712" s="1">
        <v>1856.0</v>
      </c>
      <c r="B1712" s="4" t="s">
        <v>1670</v>
      </c>
      <c r="C1712" s="4" t="str">
        <f>IFERROR(__xludf.DUMMYFUNCTION("GOOGLETRANSLATE(B1712,""id"",""en"")"),"['application', 'service', 'help', 'internet', 'lot', '']")</f>
        <v>['application', 'service', 'help', 'internet', 'lot', '']</v>
      </c>
      <c r="D1712" s="4">
        <v>1.0</v>
      </c>
    </row>
    <row r="1713" ht="15.75" customHeight="1">
      <c r="A1713" s="1">
        <v>1857.0</v>
      </c>
      <c r="B1713" s="4" t="s">
        <v>1671</v>
      </c>
      <c r="C1713" s="4" t="str">
        <f>IFERROR(__xludf.DUMMYFUNCTION("GOOGLETRANSLATE(B1713,""id"",""en"")"),"['Report', 'slow']")</f>
        <v>['Report', 'slow']</v>
      </c>
      <c r="D1713" s="4">
        <v>1.0</v>
      </c>
    </row>
    <row r="1714" ht="15.75" customHeight="1">
      <c r="A1714" s="1">
        <v>1859.0</v>
      </c>
      <c r="B1714" s="4" t="s">
        <v>1672</v>
      </c>
      <c r="C1714" s="4" t="str">
        <f>IFERROR(__xludf.DUMMYFUNCTION("GOOGLETRANSLATE(B1714,""id"",""en"")"),"['wifi', 'smell', 'nets',' lot ',' watch ',' film ',' buffer ',' smell ',' bngt ',' mending ',' biznet ',' friend ',' Friends', 'Come', 'Biznet', 'Nets',' Fast ',' Stable ',' Andal ',' Over ',' Biznet ',' Come ',' Buru ',' Life ',' Beautiful ' , 'Internet"&amp;"', 'smooth']")</f>
        <v>['wifi', 'smell', 'nets',' lot ',' watch ',' film ',' buffer ',' smell ',' bngt ',' mending ',' biznet ',' friend ',' Friends', 'Come', 'Biznet', 'Nets',' Fast ',' Stable ',' Andal ',' Over ',' Biznet ',' Come ',' Buru ',' Life ',' Beautiful ' , 'Internet', 'smooth']</v>
      </c>
      <c r="D1714" s="4">
        <v>1.0</v>
      </c>
    </row>
    <row r="1715" ht="15.75" customHeight="1">
      <c r="A1715" s="1">
        <v>1860.0</v>
      </c>
      <c r="B1715" s="4" t="s">
        <v>1673</v>
      </c>
      <c r="C1715" s="4" t="str">
        <f>IFERROR(__xludf.DUMMYFUNCTION("GOOGLETRANSLATE(B1715,""id"",""en"")"),"['Good', 'trims']")</f>
        <v>['Good', 'trims']</v>
      </c>
      <c r="D1715" s="4">
        <v>5.0</v>
      </c>
    </row>
    <row r="1716" ht="15.75" customHeight="1">
      <c r="A1716" s="1">
        <v>1861.0</v>
      </c>
      <c r="B1716" s="4" t="s">
        <v>1674</v>
      </c>
      <c r="C1716" s="4" t="str">
        <f>IFERROR(__xludf.DUMMYFUNCTION("GOOGLETRANSLATE(B1716,""id"",""en"")"),"['Net', 'Naturally', 'Watch', 'YouTube', 'Ngelag', 'Ngelag', 'Nge', 'Game', 'Tetep', 'Ngelag']")</f>
        <v>['Net', 'Naturally', 'Watch', 'YouTube', 'Ngelag', 'Ngelag', 'Nge', 'Game', 'Tetep', 'Ngelag']</v>
      </c>
      <c r="D1716" s="4">
        <v>1.0</v>
      </c>
    </row>
    <row r="1717" ht="15.75" customHeight="1">
      <c r="A1717" s="1">
        <v>1863.0</v>
      </c>
      <c r="B1717" s="4" t="s">
        <v>1675</v>
      </c>
      <c r="C1717" s="4" t="str">
        <f>IFERROR(__xludf.DUMMYFUNCTION("GOOGLETRANSLATE(B1717,""id"",""en"")"),"['', 'Bener', 'Indi', 'Home']")</f>
        <v>['', 'Bener', 'Indi', 'Home']</v>
      </c>
      <c r="D1717" s="4">
        <v>4.0</v>
      </c>
    </row>
    <row r="1718" ht="15.75" customHeight="1">
      <c r="A1718" s="1">
        <v>1864.0</v>
      </c>
      <c r="B1718" s="4" t="s">
        <v>1676</v>
      </c>
      <c r="C1718" s="4" t="str">
        <f>IFERROR(__xludf.DUMMYFUNCTION("GOOGLETRANSLATE(B1718,""id"",""en"")"),"['Fast', 'response']")</f>
        <v>['Fast', 'response']</v>
      </c>
      <c r="D1718" s="4">
        <v>5.0</v>
      </c>
    </row>
    <row r="1719" ht="15.75" customHeight="1">
      <c r="A1719" s="1">
        <v>1865.0</v>
      </c>
      <c r="B1719" s="4" t="s">
        <v>1677</v>
      </c>
      <c r="C1719" s="4" t="str">
        <f>IFERROR(__xludf.DUMMYFUNCTION("GOOGLETRANSLATE(B1719,""id"",""en"")"),"['Severe', 'application', 'stuck', 'jammed', 'veranda', 'application']")</f>
        <v>['Severe', 'application', 'stuck', 'jammed', 'veranda', 'application']</v>
      </c>
      <c r="D1719" s="4">
        <v>2.0</v>
      </c>
    </row>
    <row r="1720" ht="15.75" customHeight="1">
      <c r="A1720" s="1">
        <v>1866.0</v>
      </c>
      <c r="B1720" s="4" t="s">
        <v>1678</v>
      </c>
      <c r="C1720" s="4" t="str">
        <f>IFERROR(__xludf.DUMMYFUNCTION("GOOGLETRANSLATE(B1720,""id"",""en"")"),"['Indihome', 'Plaza', 'Report', 'Lights', 'PON', 'Red', 'Kaga', 'Tangap']")</f>
        <v>['Indihome', 'Plaza', 'Report', 'Lights', 'PON', 'Red', 'Kaga', 'Tangap']</v>
      </c>
      <c r="D1720" s="4">
        <v>1.0</v>
      </c>
    </row>
    <row r="1721" ht="15.75" customHeight="1">
      <c r="A1721" s="1">
        <v>1867.0</v>
      </c>
      <c r="B1721" s="4" t="s">
        <v>1679</v>
      </c>
      <c r="C1721" s="4" t="str">
        <f>IFERROR(__xludf.DUMMYFUNCTION("GOOGLETRANSLATE(B1721,""id"",""en"")"),"['Thank "",' Love ',' Report ',' Adu ',' Sell ',' Results ',' Change ',' Lot ',' lag ',' so ',' thank ',' ']")</f>
        <v>['Thank ",' Love ',' Report ',' Adu ',' Sell ',' Results ',' Change ',' Lot ',' lag ',' so ',' thank ',' ']</v>
      </c>
      <c r="D1721" s="4">
        <v>1.0</v>
      </c>
    </row>
    <row r="1722" ht="15.75" customHeight="1">
      <c r="A1722" s="1">
        <v>1868.0</v>
      </c>
      <c r="B1722" s="4" t="s">
        <v>1680</v>
      </c>
      <c r="C1722" s="4" t="str">
        <f>IFERROR(__xludf.DUMMYFUNCTION("GOOGLETRANSLATE(B1722,""id"",""en"")"),"['Pas', 'Tide', 'service', 'check', 'location', 'error', 'Kalimantan', 'already', 'indihome']")</f>
        <v>['Pas', 'Tide', 'service', 'check', 'location', 'error', 'Kalimantan', 'already', 'indihome']</v>
      </c>
      <c r="D1722" s="4">
        <v>1.0</v>
      </c>
    </row>
    <row r="1723" ht="15.75" customHeight="1">
      <c r="A1723" s="1">
        <v>1869.0</v>
      </c>
      <c r="B1723" s="4" t="s">
        <v>1681</v>
      </c>
      <c r="C1723" s="4" t="str">
        <f>IFERROR(__xludf.DUMMYFUNCTION("GOOGLETRANSLATE(B1723,""id"",""en"")"),"['here', 'lot', 'already', 'that's', 'engineering', 'slow', 'response', '']")</f>
        <v>['here', 'lot', 'already', 'that's', 'engineering', 'slow', 'response', '']</v>
      </c>
      <c r="D1723" s="4">
        <v>1.0</v>
      </c>
    </row>
    <row r="1724" ht="15.75" customHeight="1">
      <c r="A1724" s="1">
        <v>1870.0</v>
      </c>
      <c r="B1724" s="4" t="s">
        <v>1682</v>
      </c>
      <c r="C1724" s="4" t="str">
        <f>IFERROR(__xludf.DUMMYFUNCTION("GOOGLETRANSLATE(B1724,""id"",""en"")"),"['signal', 'stable', 'play', 'game', 'ping', 'ms',' use ',' home ',' signal ',' lot ',' restart ',' modem ',' Lot ',' use ',' Mbps', 'Lot', 'Office', 'Indohome', 'Center', 'Report', 'Change']")</f>
        <v>['signal', 'stable', 'play', 'game', 'ping', 'ms',' use ',' home ',' signal ',' lot ',' restart ',' modem ',' Lot ',' use ',' Mbps', 'Lot', 'Office', 'Indohome', 'Center', 'Report', 'Change']</v>
      </c>
      <c r="D1724" s="4">
        <v>1.0</v>
      </c>
    </row>
    <row r="1725" ht="15.75" customHeight="1">
      <c r="A1725" s="1">
        <v>1873.0</v>
      </c>
      <c r="B1725" s="4" t="s">
        <v>1683</v>
      </c>
      <c r="C1725" s="4" t="str">
        <f>IFERROR(__xludf.DUMMYFUNCTION("GOOGLETRANSLATE(B1725,""id"",""en"")"),"['Login', 'Login', 'Please', 'Wait', 'Wait', 'Move', 'Provider', 'Response', 'Application', 'Install', 'Smartphone', 'Android', ' Redmi ',' Note ',' Application ',' Bad ',' ']")</f>
        <v>['Login', 'Login', 'Please', 'Wait', 'Wait', 'Move', 'Provider', 'Response', 'Application', 'Install', 'Smartphone', 'Android', ' Redmi ',' Note ',' Application ',' Bad ',' ']</v>
      </c>
      <c r="D1725" s="4">
        <v>1.0</v>
      </c>
    </row>
    <row r="1726" ht="15.75" customHeight="1">
      <c r="A1726" s="1">
        <v>1874.0</v>
      </c>
      <c r="B1726" s="4" t="s">
        <v>1684</v>
      </c>
      <c r="C1726" s="4" t="str">
        <f>IFERROR(__xludf.DUMMYFUNCTION("GOOGLETRANSLATE(B1726,""id"",""en"")"),"['TUWAN', 'APK', 'EASY', 'Subscribe', 'APK', 'Function', 'Vertification', 'Account', 'Response', 'Upgrade', 'Speed', 'Response', ' ']")</f>
        <v>['TUWAN', 'APK', 'EASY', 'Subscribe', 'APK', 'Function', 'Vertification', 'Account', 'Response', 'Upgrade', 'Speed', 'Response', ' ']</v>
      </c>
      <c r="D1726" s="4">
        <v>1.0</v>
      </c>
    </row>
    <row r="1727" ht="15.75" customHeight="1">
      <c r="A1727" s="1">
        <v>1875.0</v>
      </c>
      <c r="B1727" s="4" t="s">
        <v>1685</v>
      </c>
      <c r="C1727" s="4" t="str">
        <f>IFERROR(__xludf.DUMMYFUNCTION("GOOGLETRANSLATE(B1727,""id"",""en"")"),"['slow', 'service', 'hope', 'service', 'good', '']")</f>
        <v>['slow', 'service', 'hope', 'service', 'good', '']</v>
      </c>
      <c r="D1727" s="4">
        <v>5.0</v>
      </c>
    </row>
    <row r="1728" ht="15.75" customHeight="1">
      <c r="A1728" s="1">
        <v>1877.0</v>
      </c>
      <c r="B1728" s="4" t="s">
        <v>1686</v>
      </c>
      <c r="C1728" s="4" t="str">
        <f>IFERROR(__xludf.DUMMYFUNCTION("GOOGLETRANSLATE(B1728,""id"",""en"")"),"['Kon', 'Lemod']")</f>
        <v>['Kon', 'Lemod']</v>
      </c>
      <c r="D1728" s="4">
        <v>1.0</v>
      </c>
    </row>
    <row r="1729" ht="15.75" customHeight="1">
      <c r="A1729" s="1">
        <v>1878.0</v>
      </c>
      <c r="B1729" s="4" t="s">
        <v>1687</v>
      </c>
      <c r="C1729" s="4" t="str">
        <f>IFERROR(__xludf.DUMMYFUNCTION("GOOGLETRANSLATE(B1729,""id"",""en"")"),"['King', 'Ngellag', 'Gausah', 'business']")</f>
        <v>['King', 'Ngellag', 'Gausah', 'business']</v>
      </c>
      <c r="D1729" s="4">
        <v>1.0</v>
      </c>
    </row>
    <row r="1730" ht="15.75" customHeight="1">
      <c r="A1730" s="1">
        <v>1879.0</v>
      </c>
      <c r="B1730" s="4" t="s">
        <v>1688</v>
      </c>
      <c r="C1730" s="4" t="str">
        <f>IFERROR(__xludf.DUMMYFUNCTION("GOOGLETRANSLATE(B1730,""id"",""en"")"),"['Sad', 'business',' Telkom ',' No. ',' back ',' Refound ',' height ',' stop ',' Langanan ',' Darling ',' service ',' Indihome ',' AJU ',' January ',' FREEFound ',' ']")</f>
        <v>['Sad', 'business',' Telkom ',' No. ',' back ',' Refound ',' height ',' stop ',' Langanan ',' Darling ',' service ',' Indihome ',' AJU ',' January ',' FREEFound ',' ']</v>
      </c>
      <c r="D1730" s="4">
        <v>1.0</v>
      </c>
    </row>
    <row r="1731" ht="15.75" customHeight="1">
      <c r="A1731" s="1">
        <v>1880.0</v>
      </c>
      <c r="B1731" s="4" t="s">
        <v>1689</v>
      </c>
      <c r="C1731" s="4" t="str">
        <f>IFERROR(__xludf.DUMMYFUNCTION("GOOGLETRANSLATE(B1731,""id"",""en"")"),"['disturb']")</f>
        <v>['disturb']</v>
      </c>
      <c r="D1731" s="4">
        <v>2.0</v>
      </c>
    </row>
    <row r="1732" ht="15.75" customHeight="1">
      <c r="A1732" s="1">
        <v>1881.0</v>
      </c>
      <c r="B1732" s="4" t="s">
        <v>1690</v>
      </c>
      <c r="C1732" s="4" t="str">
        <f>IFERROR(__xludf.DUMMYFUNCTION("GOOGLETRANSLATE(B1732,""id"",""en"")"),"['Tide', 'Clock', 'Direct', 'Disturbs', 'Internet', 'Access', ""]")</f>
        <v>['Tide', 'Clock', 'Direct', 'Disturbs', 'Internet', 'Access', "]</v>
      </c>
      <c r="D1732" s="4">
        <v>1.0</v>
      </c>
    </row>
    <row r="1733" ht="15.75" customHeight="1">
      <c r="A1733" s="1">
        <v>1882.0</v>
      </c>
      <c r="B1733" s="4" t="s">
        <v>1691</v>
      </c>
      <c r="C1733" s="4" t="str">
        <f>IFERROR(__xludf.DUMMYFUNCTION("GOOGLETRANSLATE(B1733,""id"",""en"")"),"['Internet', 'disturbing', 'Mulu', 'wifi', 'no', 'already', 'Sunday', 'disturbing', 'continued', 'Males',' Ntar ',' a little ',' lgi ',' little ',' wifi ',' koh ',' always', 'disturbing', 'sometimes',' lights', 'color', 'red', 'no', 'woii']")</f>
        <v>['Internet', 'disturbing', 'Mulu', 'wifi', 'no', 'already', 'Sunday', 'disturbing', 'continued', 'Males',' Ntar ',' a little ',' lgi ',' little ',' wifi ',' koh ',' always', 'disturbing', 'sometimes',' lights', 'color', 'red', 'no', 'woii']</v>
      </c>
      <c r="D1733" s="4">
        <v>2.0</v>
      </c>
    </row>
    <row r="1734" ht="15.75" customHeight="1">
      <c r="A1734" s="1">
        <v>1883.0</v>
      </c>
      <c r="B1734" s="4" t="s">
        <v>1692</v>
      </c>
      <c r="C1734" s="4" t="str">
        <f>IFERROR(__xludf.DUMMYFUNCTION("GOOGLETRANSLATE(B1734,""id"",""en"")"),"['Aduhh', 'net', 'boss',' good ',' wifi ',' yng ',' dipake ',' org ',' kek ',' gin ',' slow ',' lag ',' Download ',' really ',' good ',' woiu ']")</f>
        <v>['Aduhh', 'net', 'boss',' good ',' wifi ',' yng ',' dipake ',' org ',' kek ',' gin ',' slow ',' lag ',' Download ',' really ',' good ',' woiu ']</v>
      </c>
      <c r="D1734" s="4">
        <v>1.0</v>
      </c>
    </row>
    <row r="1735" ht="15.75" customHeight="1">
      <c r="A1735" s="1">
        <v>1884.0</v>
      </c>
      <c r="B1735" s="4" t="s">
        <v>1693</v>
      </c>
      <c r="C1735" s="4" t="str">
        <f>IFERROR(__xludf.DUMMYFUNCTION("GOOGLETRANSLATE(B1735,""id"",""en"")"),"['Please', 'Developer', 'Good', 'Features',' Constraints', 'Example', 'Features',' ADD ',' Speed ​​',' Demand ',' Feature ',' Selalh ',' natural ',' error ',' access', 'page']")</f>
        <v>['Please', 'Developer', 'Good', 'Features',' Constraints', 'Example', 'Features',' ADD ',' Speed ​​',' Demand ',' Feature ',' Selalh ',' natural ',' error ',' access', 'page']</v>
      </c>
      <c r="D1735" s="4">
        <v>3.0</v>
      </c>
    </row>
    <row r="1736" ht="15.75" customHeight="1">
      <c r="A1736" s="1">
        <v>1885.0</v>
      </c>
      <c r="B1736" s="4" t="s">
        <v>1694</v>
      </c>
      <c r="C1736" s="4" t="str">
        <f>IFERROR(__xludf.DUMMYFUNCTION("GOOGLETRANSLATE(B1736,""id"",""en"")"),"['Pay', 'just', 'sick', 'heart', 'Gara', 'Gara', 'provider']")</f>
        <v>['Pay', 'just', 'sick', 'heart', 'Gara', 'Gara', 'provider']</v>
      </c>
      <c r="D1736" s="4">
        <v>1.0</v>
      </c>
    </row>
    <row r="1737" ht="15.75" customHeight="1">
      <c r="A1737" s="1">
        <v>1886.0</v>
      </c>
      <c r="B1737" s="4" t="s">
        <v>1695</v>
      </c>
      <c r="C1737" s="4" t="str">
        <f>IFERROR(__xludf.DUMMYFUNCTION("GOOGLETRANSLATE(B1737,""id"",""en"")"),"['Indihome', 'slow', 'tagging', 'expensive', 'disturbing', 'trosss']")</f>
        <v>['Indihome', 'slow', 'tagging', 'expensive', 'disturbing', 'trosss']</v>
      </c>
      <c r="D1737" s="4">
        <v>2.0</v>
      </c>
    </row>
    <row r="1738" ht="15.75" customHeight="1">
      <c r="A1738" s="1">
        <v>1887.0</v>
      </c>
      <c r="B1738" s="4" t="s">
        <v>1696</v>
      </c>
      <c r="C1738" s="4" t="str">
        <f>IFERROR(__xludf.DUMMYFUNCTION("GOOGLETRANSLATE(B1738,""id"",""en"")"),"['ehhhh', 'intention', 'gave', 'signal', 'Nge', 'Game', 'Disconnect', 'Delicious',' work ',' Online ',' Cutting ',' Internet ',' Biznet ',' Region ',' Lonely ',' Indihome ',' People ',' complained ',' Signal ',' ugly ',' You ',' Tuber ',' Until ',' Bocil "&amp;"',' play ' , 'taste', 'bad', 'signal', 'indihome']")</f>
        <v>['ehhhh', 'intention', 'gave', 'signal', 'Nge', 'Game', 'Disconnect', 'Delicious',' work ',' Online ',' Cutting ',' Internet ',' Biznet ',' Region ',' Lonely ',' Indihome ',' People ',' complained ',' Signal ',' ugly ',' You ',' Tuber ',' Until ',' Bocil ',' play ' , 'taste', 'bad', 'signal', 'indihome']</v>
      </c>
      <c r="D1738" s="4">
        <v>1.0</v>
      </c>
    </row>
    <row r="1739" ht="15.75" customHeight="1">
      <c r="A1739" s="1">
        <v>1888.0</v>
      </c>
      <c r="B1739" s="4" t="s">
        <v>1697</v>
      </c>
      <c r="C1739" s="4" t="str">
        <f>IFERROR(__xludf.DUMMYFUNCTION("GOOGLETRANSLATE(B1739,""id"",""en"")"),"['stage', 'verification', 'finished', 'account', 'myindihome', 'Wait', 'process',' pairs', 'quota', 'subscribe', 'place', 'stay', ' Reject ',' Survey ',' Data ',' Personal ',' PHP ',' Need ',' Data ',' Personal ',' Important ', ""]")</f>
        <v>['stage', 'verification', 'finished', 'account', 'myindihome', 'Wait', 'process',' pairs', 'quota', 'subscribe', 'place', 'stay', ' Reject ',' Survey ',' Data ',' Personal ',' PHP ',' Need ',' Data ',' Personal ',' Important ', "]</v>
      </c>
      <c r="D1739" s="4">
        <v>1.0</v>
      </c>
    </row>
    <row r="1740" ht="15.75" customHeight="1">
      <c r="A1740" s="1">
        <v>1889.0</v>
      </c>
      <c r="B1740" s="4" t="s">
        <v>1698</v>
      </c>
      <c r="C1740" s="4" t="str">
        <f>IFERROR(__xludf.DUMMYFUNCTION("GOOGLETRANSLATE(B1740,""id"",""en"")"),"['signal', 'ugly', 'expensive', 'add', 'mbps', 'just', 'mbps', 'upload', 'just', 'wifi']")</f>
        <v>['signal', 'ugly', 'expensive', 'add', 'mbps', 'just', 'mbps', 'upload', 'just', 'wifi']</v>
      </c>
      <c r="D1740" s="4">
        <v>1.0</v>
      </c>
    </row>
    <row r="1741" ht="15.75" customHeight="1">
      <c r="A1741" s="1">
        <v>1890.0</v>
      </c>
      <c r="B1741" s="4" t="s">
        <v>1699</v>
      </c>
      <c r="C1741" s="4" t="str">
        <f>IFERROR(__xludf.DUMMYFUNCTION("GOOGLETRANSLATE(B1741,""id"",""en"")"),"['', 'star', 'subscribe', 'wifi', 'enter', '']")</f>
        <v>['', 'star', 'subscribe', 'wifi', 'enter', '']</v>
      </c>
      <c r="D1741" s="4">
        <v>3.0</v>
      </c>
    </row>
    <row r="1742" ht="15.75" customHeight="1">
      <c r="A1742" s="1">
        <v>1891.0</v>
      </c>
      <c r="B1742" s="4" t="s">
        <v>1700</v>
      </c>
      <c r="C1742" s="4" t="str">
        <f>IFERROR(__xludf.DUMMYFUNCTION("GOOGLETRANSLATE(B1742,""id"",""en"")"),"['Blum', 'Definitely', 'slot', 'ODP', 'full', 'application', 'already', 'enter', 'stage', 'pairs', 'status', 'missing']")</f>
        <v>['Blum', 'Definitely', 'slot', 'ODP', 'full', 'application', 'already', 'enter', 'stage', 'pairs', 'status', 'missing']</v>
      </c>
      <c r="D1742" s="4">
        <v>3.0</v>
      </c>
    </row>
    <row r="1743" ht="15.75" customHeight="1">
      <c r="A1743" s="1">
        <v>1892.0</v>
      </c>
      <c r="B1743" s="4" t="s">
        <v>1701</v>
      </c>
      <c r="C1743" s="4" t="str">
        <f>IFERROR(__xludf.DUMMYFUNCTION("GOOGLETRANSLATE(B1743,""id"",""en"")"),"['Sometimes', 'like', 'ngeleg', 'response', '']")</f>
        <v>['Sometimes', 'like', 'ngeleg', 'response', '']</v>
      </c>
      <c r="D1743" s="4">
        <v>3.0</v>
      </c>
    </row>
    <row r="1744" ht="15.75" customHeight="1">
      <c r="A1744" s="1">
        <v>1893.0</v>
      </c>
      <c r="B1744" s="4" t="s">
        <v>1702</v>
      </c>
      <c r="C1744" s="4" t="str">
        <f>IFERROR(__xludf.DUMMYFUNCTION("GOOGLETRANSLATE(B1744,""id"",""en"")"),"['Phone', 'Please', 'Help']")</f>
        <v>['Phone', 'Please', 'Help']</v>
      </c>
      <c r="D1744" s="4">
        <v>1.0</v>
      </c>
    </row>
    <row r="1745" ht="15.75" customHeight="1">
      <c r="A1745" s="1">
        <v>1896.0</v>
      </c>
      <c r="B1745" s="4" t="s">
        <v>1703</v>
      </c>
      <c r="C1745" s="4" t="str">
        <f>IFERROR(__xludf.DUMMYFUNCTION("GOOGLETRANSLATE(B1745,""id"",""en"")"),"['service', 'bad', 'pairs',' complicated ',' ngaudzubillah ',' serve ',' ngk ',' ngk ',' direct ',' reject ',' start ',' throw ',' Sales', 'SPV', 'Sales',' Office ',' Verification ',' Chat ',' Verification ',' Telfon ',' Make ',' Practical ',' Please ',' "&amp;"Indihome ',' While ' , 'Long', 'good', 'service', '']")</f>
        <v>['service', 'bad', 'pairs',' complicated ',' ngaudzubillah ',' serve ',' ngk ',' ngk ',' direct ',' reject ',' start ',' throw ',' Sales', 'SPV', 'Sales',' Office ',' Verification ',' Chat ',' Verification ',' Telfon ',' Make ',' Practical ',' Please ',' Indihome ',' While ' , 'Long', 'good', 'service', '']</v>
      </c>
      <c r="D1745" s="4">
        <v>1.0</v>
      </c>
    </row>
    <row r="1746" ht="15.75" customHeight="1">
      <c r="A1746" s="1">
        <v>1897.0</v>
      </c>
      <c r="B1746" s="4" t="s">
        <v>1704</v>
      </c>
      <c r="C1746" s="4" t="str">
        <f>IFERROR(__xludf.DUMMYFUNCTION("GOOGLETRANSLATE(B1746,""id"",""en"")"),"['silly', 'bug']")</f>
        <v>['silly', 'bug']</v>
      </c>
      <c r="D1746" s="4">
        <v>1.0</v>
      </c>
    </row>
    <row r="1747" ht="15.75" customHeight="1">
      <c r="A1747" s="1">
        <v>1899.0</v>
      </c>
      <c r="B1747" s="4" t="s">
        <v>1705</v>
      </c>
      <c r="C1747" s="4" t="str">
        <f>IFERROR(__xludf.DUMMYFUNCTION("GOOGLETRANSLATE(B1747,""id"",""en"")"),"['Process', 'Adu', 'Fast', 'Action', 'Continue', 'Satisfied', 'Layan']")</f>
        <v>['Process', 'Adu', 'Fast', 'Action', 'Continue', 'Satisfied', 'Layan']</v>
      </c>
      <c r="D1747" s="4">
        <v>5.0</v>
      </c>
    </row>
    <row r="1748" ht="15.75" customHeight="1">
      <c r="A1748" s="1">
        <v>1900.0</v>
      </c>
      <c r="B1748" s="4" t="s">
        <v>1706</v>
      </c>
      <c r="C1748" s="4" t="str">
        <f>IFERROR(__xludf.DUMMYFUNCTION("GOOGLETRANSLATE(B1748,""id"",""en"")"),"['Good', 'The', 'Best']")</f>
        <v>['Good', 'The', 'Best']</v>
      </c>
      <c r="D1748" s="4">
        <v>4.0</v>
      </c>
    </row>
    <row r="1749" ht="15.75" customHeight="1">
      <c r="A1749" s="1">
        <v>1902.0</v>
      </c>
      <c r="B1749" s="4" t="s">
        <v>1707</v>
      </c>
      <c r="C1749" s="4" t="str">
        <f>IFERROR(__xludf.DUMMYFUNCTION("GOOGLETRANSLATE(B1749,""id"",""en"")"),"['installation', 'poor', 'code', 'OTP', 'failed', '']")</f>
        <v>['installation', 'poor', 'code', 'OTP', 'failed', '']</v>
      </c>
      <c r="D1749" s="4">
        <v>2.0</v>
      </c>
    </row>
    <row r="1750" ht="15.75" customHeight="1">
      <c r="A1750" s="1">
        <v>1903.0</v>
      </c>
      <c r="B1750" s="4" t="s">
        <v>1708</v>
      </c>
      <c r="C1750" s="4" t="str">
        <f>IFERROR(__xludf.DUMMYFUNCTION("GOOGLETRANSLATE(B1750,""id"",""en"")"),"['signal', 'stable', 'apbila', 'trouble', 'fast', 'good', 'goodjob', '']")</f>
        <v>['signal', 'stable', 'apbila', 'trouble', 'fast', 'good', 'goodjob', '']</v>
      </c>
      <c r="D1750" s="4">
        <v>5.0</v>
      </c>
    </row>
    <row r="1751" ht="15.75" customHeight="1">
      <c r="A1751" s="1">
        <v>1904.0</v>
      </c>
      <c r="B1751" s="4" t="s">
        <v>1709</v>
      </c>
      <c r="C1751" s="4" t="str">
        <f>IFERROR(__xludf.DUMMYFUNCTION("GOOGLETRANSLATE(B1751,""id"",""en"")"),"['Tel', 'Customer', 'servicenya', 'fast', 'hand', '']")</f>
        <v>['Tel', 'Customer', 'servicenya', 'fast', 'hand', '']</v>
      </c>
      <c r="D1751" s="4">
        <v>5.0</v>
      </c>
    </row>
    <row r="1752" ht="15.75" customHeight="1">
      <c r="A1752" s="1">
        <v>1905.0</v>
      </c>
      <c r="B1752" s="4" t="s">
        <v>1710</v>
      </c>
      <c r="C1752" s="4" t="str">
        <f>IFERROR(__xludf.DUMMYFUNCTION("GOOGLETRANSLATE(B1752,""id"",""en"")"),"['Severe', 'Sunday', 'AJU', 'work', 'pairs',' Alas', 'cable', 'enter', 'sense', 'effort', 'less',' cable ',' Bloon ',' ']")</f>
        <v>['Severe', 'Sunday', 'AJU', 'work', 'pairs',' Alas', 'cable', 'enter', 'sense', 'effort', 'less',' cable ',' Bloon ',' ']</v>
      </c>
      <c r="D1752" s="4">
        <v>1.0</v>
      </c>
    </row>
    <row r="1753" ht="15.75" customHeight="1">
      <c r="A1753" s="1">
        <v>1906.0</v>
      </c>
      <c r="B1753" s="4" t="s">
        <v>1711</v>
      </c>
      <c r="C1753" s="4" t="str">
        <f>IFERROR(__xludf.DUMMYFUNCTION("GOOGLETRANSLATE(B1753,""id"",""en"")"),"['Komplen', 'Samepe', 'error', 'complement', 'via', 'application', 'auto', 'chat', 'sad', 'front', 'here', 'service', ' MUAS ',' Maximum ',' ']")</f>
        <v>['Komplen', 'Samepe', 'error', 'complement', 'via', 'application', 'auto', 'chat', 'sad', 'front', 'here', 'service', ' MUAS ',' Maximum ',' ']</v>
      </c>
      <c r="D1753" s="4">
        <v>1.0</v>
      </c>
    </row>
    <row r="1754" ht="15.75" customHeight="1">
      <c r="A1754" s="1">
        <v>1907.0</v>
      </c>
      <c r="B1754" s="4" t="s">
        <v>1712</v>
      </c>
      <c r="C1754" s="4" t="str">
        <f>IFERROR(__xludf.DUMMYFUNCTION("GOOGLETRANSLATE(B1754,""id"",""en"")"),"['', 'Ticket', 'Adu', 'Ticket', 'Already', 'Record', 'History', 'Layan', 'Adu']")</f>
        <v>['', 'Ticket', 'Adu', 'Ticket', 'Already', 'Record', 'History', 'Layan', 'Adu']</v>
      </c>
      <c r="D1754" s="4">
        <v>1.0</v>
      </c>
    </row>
    <row r="1755" ht="15.75" customHeight="1">
      <c r="A1755" s="1">
        <v>1908.0</v>
      </c>
      <c r="B1755" s="4" t="s">
        <v>1713</v>
      </c>
      <c r="C1755" s="4" t="str">
        <f>IFERROR(__xludf.DUMMYFUNCTION("GOOGLETRANSLATE(B1755,""id"",""en"")"),"['Ngelagggg']")</f>
        <v>['Ngelagggg']</v>
      </c>
      <c r="D1755" s="4">
        <v>1.0</v>
      </c>
    </row>
    <row r="1756" ht="15.75" customHeight="1">
      <c r="A1756" s="1">
        <v>1909.0</v>
      </c>
      <c r="B1756" s="4" t="s">
        <v>1714</v>
      </c>
      <c r="C1756" s="4" t="str">
        <f>IFERROR(__xludf.DUMMYFUNCTION("GOOGLETRANSLATE(B1756,""id"",""en"")"),"['Check', 'Lot', 'Ouch', 'Dri', 'Dlu', 'weve', 'Indihome', 'bad', 'quality', 'suggestion', 'net', 'good', ' Move ',' Dri ',' Indihome ']")</f>
        <v>['Check', 'Lot', 'Ouch', 'Dri', 'Dlu', 'weve', 'Indihome', 'bad', 'quality', 'suggestion', 'net', 'good', ' Move ',' Dri ',' Indihome ']</v>
      </c>
      <c r="D1756" s="4">
        <v>1.0</v>
      </c>
    </row>
    <row r="1757" ht="15.75" customHeight="1">
      <c r="A1757" s="1">
        <v>1910.0</v>
      </c>
      <c r="B1757" s="4" t="s">
        <v>1715</v>
      </c>
      <c r="C1757" s="4" t="str">
        <f>IFERROR(__xludf.DUMMYFUNCTION("GOOGLETRANSLATE(B1757,""id"",""en"")"),"['MantaaaAppp', 'Lot', '']")</f>
        <v>['MantaaaAppp', 'Lot', '']</v>
      </c>
      <c r="D1757" s="4">
        <v>1.0</v>
      </c>
    </row>
    <row r="1758" ht="15.75" customHeight="1">
      <c r="A1758" s="1">
        <v>1911.0</v>
      </c>
      <c r="B1758" s="4" t="s">
        <v>1716</v>
      </c>
      <c r="C1758" s="4" t="str">
        <f>IFERROR(__xludf.DUMMYFUNCTION("GOOGLETRANSLATE(B1758,""id"",""en"")"),"['Mending', 'Change', 'name', 'Leethome', '']")</f>
        <v>['Mending', 'Change', 'name', 'Leethome', '']</v>
      </c>
      <c r="D1758" s="4">
        <v>1.0</v>
      </c>
    </row>
    <row r="1759" ht="15.75" customHeight="1">
      <c r="A1759" s="1">
        <v>1912.0</v>
      </c>
      <c r="B1759" s="4" t="s">
        <v>1717</v>
      </c>
      <c r="C1759" s="4" t="str">
        <f>IFERROR(__xludf.DUMMYFUNCTION("GOOGLETRANSLATE(B1759,""id"",""en"")"),"['Gara', 'pandemic', 'already', 'broke', 'contract', 'LANGUAGE', 'Indihome', 'Install', 'Indihome', 'Mending', 'Thinking', 'Deh', ' ']")</f>
        <v>['Gara', 'pandemic', 'already', 'broke', 'contract', 'LANGUAGE', 'Indihome', 'Install', 'Indihome', 'Mending', 'Thinking', 'Deh', ' ']</v>
      </c>
      <c r="D1759" s="4">
        <v>1.0</v>
      </c>
    </row>
    <row r="1760" ht="15.75" customHeight="1">
      <c r="A1760" s="1">
        <v>1913.0</v>
      </c>
      <c r="B1760" s="4" t="s">
        <v>1718</v>
      </c>
      <c r="C1760" s="4" t="str">
        <f>IFERROR(__xludf.DUMMYFUNCTION("GOOGLETRANSLATE(B1760,""id"",""en"")"),"['Indihome', 'Thinking', 'Ride', 'Rating', 'Indihome', 'Read', 'complained', 'custumer', 'net', 'Lot', 'missing', 'signal', ' Money ',' fast ',' no ',' late ', ""]")</f>
        <v>['Indihome', 'Thinking', 'Ride', 'Rating', 'Indihome', 'Read', 'complained', 'custumer', 'net', 'Lot', 'missing', 'signal', ' Money ',' fast ',' no ',' late ', "]</v>
      </c>
      <c r="D1760" s="4">
        <v>1.0</v>
      </c>
    </row>
    <row r="1761" ht="15.75" customHeight="1">
      <c r="A1761" s="1">
        <v>1914.0</v>
      </c>
      <c r="B1761" s="4" t="s">
        <v>1719</v>
      </c>
      <c r="C1761" s="4" t="str">
        <f>IFERROR(__xludf.DUMMYFUNCTION("GOOGLETRANSLATE(B1761,""id"",""en"")"),"['ampuuuuuuuuu', 'swept', 'swept', 'run out', 'month', 'pay', 'use', 'money', 'use', 'leaves', ""]")</f>
        <v>['ampuuuuuuuuu', 'swept', 'swept', 'run out', 'month', 'pay', 'use', 'money', 'use', 'leaves', "]</v>
      </c>
      <c r="D1761" s="4">
        <v>1.0</v>
      </c>
    </row>
    <row r="1762" ht="15.75" customHeight="1">
      <c r="A1762" s="1">
        <v>1915.0</v>
      </c>
      <c r="B1762" s="4" t="s">
        <v>1720</v>
      </c>
      <c r="C1762" s="4" t="str">
        <f>IFERROR(__xludf.DUMMYFUNCTION("GOOGLETRANSLATE(B1762,""id"",""en"")"),"['', 'Ngerti', 'Provider', 'Advertising', 'Jor', 'Quality', 'Zero', 'Month', 'Disturbs',' Times', 'Times',' '' '' ]")</f>
        <v>['', 'Ngerti', 'Provider', 'Advertising', 'Jor', 'Quality', 'Zero', 'Month', 'Disturbs',' Times', 'Times',' '' '' ]</v>
      </c>
      <c r="D1762" s="4">
        <v>1.0</v>
      </c>
    </row>
    <row r="1763" ht="15.75" customHeight="1">
      <c r="A1763" s="1">
        <v>1916.0</v>
      </c>
      <c r="B1763" s="4" t="s">
        <v>1721</v>
      </c>
      <c r="C1763" s="4" t="str">
        <f>IFERROR(__xludf.DUMMYFUNCTION("GOOGLETRANSLATE(B1763,""id"",""en"")"),"['Eat', 'Heart', 'Please', 'Deh', 'Langanggang', 'Indihome', ""]")</f>
        <v>['Eat', 'Heart', 'Please', 'Deh', 'Langanggang', 'Indihome', "]</v>
      </c>
      <c r="D1763" s="4">
        <v>1.0</v>
      </c>
    </row>
    <row r="1764" ht="15.75" customHeight="1">
      <c r="A1764" s="1">
        <v>1917.0</v>
      </c>
      <c r="B1764" s="4" t="s">
        <v>1722</v>
      </c>
      <c r="C1764" s="4" t="str">
        <f>IFERROR(__xludf.DUMMYFUNCTION("GOOGLETRANSLATE(B1764,""id"",""en"")"),"['Ouch', 'oath', 'severe', 'net', 'appeal', 'price', ""]")</f>
        <v>['Ouch', 'oath', 'severe', 'net', 'appeal', 'price', "]</v>
      </c>
      <c r="D1764" s="4">
        <v>1.0</v>
      </c>
    </row>
    <row r="1765" ht="15.75" customHeight="1">
      <c r="A1765" s="1">
        <v>1918.0</v>
      </c>
      <c r="B1765" s="4" t="s">
        <v>1723</v>
      </c>
      <c r="C1765" s="4" t="str">
        <f>IFERROR(__xludf.DUMMYFUNCTION("GOOGLETRANSLATE(B1765,""id"",""en"")"),"['Disturbs', 'Indihome', 'name', 'wkwkkwkw', '']")</f>
        <v>['Disturbs', 'Indihome', 'name', 'wkwkkwkw', '']</v>
      </c>
      <c r="D1765" s="4">
        <v>1.0</v>
      </c>
    </row>
    <row r="1766" ht="15.75" customHeight="1">
      <c r="A1766" s="1">
        <v>1919.0</v>
      </c>
      <c r="B1766" s="4" t="s">
        <v>1724</v>
      </c>
      <c r="C1766" s="4" t="str">
        <f>IFERROR(__xludf.DUMMYFUNCTION("GOOGLETRANSLATE(B1766,""id"",""en"")"),"['Cemen', 'Disgu', 'Mending', 'Search', 'Provider', 'Deh', 'Install', 'wifi', ""]")</f>
        <v>['Cemen', 'Disgu', 'Mending', 'Search', 'Provider', 'Deh', 'Install', 'wifi', "]</v>
      </c>
      <c r="D1766" s="4">
        <v>1.0</v>
      </c>
    </row>
    <row r="1767" ht="15.75" customHeight="1">
      <c r="A1767" s="1">
        <v>1920.0</v>
      </c>
      <c r="B1767" s="4" t="s">
        <v>1725</v>
      </c>
      <c r="C1767" s="4" t="str">
        <f>IFERROR(__xludf.DUMMYFUNCTION("GOOGLETRANSLATE(B1767,""id"",""en"")"),"['Indihome', 'Gercep', 'Report', 'Morning', 'date', 'Feb', 'technician', 'date', 'Feb', 'Disturbs',' alternating ',' pay ',' Want ',' Ontime ',' Disappointed ',' Bngt ', ""]")</f>
        <v>['Indihome', 'Gercep', 'Report', 'Morning', 'date', 'Feb', 'technician', 'date', 'Feb', 'Disturbs',' alternating ',' pay ',' Want ',' Ontime ',' Disappointed ',' Bngt ', "]</v>
      </c>
      <c r="D1767" s="4">
        <v>1.0</v>
      </c>
    </row>
    <row r="1768" ht="15.75" customHeight="1">
      <c r="A1768" s="1">
        <v>1921.0</v>
      </c>
      <c r="B1768" s="4" t="s">
        <v>1726</v>
      </c>
      <c r="C1768" s="4" t="str">
        <f>IFERROR(__xludf.DUMMYFUNCTION("GOOGLETRANSLATE(B1768,""id"",""en"")"),"['signal', 'Disconnect', 'Lot', 'staple', 'it's eager', 'deh', 'subscribe', 'indihome', 'no', 'signal', 'clock', 'clock', ' Need ',' Child ',' School ',' Online ',' Application ',' Disturbs', 'Mass',' Tel ',' Constraints', 'Physical', 'Disturbs',' Technic"&amp;"ians', 'DTG' , 'week', '']")</f>
        <v>['signal', 'Disconnect', 'Lot', 'staple', 'it's eager', 'deh', 'subscribe', 'indihome', 'no', 'signal', 'clock', 'clock', ' Need ',' Child ',' School ',' Online ',' Application ',' Disturbs', 'Mass',' Tel ',' Constraints', 'Physical', 'Disturbs',' Technicians', 'DTG' , 'week', '']</v>
      </c>
      <c r="D1768" s="4">
        <v>1.0</v>
      </c>
    </row>
    <row r="1769" ht="15.75" customHeight="1">
      <c r="A1769" s="1">
        <v>1923.0</v>
      </c>
      <c r="B1769" s="4" t="s">
        <v>1727</v>
      </c>
      <c r="C1769" s="4" t="str">
        <f>IFERROR(__xludf.DUMMYFUNCTION("GOOGLETRANSLATE(B1769,""id"",""en"")"),"['Knpa', 'check', 'quota', 'use']")</f>
        <v>['Knpa', 'check', 'quota', 'use']</v>
      </c>
      <c r="D1769" s="4">
        <v>3.0</v>
      </c>
    </row>
    <row r="1770" ht="15.75" customHeight="1">
      <c r="A1770" s="1">
        <v>1924.0</v>
      </c>
      <c r="B1770" s="4" t="s">
        <v>1728</v>
      </c>
      <c r="C1770" s="4" t="str">
        <f>IFERROR(__xludf.DUMMYFUNCTION("GOOGLETRANSLATE(B1770,""id"",""en"")"),"['Application', 'Error', 'Mulu']")</f>
        <v>['Application', 'Error', 'Mulu']</v>
      </c>
      <c r="D1770" s="4">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2022-02-26T03:29:09Z</dcterms:created>
  <dc:creator>openpyxl</dc:creator>
</cp:coreProperties>
</file>