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lZX7i4ZrjQHWjXnO5Xmk6IPWkLw=="/>
    </ext>
  </extLst>
</workbook>
</file>

<file path=xl/sharedStrings.xml><?xml version="1.0" encoding="utf-8"?>
<sst xmlns="http://schemas.openxmlformats.org/spreadsheetml/2006/main" count="1728" uniqueCount="1694">
  <si>
    <t>text_review</t>
  </si>
  <si>
    <t>text_review_english</t>
  </si>
  <si>
    <t>score</t>
  </si>
  <si>
    <t>['pelayanan', 'molor']</t>
  </si>
  <si>
    <t>['parah', 'jaringannya', 'sinyal', 'jumper', 'pakai', 'maen', 'game', 'alhasil', 'lemot', 'parah', 'kecewa', 'berat', 'pelanggan', '']</t>
  </si>
  <si>
    <t>['lemot']</t>
  </si>
  <si>
    <t>['internet', 'akses', 'review', 'jaringan', 'sebagus', 'pasang', 'kesini', 'parah', 'koneksi', 'internet', 'datangi', 'teknisi', 'perubahan', 'teknisi', 'pro', 'tagihan', 'berjalan', 'menikmati', 'layanannya', 'seandainya', 'poin', 'kasih', '']</t>
  </si>
  <si>
    <t>['berguna']</t>
  </si>
  <si>
    <t>['udah', 'setahun', 'langganan', 'indihome', 'dirumah', 'internetnya', 'bagus', 'kabel', 'bagus']</t>
  </si>
  <si>
    <t>['sya', 'install', 'aplikasi', 'indihome', 'gmn']</t>
  </si>
  <si>
    <t>['harga', 'tetep', 'lemot', 'posisi', 'cisuda', 'riverside', 'sukabumi']</t>
  </si>
  <si>
    <t>['mantap', 'indihom', 'semoga', 'lancar', '']</t>
  </si>
  <si>
    <t>['menghemat', 'pengeluaran', 'bulanan', '']</t>
  </si>
  <si>
    <t>['mantab', 'apk', 'versi', 'trbarunya', 'jaringan', 'lancar', 'terimakasih', 'hiuuu']</t>
  </si>
  <si>
    <t>['alhamdulilah', 'berkat', 'aplikasi', 'gampang']</t>
  </si>
  <si>
    <t>['akun', 'saldo', 'hilang', 'update']</t>
  </si>
  <si>
    <t>['kompenisasi', 'sebanding', 'gangguan', 'berbeda', 'pln', 'bumn', '']</t>
  </si>
  <si>
    <t>['alhamdulillah', 'aplikasi', 'indihome', 'penawarannya', 'masuk', 'blm', 'stabil', 'mohon', 'perbaiki', 'stabil', 'semoga', 'pelayanan', 'melengkapi', 'profil', 'persen', 'kemarin', 'persen', 'melengkapi', 'coba', 'berulang', 'kali', 'blm', 'mohon', 'dsegera', 'perbaiki', 'sistemnya', 'nyaman', 'pelanggang', 'menggunakannya']</t>
  </si>
  <si>
    <t>['tolong', 'jaringan', 'wifi', 'dirumah', 'lelet', 'banget', 'nelpon', 'menghubungkan', 'maen', 'game', 'online', 'coba', 'konek', 'wifi', 'lancar', 'berlangganan', 'pelayanan', 'koneksi', 'internetnya', 'jelek', 'tolong', 'parah', 'banget']</t>
  </si>
  <si>
    <t>['membantu', 'puas', 'memakai', 'apk', 'indihome', '']</t>
  </si>
  <si>
    <t>['jelekkk']</t>
  </si>
  <si>
    <t>[]</t>
  </si>
  <si>
    <t>['', 'log', 'donggh']</t>
  </si>
  <si>
    <t>['ngentod', 'maen', 'roblox', 'ping', 'segitu', 'vpn', 'jeblok', 'ping', 'niat', 'wifi', 'ush', 'udh', 'bayar', 'rebu', 'ngelag', 'mending', 'kuota']</t>
  </si>
  <si>
    <t>['senang', 'menikmati', 'layanan', 'aplikasi', 'versi', 'terbarunya', 'myindihome', 'terbaru']</t>
  </si>
  <si>
    <t>['oke']</t>
  </si>
  <si>
    <t>['tampilan', 'trendy']</t>
  </si>
  <si>
    <t>['app', 'tingkatkan', 'layanannya']</t>
  </si>
  <si>
    <t>['keren', 'langsung', 'kasih', 'admin']</t>
  </si>
  <si>
    <t>['kompensasi', 'sampah']</t>
  </si>
  <si>
    <t>['mantab', 'jiwa', 'gampang', 'akses']</t>
  </si>
  <si>
    <t>['komplain', 'menanggapi', 'gbu']</t>
  </si>
  <si>
    <t>['tot']</t>
  </si>
  <si>
    <t>['cok', 'main', 'game', 'mati', 'ngk', 'banget', 'emosi', 'ampe', 'mati', 'copot', 'anjg', 'indihome']</t>
  </si>
  <si>
    <t>['update', 'terbaru', 'oke']</t>
  </si>
  <si>
    <t>['susah', 'login', 'hadeh', 'wifi', 'rumah', 'eror', 'bayar', 'pakai']</t>
  </si>
  <si>
    <t>['berterima', 'kasih', 'indihome', 'membantu', 'aktivitas', 'kerjaan', 'semoga', 'indihome', 'berkomitmen', 'memuaskan', 'pelanggan', 'kecepatan', 'kestabilan', 'koneksi', 'internet', 'mencoba', 'provider', 'tetep', 'indihome', 'terbaik', 'dihati', 'terima', 'kasih', 'indihome', 'semoga', 'berbenah', '']</t>
  </si>
  <si>
    <t>['mantulllll']</t>
  </si>
  <si>
    <t>['ampas', 'bermasalah', 'paket', 'mbs', 'lag', 'main', 'game', '']</t>
  </si>
  <si>
    <t>['aplikasinya', 'bagus', 'informatif', '']</t>
  </si>
  <si>
    <t>['', 'udh', 'berlayanan', 'indihome', 'respon', 'pelayanan', 'cepat', 'tanggap', 'semoga', '']</t>
  </si>
  <si>
    <t>['slow', 'respon']</t>
  </si>
  <si>
    <t>['mantulsss']</t>
  </si>
  <si>
    <t>['parah', 'lelet', 'banget']</t>
  </si>
  <si>
    <t>['terimakasih', 'telkom', 'internet', 'stabil', 'aktifitas', 'web', 'normal', '']</t>
  </si>
  <si>
    <t>['bagus', 'banget', 'salah', 'bang', 'sad', '']</t>
  </si>
  <si>
    <t>['direkomendasi']</t>
  </si>
  <si>
    <t>['kasih', 'bintang', 'udah', 'improve', 'tambahi', 'bintangnya', 'pantang', 'semangat', '']</t>
  </si>
  <si>
    <t>['koneksi', 'busuk']</t>
  </si>
  <si>
    <t>['pelit']</t>
  </si>
  <si>
    <t>['sumpah', 'nyesel', 'banget', 'pakai', 'indihome', 'udah', 'lemot', 'laporan', 'berhenti', 'berlangganan', 'kena', 'denda', 'bayar', 'bln', 'kmrn', 'deposit', 'uangnya', 'dikemanakan', 'udah', 'kena', 'pandemi', 'gini', 'pengen', 'irit', 'dicekik', 'pasang', 'sekolah', 'anak', 'lemot', 'ujung', 'beli', 'paketan', 'dilanjutkan', 'skrg', 'putus', 'kena', 'tagihan', 'pikir', 'deh', 'pasang', '']</t>
  </si>
  <si>
    <t>['tiket', 'pengaduan', 'nggk', 'udah', 'grha', 'merah', 'putih', 'dibilang', 'tunggu', 'telpon', 'call', 'center', 'teknisi', 'nggk', 'janji', 'jam', 'sampe', 'jam', 'jga', 'tolong', 'layanannya', 'perbaiki', 'mengganggu']</t>
  </si>
  <si>
    <t>['aplikasi', 'versi', 'indihome', 'berat', 'berat', 'tambahan', 'fitur', 'fitur', 'bagus', '']</t>
  </si>
  <si>
    <t>['rasakan', 'pemakaian', 'apps', 'update', 'lancar', 'update', 'terbaru', 'apps', 'error', 'force', 'stop', 'loading', 'mohon', 'perbaiki', 'lihat', 'perkembangan', 'ganti', 'bintang', 'terimakasih']</t>
  </si>
  <si>
    <t>['bug', 'pencet', '']</t>
  </si>
  <si>
    <t>['ngelek', 'yoo']</t>
  </si>
  <si>
    <t>['bagus', 'banget', 'tampilannya', 'user', 'experience', 'terbaik', 'sukak', 'deh']</t>
  </si>
  <si>
    <t>['aplikasi', 'bagus', 'terkadang', 'kendala', 'pusat']</t>
  </si>
  <si>
    <t>['mohon', 'maaf', 'update', 'loading', 'cepet', 'diperbaiki', 'terimakasih']</t>
  </si>
  <si>
    <t>['aplikasi', 'susah']</t>
  </si>
  <si>
    <t>['bagus']</t>
  </si>
  <si>
    <t>['provider', 'internet', 'kota', 'bengkulu', 'udah', 'berpindah', 'hati', 'pasang', 'bayar', 'rb', 'gangguan', 'maaf', 'giliran', 'konsumen', 'telat', 'bayar', 'kena', 'denda', '']</t>
  </si>
  <si>
    <t>['kali', 'aplikasi', 'akses', 'normal', 'instal', 'berjalan', 'normal', 'aplikasinya']</t>
  </si>
  <si>
    <t>['aplikasinya', 'jelek', 'bagus', 'perbaikan', 'ndak']</t>
  </si>
  <si>
    <t>['update', 'aplikasi', 'terbaru', 'lelet', 'bertolak', 'kampanye', 'indihome', 'internet', 'cepat', 'akses', 'aplikasi', 'lelet', '']</t>
  </si>
  <si>
    <t>['dapet', 'notif', 'berkesempatan', 'saldo', 'linkaja', 'daei', 'segi', 'tampilan', 'fresh', 'segi', 'pelaporan', 'terkendala', 'load', 'versi', 'btw', 'undian', 'pemenang', '']</t>
  </si>
  <si>
    <t>['bagus', 'belajar', 'daring', 'anak', 'rumah', 'internenya', 'kenceeeng']</t>
  </si>
  <si>
    <t>['aplikasinya', 'lemot', 'jarang', 'akses', 'mohon', 'fix']</t>
  </si>
  <si>
    <t>['aplikasi', 'lambat', 'sulit', 'ferifikasi', 'salah', 'sesuai', 'dikirimkan', '']</t>
  </si>
  <si>
    <t>['komplain', 'seminggu', 'putus', 'internet', 'ampe', 'setiapkali', 'putus', 'jam', 'rugi', 'komplain', 'gimanapun', 'gitu', 'deh']</t>
  </si>
  <si>
    <t>['apk', 'gajelas', 'renew', 'susah', 'koplak']</t>
  </si>
  <si>
    <t>['jaringan', 'memuaskan', 'suka', 'putus', 'trus', 'pelayanan', 'telkom', 'daerah', 'bagus', 'tolong', 'perhatikan', 'kepuasan', 'pelanggan', 'boss']</t>
  </si>
  <si>
    <t>['bagus', 'friendly']</t>
  </si>
  <si>
    <t>['september', 'eror', 'jaringan', 'internet', 'speedy', 'wilayah', 'perumnas', 'helvetia', 'blok', 'kel', 'helvetia', 'kec', 'medan', 'helvetia', 'tolong', 'jaringan', 'internetnya', 'bolak', 'rusak', '']</t>
  </si>
  <si>
    <t>['udah', 'download', 'bantu', '']</t>
  </si>
  <si>
    <t>['lelet', 'banget', 'aplikasi', 'login', 'lamaaa', 'nyaaa', 'ampun']</t>
  </si>
  <si>
    <t>['jaringanya', 'buruk', 'jaringan', 'sekelas', 'bumn', 'kek', 'gini', 'worth', '']</t>
  </si>
  <si>
    <t>['aplikasi', 'keren', 'membantu']</t>
  </si>
  <si>
    <t>['pelayanan', 'sanagt', 'ramah', 'cepat', 'tanggap', 'terima', 'kasih']</t>
  </si>
  <si>
    <t>['good', 'app']</t>
  </si>
  <si>
    <t>['terbaik', 'indihome']</t>
  </si>
  <si>
    <t>['pelayanan', 'buruk', 'klomplain', 'kelar', 'kelar', 'aplikasi', 'bug', 'bener', '']</t>
  </si>
  <si>
    <t>['user', 'friendly']</t>
  </si>
  <si>
    <t>['buruk', 'tagihan', 'telat', 'terblovkir', 'dipakai', 'tagihan', 'dibayar', '']</t>
  </si>
  <si>
    <t>['bayar', 'mahal', 'sinyal', 'sampah']</t>
  </si>
  <si>
    <t>['nyala', 'stelah', 'seharian', 'off', 'skrng', 'mati', 'loss', 'blink', 'kampreeeeettt', 'tenang', 'indihomenyeeeet', 'sentul', 'area', 'puckkkkkkkkkkk']</t>
  </si>
  <si>
    <t>['aplikasi', 'myindihome', 'tolong', 'percepat', 'perbaikannya']</t>
  </si>
  <si>
    <t>['aplikasi', 'bermanfaat', 'klik', 'layanan', 'pengaduan', 'internet', 'kendala', 'sinyal', 'stabil', 'ketik', 'pengaduannya', 'muncul', 'sesi', 'habis', 'nanya', 'indita', 'jawabannya', 'maaf', 'indita', 'belajar', 'memahami', 'kalimat', 'indita', 'membatu', 'silahkan', 'pilih', 'menu', 'jalan', 'app', 'promo', 'lihat', 'tagihannya', 'mohon', 'diperhatikan', 'pengaduan', 'indihome', 'solusinya', '']</t>
  </si>
  <si>
    <t>['indihome', 'ngga', 'berubah']</t>
  </si>
  <si>
    <t>['mantap', 'aplikasi', 'chek', 'pemakaian', 'tagihan', 'indihome', 'terima', 'kasih', 'indihome', 'maju', 'sukses', '']</t>
  </si>
  <si>
    <t>['indihome', 'sangad', 'cepatt', 'lancar', 'jaya', 'sukses', 'indihome', 'jaya', 'jaya', 'jaya', '']</t>
  </si>
  <si>
    <t>['snagat', 'mmbntu', 'pelayanan', '']</t>
  </si>
  <si>
    <t>['udah', 'make', 'indihome', 'keren', 'banget', 'bayar', 'tagihan', 'aplikasi', 'gampang']</t>
  </si>
  <si>
    <t>['ditingkatkan', 'layanan', 'perbaikan']</t>
  </si>
  <si>
    <t>['aplikasi', 'cacat', 'update', 'laporkan', 'internet', 'internet', 'lambat', 'dilaporkan', 'internetnya', 'indihome', 'cacat']</t>
  </si>
  <si>
    <t>['gangguan', 'langsung', 'respon']</t>
  </si>
  <si>
    <t>['mantap', 'signal', 'stabil', 'lancar', 'jaya', '']</t>
  </si>
  <si>
    <t>['sinyal', 'ilang', 'perasaan', 'telat', 'bayar', 'tagihan', 'deh', 'mohon', 'kak', 'sinyal', 'perbaikan']</t>
  </si>
  <si>
    <t>['aplikasi', 'membantu', 'sekalii', 'nice', '']</t>
  </si>
  <si>
    <t>['terbaik', '']</t>
  </si>
  <si>
    <t>['', 'aplikasi', 'memudahkan', 'memantau', 'penggunaaan', 'berselancar', 'membayar', 'tagihan', 'dsb', 'good', 'for', 'you', 'indihome', '']</t>
  </si>
  <si>
    <t>['masuk', 'aplikasi', 'koneksi', 'putus', 'layanan', 'buruk']</t>
  </si>
  <si>
    <t>['update', 'lelet', 'ngak', 'paham', 'kayak', '']</t>
  </si>
  <si>
    <t>['trimakasii', 'indihome', 'aplikasi', 'menarik', 'fiturnya', 'bagus', 'membantu', 'memudahkan', 'menggunakannya', '']</t>
  </si>
  <si>
    <t>['keren', 'banget', 'indihome', 'lemot']</t>
  </si>
  <si>
    <t>['memuaskan', 'kadang', 'kendala', 'jaringannya', '']</t>
  </si>
  <si>
    <t>['semoga', 'kinerja', 'pelayanannya', 'ditingkatkan', 'pelanggan', 'nyaman', 'kualitasnya']</t>
  </si>
  <si>
    <t>['indihome', 'rumah', 'bagus', 'lemot', 'kenceng', 'sukses', '']</t>
  </si>
  <si>
    <t>['udah', 'masang', 'blum', 'ngerasain', 'internet', 'indihome', 'tagihan', 'buru', 'kirim', 'keluhan', 'pelangan', 'hhhmmmn', 'banting', 'modem', 'pengaduan', 'nanggapin', 'nyesel', 'nyesel', 'indihome', 'kecewa', 'indihommmeeee', '']</t>
  </si>
  <si>
    <t>['memuaskan', 'ditingkatkan', 'call', 'service', 'terima', 'kasih']</t>
  </si>
  <si>
    <t>['aplikasinya', 'user', 'friendly', '']</t>
  </si>
  <si>
    <t>['aplikasinya', 'keren', 'banget', 'user', 'friendly', 'mudah', 'bermanfaat', 'tuker', 'poin', '']</t>
  </si>
  <si>
    <t>['', 'pesaing', 'indihome', 'setia', 'indihome', 'karna', 'indihome', 'dimana', 'keluhan', 'sabar', 'berfikir', 'jalan', 'keluarnya', 'hati', 'jayalah']</t>
  </si>
  <si>
    <t>['aplikasinya', 'keren', 'membantu', 'pembayaran', 'tagihan', 'telkomsel']</t>
  </si>
  <si>
    <t>['buka', 'indihome', 'lelet', 'jaringan', 'penuh', 'okelah', 'aplikasinya', 'gampang']</t>
  </si>
  <si>
    <t>['gangguan', 'mulu', '']</t>
  </si>
  <si>
    <t>['membantu', 'byar', 'tagihan', 'tinggal', 'ketik', 'rumah']</t>
  </si>
  <si>
    <t>['jelmpolan', 'apk', 'update']</t>
  </si>
  <si>
    <t>['kerenn', 'banget', 'kulon', 'lancar', 'design', 'app', 'meriah', 'banget', 'bosen', 'bukain', 'app', 'heheheh', 'thx', 'indihome', '']</t>
  </si>
  <si>
    <t>['', 'kali', 'pengaduan', 'terkait', 'indihome', 'wifi', 'seamless', 'selesai', 'akun', 'terkait', 'email', 'akun', 'relasi', 'kenal', 'menelpon', 'gratis', 'pulsa', 'pengaduan', 'pengaduan', 'berulang', 'tuntas', 'merugikan', 'pelanggan']</t>
  </si>
  <si>
    <t>['overall', 'pelayanan', 'bagus', 'banget', 'seru', 'tuker', 'poin', 'wuiihhhh', '']</t>
  </si>
  <si>
    <t>['main', 'game', 'ngeleg', 'banget', 'trud', 'nge']</t>
  </si>
  <si>
    <t>['gangguan', 'gangguan', 'minimal', 'pokoknya', 'pelayanannya']</t>
  </si>
  <si>
    <t>['promo', 'undian', 'sekedar', 'pemanis', 'doang', '']</t>
  </si>
  <si>
    <t>['tolong', 'adain', 'netflix', 'didownload', 'playstore', 'langsung', 'stb', 'install', 'aplikasi', 'playstore', 'udh', 'jdi', 'netflix', 'nihh']</t>
  </si>
  <si>
    <t>['kesini', 'pembaruan', 'payah', 'udh', 'kali', 'ajukan', 'laporan', 'terkait', 'aplikasi', 'log', 'tolong', 'admin', 'support', 'dipercepat', 'perbaikan', 'aplikasi', 'butuhkan', '']</t>
  </si>
  <si>
    <t>['knp', 'signyal', 'wifi', 'pagi', 'lost', 'nggak', 'kerja', '']</t>
  </si>
  <si>
    <t>['mkasih']</t>
  </si>
  <si>
    <t>['udah', 'mahal', 'busuk', 'signalnya', 'kirim', 'bukti', 'pembayaran', 'ndak', 'tagahiannya', 'internetnya', 'diputus', 'suruh', 'bayar', 'provider', 'sampah', 'tunjukin', 'bukti', 'tunjukin', 'liat']</t>
  </si>
  <si>
    <t>['aplikasi', 'buruk', 'berat', 'close', 'udah', 'versi', 'coba', 'clear', 'cahce', 'ngga', 'kebuka']</t>
  </si>
  <si>
    <t>['kualitas', 'aplikasi', 'performa', 'internet', 'memuaskan', 'tinggal', 'tolong', 'pelayanan', 'pelanggannya', 'ditingkatkan', 'sayaa', 'sepele', 'butuh', 'solusi', 'sinyal', 'mematikan', 'telfonnya', 'tapii', 'diluar', 'semuaa', 'terimakasih', 'kerja', 'baiknya', '']</t>
  </si>
  <si>
    <t>['membantu', 'cek', 'tagihan', 'ubah', 'data', '']</t>
  </si>
  <si>
    <t>['keren', 'banget', 'mempermudah', 'tangihan', 'detail', 'kantornya', 'rekomended', 'banget', 'deh', 'aplikasi']</t>
  </si>
  <si>
    <t>['tawarin', 'paket', 'mbps', 'harga', 'rb', 'terima', 'tawaran', 'sales', 'merketing', 'sebulan', 'pemakaian', 'cek', 'speed', 'tes', 'kenpa', 'cuman', 'mbps', 'mohon', 'periksa', 'donk']</t>
  </si>
  <si>
    <t>['mantab', 'banget']</t>
  </si>
  <si>
    <t>['terlepas', 'permasalahan', 'dialalami', 'indihome', 'speed', 'sebulan', 'dinaikkan', 'mbps', 'btw', 'terima', 'kasih', 'indihome', 'semoga', 'permasalahan', 'diselesaikan', '']</t>
  </si>
  <si>
    <t>['daftar']</t>
  </si>
  <si>
    <t>['woy', 'wifi', 'lelet', 'dajjal', 'smg', 'dajjal', 'amiiin']</t>
  </si>
  <si>
    <t>['keren', 'tuker', 'poin', 'lihat', 'tagihan', 'scr', 'detail', 'user', 'friendly', 'pastinya']</t>
  </si>
  <si>
    <t>['aplikasinya', 'keren', 'banget', 'membantu', '']</t>
  </si>
  <si>
    <t>['gimna', 'indihome', 'dikit', 'sinyal', 'hilang', 'kerja', 'parah', 'banget', 'klk', 'masal', 'bayar', 'suruh', 'cpt', 'toleransi', 'kyk', 'gini', 'rumah', 'kalimantan', 'sampit', 'tidar', 'jaringan', 'kena', 'gerimis', 'langsung', 'hilang', 'klk', 'udh', 'normal', 'kasih', 'bintang', '']</t>
  </si>
  <si>
    <t>['proses', 'laporan']</t>
  </si>
  <si>
    <t>['worth', 'banget', 'download', 'gabakal', 'nyesel', '']</t>
  </si>
  <si>
    <t>['applikasi', 'keren', 'mempermudah', 'pengguna', 'indihome', 'pelayanan', 'bagus', 'semoga', 'kedepannya', 'berjaya', '']</t>
  </si>
  <si>
    <t>['keren', 'udah', 'support', 'fingerprint', '']</t>
  </si>
  <si>
    <t>['melaporkan', 'gangguan', 'restart', 'modem', 'direstart', 'mengatasi', 'gangguan']</t>
  </si>
  <si>
    <t>['login', 'gimna', 'cek', 'tagihan', '']</t>
  </si>
  <si>
    <t>['leg', 'telkom', 'gmna', 'gush', 'perusahaan', 'pelanggan', 'puas']</t>
  </si>
  <si>
    <t>['', 'masukin', 'nomer', 'pelanggan', '']</t>
  </si>
  <si>
    <t>['mohon', 'youtube', 'diperbaiki']</t>
  </si>
  <si>
    <t>['buruk']</t>
  </si>
  <si>
    <t>['kecewa', 'gangguan', 'pemotongan', 'biaya', 'bulanan', 'diskon', 'telat', 'bayar', 'langsung', 'diputus', 'pemakaian', 'internet', 'dikenai', 'denda', '']</t>
  </si>
  <si>
    <t>['main', 'ngelag', 'belajar', 'ngelag', 'aneh', 'bet', 'make', 'cuman', 'orang', '']</t>
  </si>
  <si>
    <t>['jaringan', 'nyalahh']</t>
  </si>
  <si>
    <t>['pengaduan', 'kerusakan', 'aplikasi']</t>
  </si>
  <si>
    <t>['jelek', 'signalnya', 'mahal', 'doang', 'perusahaan', 'product', 'pemerintah', 'bagus', 'mutunya', 'bobrok', 'nyesel', 'indihome']</t>
  </si>
  <si>
    <t>['sinyal', 'niat', 'sinyal', 'mending', 'jualan', 'cilok', 'nyusahin', 'doang', 'kek', 'bot']</t>
  </si>
  <si>
    <t>['min', 'jaringan', 'indihome', 'udah', 'conect', 'wifi', 'lemot', 'min', 'mohon', 'percepat', 'perbaikan', 'jaringan', 'indihomenya', 'min']</t>
  </si>
  <si>
    <t>['aplikasi', 'memudahkan', 'pelayanan', 'berujung', 'memperburuk', 'pengajuan', 'pemasangan', 'reset', 'konfirmasi', 'terima', 'kasih', 'pelayanan', 'terburuk', '']</t>
  </si>
  <si>
    <t>['speed', 'rumah', 'mbps', 'cek', 'speed', 'tes', 'mbps', 'mohon', 'speed', 'sesuai', 'pembayaran', 'teimakasih']</t>
  </si>
  <si>
    <t>['instal', 'buka', 'diakses']</t>
  </si>
  <si>
    <t>['capek', 'gini', 'kebuka']</t>
  </si>
  <si>
    <t>['isp', 'laknat', 'sedunia', 'paket', 'mbps', 'perbulan', 'oke', 'msh', 'nembus', 'mbps', 'beh', 'mbps', 'doang', 'parah', 'mbps', 'wtff', 'menn', 'perbulan', 'bayar', 'trus', 'nikmatin', 'kecepatan', 'mbps', 'udh', 'telfon', 'berulang', 'kali', 'ngasi', 'respon', 'doain', 'semoga', 'orang', 'telkom', 'kasi', 'hidayah', 'kecewa', 'berat', 'isp', 'udah', 'beralih', 'isp', 'ngasi', 'bintang', 'tekutuk', 'skali']</t>
  </si>
  <si>
    <t>['stb', 'jalan', 'aplikasi', 'log', '']</t>
  </si>
  <si>
    <t>['gagal', 'buka', 'aplikasi']</t>
  </si>
  <si>
    <t>['langganan', 'doang', 'lancar', 'kagak', 'mulu']</t>
  </si>
  <si>
    <t>['paket', 'gaming', 'tolong', 'diperbaiki', 'lgi', 'lagnya', 'parah', 'lose', 'treakk', 'akun', '']</t>
  </si>
  <si>
    <t>['terimakasih']</t>
  </si>
  <si>
    <t>['bayar', 'gmna', 'koneksi', 'terputus', '']</t>
  </si>
  <si>
    <t>['aplikasi', 'babi', 'masukin', 'nomer', 'indihome', 'noker', 'dikenal', 'inet', 'koneksi', 'berhari', 'bayar', 'seminggu']</t>
  </si>
  <si>
    <t>['jaringan', 'indi']</t>
  </si>
  <si>
    <t>['gangguan', 'mulu', 'indihome', 'badut', 'habis', 'gangguan', 'massal', 'skrg', 'los', 'laporan', 'muncul', 'maaf', 'layanan', 'indihome', 'mengalami', 'gangguan', 'lokasi', 'gangguan', 'masal', 'mohon', 'tunggu', 'teknisi', 'perbaikan', 'sampe', 'bener', 'indihome', 'badut', '']</t>
  </si>
  <si>
    <t>['apk', 'buruk', 'jual', 'giliran', 'gangguan', 'klaim', 'lapor', '']</t>
  </si>
  <si>
    <t>['', 'wifinya', 'lemot', 'banget', 'yaaa', 'pdahal', 'ssya', 'tambahlan', 'mbpsnya', 'tetep', 'ajh']</t>
  </si>
  <si>
    <t>['membantu', '']</t>
  </si>
  <si>
    <t>['data', 'insert', 'gagal', '']</t>
  </si>
  <si>
    <t>['tergiur', 'promo', 'indihome', 'biayanya', 'bengkak', 'gmn', 'maju', 'kerjaannya', 'bodohi', 'customer', 'sori', 'bodoh', 'lihat', 'detailnya', 'langganan', 'aktifkan', 'persetujuan', 'bener', 'kerjaannya', 'perusahaan', 'pemerintah', 'profesional']</t>
  </si>
  <si>
    <t>['login', 'bermasalah']</t>
  </si>
  <si>
    <t>['knpa', 'gabisa', 'dibuka', 'wehh']</t>
  </si>
  <si>
    <t>['download', 'aplikasi', 'ngasih', 'penilaian', 'jaringan', 'buruk', 'perbaikan', 'anggaran', 'pembayaran', 'dipotong', 'inikan', 'merugikan', 'pelanggan', 'pasang', 'wifi', 'mempercepat', 'aktivitas', 'mempersulit', 'pantes', 'rantingnya', 'turun']</t>
  </si>
  <si>
    <t>['login', 'mulu', 'update', 'bukanna', 'mudah', 'mempersulit']</t>
  </si>
  <si>
    <t>['mahal', 'kualitas', 'mahal']</t>
  </si>
  <si>
    <t>['tolong', 'cepat', 'diperbaikin', 'indihome', 'buka', 'babgettttt', 'indihome', 'buruk']</t>
  </si>
  <si>
    <t>['aplikasi', 'eror']</t>
  </si>
  <si>
    <t>['parah', 'kecewa', 'banget', 'searching', 'browser', 'reload', 'mulu', 'bayaran', 'tetep']</t>
  </si>
  <si>
    <t>['aplikasi', 'abal', 'abal', 'susah', 'diaksesnya', 'parah', 'update', 'terbaru', 'buka', 'coba', 'ulang', 'aplikasi', 'nyantwr', 'tutup']</t>
  </si>
  <si>
    <t>['dibuka', 'aplikasi', 'nge', 'crash']</t>
  </si>
  <si>
    <t>['pelayanan', 'telpon', 'sape', 'habis', 'pulsa', 'kirim', 'app', 'respon', 'perbaikan']</t>
  </si>
  <si>
    <t>['layanan', 'internet', 'telkom', 'jelek', 'gangguan', 'mulu']</t>
  </si>
  <si>
    <t>['gmna', 'masuk', 'nomer', 'langganan', 'nomer', 'langganan', 'bener', 'tulisan', 'nomer', 'terdaftar', 'valid']</t>
  </si>
  <si>
    <t>['bissa', 'login']</t>
  </si>
  <si>
    <t>['apk', 'indihome', 'good', 'luck', 'membantu', 'mempermudah', 'pelayanan', 'pelanggan', '']</t>
  </si>
  <si>
    <t>['aplikasi', 'cacat']</t>
  </si>
  <si>
    <t>['giliran', 'telat', 'dikit', 'tagihan', 'udah', 'kaya', 'minjem', 'duiit', 'jutaan', 'giliran', 'jaringan', 'lemot', 'respon', 'kesini', '']</t>
  </si>
  <si>
    <t>['aplikasinya', 'login']</t>
  </si>
  <si>
    <t>['provider', 'internet', 'terburuk', '']</t>
  </si>
  <si>
    <t>['tolong', 'tingkatkan', 'susah', 'login', 'tagihan', 'susah', 'pelanggan', 'khawatir', 'kaget', 'pliss']</t>
  </si>
  <si>
    <t>['lemot', 'bgtttttt', 'aplikasinya', 'udh', 'komplain', 'byk', 'orang', 'perbaiki', '']</t>
  </si>
  <si>
    <t>['', 'log', 'memalukan', 'bumn', 'indihome', 'reset', 'fup', '']</t>
  </si>
  <si>
    <t>['sinyal', 'anjg', 'perbulan', 'turun', 'sinyal', 'sinyal', 'rakyat', 'situh', 'sehat', 'ngelwak', 'bang', '']</t>
  </si>
  <si>
    <t>['internet', 'akses', 'sungkan', 'keseringan', 'telpon', 'call', 'center', 'gini', 'stop', 'langganan', 'indihome']</t>
  </si>
  <si>
    <t>['aplikasi', 'terlemot', 'instal']</t>
  </si>
  <si>
    <t>['uninstal', 'ajaaaa', 'login', 'berkali', 'kali', 'aplikasi', '']</t>
  </si>
  <si>
    <t>['', 'masuk', 'niat', 'aplikasi', 'sie', 'oii']</t>
  </si>
  <si>
    <t>['tolong', 'kasih', 'fitur', 'copot', 'langganan', 'kasian', 'costumer', 'dtng', 'telkom', 'lgi', 'pandemi']</t>
  </si>
  <si>
    <t>['login', 'susah', 'banget', 'males']</t>
  </si>
  <si>
    <t>['selesainya', 'pemakaian', 'nyaman']</t>
  </si>
  <si>
    <t>['aplikasi', 'loading', 'siput']</t>
  </si>
  <si>
    <t>['login']</t>
  </si>
  <si>
    <t>['login', 'susah']</t>
  </si>
  <si>
    <t>['jaringan', 'buruk', 'harga', 'mahallllllllllllllll', 'harga', 'sesuai', 'kualitas', 'hujan', 'buka', 'youtube']</t>
  </si>
  <si>
    <t>['pelayanannya', 'buruk', 'kendala', 'solusi', 'nuyuruh', 'bayar', 'tagihin', 'udh', 'bayar', 'tagihan', 'menangani', 'kendala', 'isolir', 'bayar', 'buruk', 'pelayanannya']</t>
  </si>
  <si>
    <t>['jaringan', 'bapuk', 'pengen', 'ganti', 'propaider', 'negara', 'engga', 'jaringannya']</t>
  </si>
  <si>
    <t>['habis', 'bayar', 'bsa', 'jaringan', 'taiiiii']</t>
  </si>
  <si>
    <t>['pelayanan', 'buruk']</t>
  </si>
  <si>
    <t>['buka', 'apk', 'lemoooot', '']</t>
  </si>
  <si>
    <t>['susah', 'login']</t>
  </si>
  <si>
    <t>['hlo', 'indihome', 'tolong', 'diperbaiki', 'wifi', 'rada', 'nggak', 'enak', 'wifinya']</t>
  </si>
  <si>
    <t>['banget', 'internet', 'diakses', 'bayar', 'telat', 'komplain', 'seminggu', 'kadang', 'seminggu', 'kali', 'bermasalah', 'indihome', 'tetangga', 'bermasalah', 'bermasalahnya', 'bentar', 'habis', 'betmasalah', 'kadang', 'sehari', 'gabisa', 'akses', 'rugi']</t>
  </si>
  <si>
    <t>['aplikasinya', 'lambat', '']</t>
  </si>
  <si>
    <t>['layanan', 'perbaikannya', 'cepet', 'orang', 'teknisi', 'hahahah']</t>
  </si>
  <si>
    <t>['aplikasinya', 'bagus', 'hapus', 'login', 'register', 'aplikasinya', 'urus', 'otw', 'pindah', 'geszzz']</t>
  </si>
  <si>
    <t>['jaringan', 'tolong', 'perbaiki', 'udah', 'lost', 'jaringan', 'terimakasih']</t>
  </si>
  <si>
    <t>['aplikasai', 'myindihome', 'buka', 'piye', 'maneh', '']</t>
  </si>
  <si>
    <t>['pelayanan']</t>
  </si>
  <si>
    <t>['hang']</t>
  </si>
  <si>
    <t>['force', 'close', 'aplikasi', 'dibuka', '']</t>
  </si>
  <si>
    <t>['aplikasi', 'terlemot', 'gue', 'jaringan', 'stabil', 'suka', 'error', 'lengkap']</t>
  </si>
  <si>
    <t>['login', '']</t>
  </si>
  <si>
    <t>['kompensasi', 'gangguan', 'jaringan', 'kemarin', '']</t>
  </si>
  <si>
    <t>['aplikasi', 'informatif', 'membantu', 'pelanggan', 'indihome', 'respon', 'trhdp', 'keluhan', 'aplikasi', 'cepat', 'terima', 'kasih', 'layanannya']</t>
  </si>
  <si>
    <t>['macet', 'aplikasinya']</t>
  </si>
  <si>
    <t>['nanya', 'min', 'jaringan', 'wifi', 'rumah', 'lambat', 'tolong', 'yamin', 'perbaiki', '']</t>
  </si>
  <si>
    <t>['aplikasi', 'berguna', 'cek', 'tagihan']</t>
  </si>
  <si>
    <t>['mudah', 'digunain', 'apliasinya']</t>
  </si>
  <si>
    <t>['memudahkan', 'pelanggan']</t>
  </si>
  <si>
    <t>['msh', 'nunggu', 'kabar', 'slot', 'kosong', '']</t>
  </si>
  <si>
    <t>['ganti', 'email', 'udah', 'bbrapa', 'kali', 'ttp', '']</t>
  </si>
  <si>
    <t>['perusahaan', 'sekelas', 'indihome', 'pilih', 'aplikasi', 'kelas', 'teri', 'buka', 'aplikasi', 'hang', 'pantes', 'rating', 'jelek', 'keluhan', 'penanganan', '']</t>
  </si>
  <si>
    <t>['', '']</t>
  </si>
  <si>
    <t>['lelet', 'suka', 'gangguan']</t>
  </si>
  <si>
    <t>['abis', 'upgrade', 'kebuka', 'aplikasinya', '']</t>
  </si>
  <si>
    <t>['tukar', 'poin', 'aplikasi', 'ta', 'auoto', 'uninstall', '']</t>
  </si>
  <si>
    <t>['cepet', 'difix', 'bener', 'koneksi', 'bermasalah', 'mulu', '']</t>
  </si>
  <si>
    <t>['buruk', 'indihome']</t>
  </si>
  <si>
    <t>['update', 'dibuka', 'aplikasinya']</t>
  </si>
  <si>
    <t>['parah', 'pelayanan', 'chat', 'via', 'email', 'infokan', 'nomor', 'ubah', 'kali', 'balas', 'update', 'email', 'dibalas', 'kelanjutan', 'hub', 'parah', 'solusi', 'dihadapi', '']</t>
  </si>
  <si>
    <t>['upgrade', 'speed', 'plasa', 'upload', 'ktp', 'selfi', 'ajukan', 'via', 'telpon', 'ajukan', 'via', 'indihomecare', 'ajukan', 'via', 'plasa', 'telkom', 'gagal']</t>
  </si>
  <si>
    <t>['masuk', 'aplikasi', 'coba', 'berkali', 'slalu', 'munculnya', 'slalu', 'maaf', 'nomer', 'masukan', 'kenal', 'system', '']</t>
  </si>
  <si>
    <t>['', 'tawarin', 'wifi', 'seamless', 'ngaktifin']</t>
  </si>
  <si>
    <t>['berfungsi']</t>
  </si>
  <si>
    <t>['aplikasi', 'mempermudah', 'terkait', 'indihome']</t>
  </si>
  <si>
    <t>['aplikasi', 'susah', 'akses']</t>
  </si>
  <si>
    <t>['download', 'butuh', 'mnt', 'tolong', 'percepat', 'perbaikan']</t>
  </si>
  <si>
    <t>['', 'login']</t>
  </si>
  <si>
    <t>['very', 'good']</t>
  </si>
  <si>
    <t>['pelayanannya', 'memuaskan', 'paket', 'upgrade', 'konfirmasi', 'rekaman', 'telpon', 'dikasih', 'putuuuuuuus', '']</t>
  </si>
  <si>
    <t>['semoga', 'kedepan', 'titik', 'internet', 'indonesia', 'pelosok', 'desa', 'terakses']</t>
  </si>
  <si>
    <t>['habis', 'update', 'buka', 'forceclose']</t>
  </si>
  <si>
    <t>['paket', 'data', 'pindah', 'indihone', '']</t>
  </si>
  <si>
    <t>['siii', 'nol', 'gtu', 'bintangnya', 'plslah', 'jaringan', 'matiii', 'kesel', 'bgtttt', 'gueeee', '']</t>
  </si>
  <si>
    <t>['sabar', 'min', 'semoga', 'perbaikan', 'cepat', 'keep', 'strong']</t>
  </si>
  <si>
    <t>['aplikasinya', 'mental']</t>
  </si>
  <si>
    <t>['udh', 'ampe', 'udh', 'dapet', 'nomor', 'tiket', 'dilayani', 'teknisi', 'indihome', 'pengen', 'ganti', 'kecewa', 'pelayanannya', '']</t>
  </si>
  <si>
    <t>['ngelag', 'loading']</t>
  </si>
  <si>
    <t>['aplikasi', 'bagus', 'mempermudah', 'komplain', 'layanan', 'cek', 'pemakaian', 'cek', 'biaya', 'bulanan', '']</t>
  </si>
  <si>
    <t>['aplikasi', 'membantu', 'registrasi', 'add', 'keluhan', 'cek', 'tagihan', 'status', 'tagihan', 'terkadang', 'down', '']</t>
  </si>
  <si>
    <t>['indihome', 'libur', 'matek']</t>
  </si>
  <si>
    <t>['puas', 'membantu', 'aplikasi']</t>
  </si>
  <si>
    <t>['layanan', 'dudah', 'normal', 'trimakasih']</t>
  </si>
  <si>
    <t>['dipermudah', 'aplikasi', 'makasih', 'indihome']</t>
  </si>
  <si>
    <t>['lag', 'parag']</t>
  </si>
  <si>
    <t>['terpercaya', 'pokoknya']</t>
  </si>
  <si>
    <t>['ngelawak', 'trouble', 'seminggu', 'gaada', 'kompensasi', 'samsek', 'servis', 'perusahaan', 'plat', 'merah', '']</t>
  </si>
  <si>
    <t>['pelayanan', 'indihome', 'mengecewakan', 'apk', 'myindihome', 'berguna', 'dikasih', 'menu', 'layanan', 'aduan', 'aduan', 'direspon', '']</t>
  </si>
  <si>
    <t>['aplikasi', 'buruk', 'gimana', 'maju', 'coba', 'kalah', 'swasta']</t>
  </si>
  <si>
    <t>['dompet', 'myindihome', 'gmna', 'aktifkan']</t>
  </si>
  <si>
    <t>['pengajuan', 'pasang', 'banget', 'fast', 'respon', 'lhaa', 'pelanggan', '']</t>
  </si>
  <si>
    <t>['bayar', 'mahal', 'kualitas', 'mbps', 'udah', 'sinyalnya', 'lelet', 'bener', 'kemana', 'mengadu', '']</t>
  </si>
  <si>
    <t>['aplikasi', 'bru', 'registrasi', 'langsung', 'blank', 'layarnya', 'teken', 'worth', 'jelek']</t>
  </si>
  <si>
    <t>['laporan', 'tok', 'ndang', 'dicandak', 'kabel', 'bermasalah', 'suruh', 'laporan', 'tangani', 'suruh', 'riset', 'modem', '']</t>
  </si>
  <si>
    <t>['indohome']</t>
  </si>
  <si>
    <t>['aduh', 'bayar', 'telat', 'wifinya', 'lemot', 'banget', 'indihome', 'kali', 'tukangnya', 'kerumah', 'keluahan', 'indihome', 'utung', 'doang', 'bayarnya', 'jaringanya', 'jelek', 'bagus', 'cuman', 'minggu']</t>
  </si>
  <si>
    <t>['pengen', 'bintang', '']</t>
  </si>
  <si>
    <t>['sinyalnya', 'sedah']</t>
  </si>
  <si>
    <t>['terimakasih', 'tindak']</t>
  </si>
  <si>
    <t>['lelet', 'bener', 'kecepatan', 'byte', 'giliran', 'telat', 'bayar', 'denda', 'langsung', 'putus', 'pertanggungjawaban', '']</t>
  </si>
  <si>
    <t>['tida', 'berlangganan', 'mola', 'indihome', 'lgi', 'eror', 'gateway', '']</t>
  </si>
  <si>
    <t>['tolong', 'cepat', 'perbaiki', 'pagi', 'sambungan', 'internet', 'bayar']</t>
  </si>
  <si>
    <t>['', 'coment']</t>
  </si>
  <si>
    <t>['langganan', 'mbps', 'rusak', 'jaringan', 'mbps', 'lancar', 'jaya', 'telat', 'bayar', 'tes', 'speed', 'keitung', 'mbps', 'useless', 'scam', 'indihome']</t>
  </si>
  <si>
    <t>['membantu', 'susah', 'banget', 'login']</t>
  </si>
  <si>
    <t>['koneksi', 'internet', 'bermain', 'game', 'buruk']</t>
  </si>
  <si>
    <t>['', 'malem', 'siang', 'wifiny', 'loadingnya', 'lemot', 'putus', 'sambung', 'mulu', 'wifi', 'indihomenya', 'udah', 'pasang', 'wifi', 'sebulan', 'dipasang', 'pasang']</t>
  </si>
  <si>
    <t>['renew', '']</t>
  </si>
  <si>
    <t>['myindihome', 'mantull', 'cek', 'tagihan', 'lapor', 'kendala', '']</t>
  </si>
  <si>
    <t>['lapor', 'kabel', 'putus', 'ditangani', 'cepet', 'penanganan']</t>
  </si>
  <si>
    <t>['membantu', 'memudahkan', 'konsumen', 'terimakasih']</t>
  </si>
  <si>
    <t>['aplikasinya', 'keren', 'tukar', 'pakek', 'user', 'friendly']</t>
  </si>
  <si>
    <t>['aplikasi', 'bermanfaat', 'masyarakat', 'nyesel', 'sumpah']</t>
  </si>
  <si>
    <t>['indihome', 'pusat', 'slow', 'respon', 'kerja', 'marketing', 'teknisi', 'lapangan', 'cepat', '']</t>
  </si>
  <si>
    <t>['apkikasi', 'telat', 'respon']</t>
  </si>
  <si>
    <t>['jaringan', 'indihome', 'terputus', 'gitu']</t>
  </si>
  <si>
    <t>['sinyal', 'jelek', 'byr', 'ngk', 'telat', '']</t>
  </si>
  <si>
    <t>['penggunaan', 'aplikasinya', 'mudah', '']</t>
  </si>
  <si>
    <t>['aplikasi', 'keren', 'bermanfaat', 'pelanggan']</t>
  </si>
  <si>
    <t>['susah', 'buka', 'aplikasinya', 'klu', 'keluhan', 'lambat', 'respon']</t>
  </si>
  <si>
    <t>['tolong', 'operator', 'dibawa', 'bidan', 'terdekat', 'curiga', 'dilahirkan', 'mulutnya', 'ngga', 'cuci', 'bidan', 'nawarin', 'channel', 'concert', 'apalah', 'dengar', 'penawarannya', 'selesai', 'penjelasan', 'skip', 'butuh', 'salam', 'terima', 'kasih', 'buang', 'buang', 'langsung', 'tutup', 'teleponnya', 'ngga', 'hiring', 'karyawan', 'attitude', '']</t>
  </si>
  <si>
    <t>['cokkk', 'jancukkkkk', 'login', 'dalem', 'apl', 'trs', 'keluarkan', 'trs', 'login', '']</t>
  </si>
  <si>
    <t>['bayar', 'mahal', 'iya', 'perbulan', 'gangguan', 'iya', 'udah', 'perbaiakn', 'sedih', '']</t>
  </si>
  <si>
    <t>['', 'home', 'masuk', 'wilayah', 'rumah', '']</t>
  </si>
  <si>
    <t>['mantep', 'banget', 'tuker', 'poin', 'cmn', 'tagihan', 'scr', 'detail', 'good']</t>
  </si>
  <si>
    <t>['bagus', 'aplikasinya', 'memudahkan', 'pelanggan']</t>
  </si>
  <si>
    <t>['top', 'kuota', 'indihome', 'kemarin']</t>
  </si>
  <si>
    <t>['gangguan', 'udah', 'jam', 'bintang', 'ubah', 'bagus', '']</t>
  </si>
  <si>
    <t>['ngebug', 'register', 'abis', 'ngisi', 'biodatanya', 'lgsg', 'ngeblank', 'putih', 'dicoba', 'ulang', 'dibilangnya', 'udah', 'dipake', 'ngebug', 'mulu', 'gimana']</t>
  </si>
  <si>
    <t>['seneng', 'myindihome', 'user', 'friendly', 'banget', 'memudahkan', 'pengguna', 'lihat', 'tagihan', 'detail', '']</t>
  </si>
  <si>
    <t>['bagus', 'semangat', 'streaming', 'yutub', 'lancar']</t>
  </si>
  <si>
    <t>['jujur', 'indihome', 'lola', 'bayarnya', 'mahal', 'membingungkan', 'aplikasinya', 'semoga', 'indihome', '']</t>
  </si>
  <si>
    <t>['internet', 'bagus', 'bangat', 'sumpah']</t>
  </si>
  <si>
    <t>['keren', 'banget', 'tuker', 'poin', '']</t>
  </si>
  <si>
    <t>['membantu', 'wfh', 'gini', 'sinyalnya', 'lumayan', 'bagus', '']</t>
  </si>
  <si>
    <t>['gagal', 'create', 'akun', 'bad', 'request', 'eror', '']</t>
  </si>
  <si>
    <t>['lemot', 'banget', 'bulanan', 'gratis', 'copot', '']</t>
  </si>
  <si>
    <t>['wifinya', 'keren', 'min', 'ampe', 'afk', 'kali', 'sinyalnya', 'bagus', 'banget']</t>
  </si>
  <si>
    <t>['merubah', 'email', 'aplikask', 'indihome', '']</t>
  </si>
  <si>
    <t>['aplikasi', 'membantu', 'provider', 'indihome', 'lancar', 'bermain', 'ping', 'bermain', 'ping', 'terimakasih', 'indihome', 'teruskan', 'usaha', '']</t>
  </si>
  <si>
    <t>['good', 'job', '']</t>
  </si>
  <si>
    <t>['indihome', 'membantu', 'bagus', 'lancar', 'berkat', 'indihome', '']</t>
  </si>
  <si>
    <t>['memakai', 'internet', 'indihome', 'bagus', 'jarang', 'gangguan']</t>
  </si>
  <si>
    <t>['kemarin', 'kendala', 'jaringan', 'lancar', 'jaya', 'indihome', 'cepat', 'tanggap', 'terimakasih', 'indihome', '']</t>
  </si>
  <si>
    <t>['aplikasi', 'membantu', 'rincian', 'tagihan', 'detail', '']</t>
  </si>
  <si>
    <t>['indihome', 'internetan', 'mantap']</t>
  </si>
  <si>
    <t>['gangguan', 'wilayah', 'udah', 'normal', 'lancar', 'jaya', 'terimakasih', 'indihome', '']</t>
  </si>
  <si>
    <t>['aplikasi', 'membantunya', '']</t>
  </si>
  <si>
    <t>['kecepatan', 'jaringan', 'mbps', 'turun', 'mbps', 'bgm', '']</t>
  </si>
  <si>
    <t>['memudahkan', 'layanan', 'indihome', 'ribet', 'mantap', 'saran', 'log', 'aplikasi', 'kadang', 'mudah', 'cpt', 'diperbaiki']</t>
  </si>
  <si>
    <t>['mantappppppppp', 'lumayan', 'bantu', '']</t>
  </si>
  <si>
    <t>['gangguan', 'terusan', 'telat', 'bayar', 'denda', 'klu', 'gini', 'kompensasi', 'langganan', 'mbps', 'mbps', 'kadang', 'masak', 'negara', 'lihat', 'perusahaan', 'kayak', 'gini', 'bintang', 'mebuktikkan', 'klu', 'jaringan', 'pindah', 'laku', 'indihome', '']</t>
  </si>
  <si>
    <t>['sinyal', 'jelek', 'banget', 'habis', 'bayar', 'nyesel', 'langganan']</t>
  </si>
  <si>
    <t>['', 'susah', 'masuk']</t>
  </si>
  <si>
    <t>['login', 'error', '']</t>
  </si>
  <si>
    <t>['indihome', 'lemot', 'kerjaan', 'terganggu', 'ampun', 'lemot', '']</t>
  </si>
  <si>
    <t>['bugs']</t>
  </si>
  <si>
    <t>['sinyal', 'jelek']</t>
  </si>
  <si>
    <t>['knp', 'internet', 'srg', 'lambat', 'buka', 'app', 'loading', 'sllu', 'complaint', 'sebentar', 'drop', 'spt', 'tlg', 'perbaiki', 'trims']</t>
  </si>
  <si>
    <t>['indihome', 'ngeleg', 'parah', 'kecewa', 'indihom']</t>
  </si>
  <si>
    <t>['bukanya', 'membaik', 'aplikasinya', 'memburuk', 'login', 'logon', 'web', 'susah', 'bayar', 'mahal', 'kadang', 'keterangan', 'unsur', 'kena', 'pajak', 'kadang', 'ganti']</t>
  </si>
  <si>
    <t>['aplikasi', 'ginian', 'pelayanan', 'terburuk', 'provider', 'gini']</t>
  </si>
  <si>
    <t>['sinyal', 'burik', 'busuk', 'layak']</t>
  </si>
  <si>
    <t>['buruk', 'layanan', 'indihome', 'kendala', 'telp', 'susah', 'email', 'direspon']</t>
  </si>
  <si>
    <t>['update', 'bagus', 'penggunaan', 'kuota', 'terpakai', 'liat', '']</t>
  </si>
  <si>
    <t>['buruk', 'semenjak', 'jalur', 'jasuka', 'troble', 'keluhan', 'read', 'doank', 'pdh', 'pembayaran', 'rutin', 'terlambat', '']</t>
  </si>
  <si>
    <t>['ngelag', 'provider', 'bertanggung', 'indihome', 'batas']</t>
  </si>
  <si>
    <t>['memuaskan']</t>
  </si>
  <si>
    <t>['aplikasi', 'nyusahin', 'buka', 'kali', 'log', 'out', 'login', 'cepat', 'blokir', 'emosi', 'mending', 'beralih', 'internet', 'biznet']</t>
  </si>
  <si>
    <t>['respon', 'aplikasinya', 'lambat', 'loadingnya']</t>
  </si>
  <si>
    <t>['', 'pakai', 'skrg', 'serasa', 'pakai', 'jringany', 'lelet', 'trus', 'udh', 'restr', 'udh', 'matikn', 'tpi', 'masi', 'lelet', 'pelaporan']</t>
  </si>
  <si>
    <t>['', 'key']</t>
  </si>
  <si>
    <t>['wifi', 'indihome', 'ngelag', 'doang']</t>
  </si>
  <si>
    <t>['ngeleg']</t>
  </si>
  <si>
    <t>['sumpah', 'jaringan', 'sampah', 'banget', 'bayar', 'mahal', 'maaf', 'membenari', 'blalablalablabala', 'sekedar', 'ucapan', 'bukti', 'nyata', 'mending', 'pindah', 'provider', 'bagus', '']</t>
  </si>
  <si>
    <t>['keren', 'banget', 'mantap', 'pokoke', 'siiippplah', '']</t>
  </si>
  <si>
    <t>['pakai', 'internet', 'indihome', 'seeing', 'trobel', 'lemot', 'bayar', 'telat', 'jaringannya', 'lemot', 'susah']</t>
  </si>
  <si>
    <t>['indihomo', 'anjg', 'wifi', 'ganguan', 'mulu', 'gblk', 'girilan', 'telat', 'bayar', 'gara', 'gara', 'gangguan', 'suruh', 'bayar', 'denda', 'anjg']</t>
  </si>
  <si>
    <t>['gangguan', 'loss', 'mulu', 'ampir', 'teknisi', 'abal', 'parahhh']</t>
  </si>
  <si>
    <t>['oalahh', 'wifi', 'kemaren', 'error', 'trus', 'donlod', 'yutub', 'buffering', 'parahh', '']</t>
  </si>
  <si>
    <t>['bnyk', 'problem', 'teknisi', 'abal', 'abal']</t>
  </si>
  <si>
    <t>['lapor', 'gangguan', 'lampu', 'los', 'modem', 'nyala', 'merah', 'blm', 'petugas', 'memperbaiki']</t>
  </si>
  <si>
    <t>['kecewa', 'berat', 'udh', 'lapor', 'lbh', 'blm', 'tanganin', 'jugaaa', 'udh', 'harian', 'nunggu', 'gada', 'teknisi', 'dtng', 'lampu', 'internet', 'mati', 'phone', 'lapor', 'gada', 'dtng', 'pnting', 'banget', 'internetan', 'belajar', 'kerja', 'dll', 'pelayanan', 'mengecewakan', '']</t>
  </si>
  <si>
    <t>['susah', 'login', '']</t>
  </si>
  <si>
    <t>['minggu', 'kamis', 'internetnya', 'buruk', 'paket', 'mbps', 'kecepatan', 'kaya', 'siput', 'menghambat', 'pekerjaan', 'merugikan', 'mohon', 'diperbaiki', '']</t>
  </si>
  <si>
    <t>['wifi', 'indihome', 'mati', 'lampu', 'merah', 'tolong', 'perbaiki', 'wifi', 'indihome']</t>
  </si>
  <si>
    <t>['verifikasi', 'pergantian', 'nomor', 'telpon', 'sms', 'pakai', 'kode', 'verifikasi', 'memudahkan', 'banget', 'user', 'banget', 'nungguin', 'telponnya', 'giliran', 'ngadu', 'call', 'center', 'suruh', 'install', 'myindihome', 'layanan', 'registrasi', 'ganti', 'nomor', 'verifikasinya', 'banget', 'keberhasilan', 'apps', 'memudahkan', 'user', 'tolong', 'diubah', 'mudah']</t>
  </si>
  <si>
    <t>['', 'logon']</t>
  </si>
  <si>
    <t>['pengaduan', 'min', 'tertulis', 'gangguan', 'massal', 'tetangga', 'lancar', 'ribet', 'plasa', 'telkom', 'solusi']</t>
  </si>
  <si>
    <t>['pingin', 'berhenti', 'langganan', 'th', 'dahlah']</t>
  </si>
  <si>
    <t>['kapok', 'langganan']</t>
  </si>
  <si>
    <t>['telat', 'bayar', 'denda', 'jaringan', 'buruk', 'maaf', 'diperbaiki', 'hilang', 'sila', 'keadilan', 'sosial', 'rakyat', 'indonesia', 'sedih', 'maju', 'maju', 'negaraku', '']</t>
  </si>
  <si>
    <t>['trable', 'dicht', 'sosmed', 'respon', '']</t>
  </si>
  <si>
    <t>['', 'lancar', 'lancar', 'game', 'lag', 'tolong', 'tingkatkan', 'signalnya', 'indihome']</t>
  </si>
  <si>
    <t>['myindihome', 'laporan', 'gangguan', 'udah', 'selesai', 'udah', 'ditelfon', 'pusat', 'acc', 'selesai', 'belom', 'laporan', 'gabisa', 'aneh']</t>
  </si>
  <si>
    <t>['jeleeeek', 'provider', 'sampah', 'nyesel', 'make', 'indihome']</t>
  </si>
  <si>
    <t>['cepat', 'perbaiki', 'jaringan', 'aktivitas', 'daring', 'kmi', 'jdi', 'terhambat', 'paham', 'kau', '']</t>
  </si>
  <si>
    <t>['penanganan', 'perbaikan', 'lambat', 'kendala', 'kendala', 'perbaikan', 'jam', 'habis', 'perbaikan', 'perawatan', 'lemot', 'sayangkan', 'tolong', 'layanannya', 'jaringannya', 'tingkatkan', 'bualan']</t>
  </si>
  <si>
    <t>['payah']</t>
  </si>
  <si>
    <t>['knp', 'jaringan', 'indihome', 'download', 'buka', 'situs', 'diblokir', 'indihome', 'situs', 'terlarang', 'klw', 'akses', 'pengguna', 'dibatasi', 'langganan', 'kuota', 'gede', 'klw', 'dipake', 'skrg', 'akses', 'internet', 'sebatas', 'youtube', 'sosmed', 'doank', 'kecewa', 'parah', '']</t>
  </si>
  <si>
    <t>['perbaiki', 'cepat', 'min', 'capek', 'perkuliahan', 'daring', 'jaringan', 'indihome', 'mendukung']</t>
  </si>
  <si>
    <t>['jaringannye', 'ngeleg', 'cokkk', '']</t>
  </si>
  <si>
    <t>['indihome', 'payah', 'bayar', 'tagihan', 'lancar', 'tolong', 'diperbaiki', '']</t>
  </si>
  <si>
    <t>['kasih', 'lihat', 'kuota', 'terpakai']</t>
  </si>
  <si>
    <t>['koneksi', 'terputus', 'semalam']</t>
  </si>
  <si>
    <t>['nice']</t>
  </si>
  <si>
    <t>['buka', 'ndak', 'indihome', 'min', 'sinyal', 'gmn']</t>
  </si>
  <si>
    <t>['min', 'wifi', 'lemot', 'teman', 'teman', 'udah', 'lancar', 'nulis', 'keluhan', 'indihome', 'gabisa', 'nge', 'stuck', 'pemeriksaan', 'nomer', 'jaringan', 'youtube', 'max', 'download', 'max', 'kb', 'solusinya', 'gimana', 'min', '']</t>
  </si>
  <si>
    <t>['', 'bermasalah', 'tetangga', 'koq', 'npake', 'indihome', '']</t>
  </si>
  <si>
    <t>['aplikasi', 'buruk', 'crash', 'dipencet', '']</t>
  </si>
  <si>
    <t>['mahal', 'lemot', 'jaringan', 'burik']</t>
  </si>
  <si>
    <t>['pakai', 'mbps', 'kali', 'drop', 'dibawah', 'kbps', 'konfirm', 'indihome', 'pakai', 'aplikasi', 'nggak', 'kirim', 'pesan', 'warningnya', 'maintenance', 'hadeh']</t>
  </si>
  <si>
    <t>['kecewa', 'pengaduan', 'aplikasi', 'tanggapan', 'pengaduan', 'tanggapan', '']</t>
  </si>
  <si>
    <t>['knp', 'mengajukan', 'langganan', 'suruh', 'tunggu', 'jam', 'skrg', 'blm', 'kelanjutan', '']</t>
  </si>
  <si>
    <t>['kerjanya', 'cepat', 'ngak', 'ber', 'tele', 'lapor', 'tehnisinya', 'langsung', 'beres', 'trima', 'kasih', 'pelayanannya', 'indihome', '']</t>
  </si>
  <si>
    <t>['memutuskan', 'langganan', 'indihome', 'alasan', 'pindah', 'pemasangan', 'petugasnya', 'setor', 'deposit', 'kali', 'tagihan', 'berlangganan', 'deposit', 'ditarik', 'mengajukan', 'berhenti', 'berlangganan', 'petugas', 'deposit', 'disetor', 'pemasangan', 'kecewa', 'layanan', '']</t>
  </si>
  <si>
    <t>['like']</t>
  </si>
  <si>
    <t>['lemot', 'kek', 'siput', 'gangguan', 'day', '']</t>
  </si>
  <si>
    <t>['verifikasi', 'akun', 'gagal', '']</t>
  </si>
  <si>
    <t>['five', 'star']</t>
  </si>
  <si>
    <t>['pelayan', 'cepat', 'tanggapi']</t>
  </si>
  <si>
    <t>['hilih', 'jaringan', 'jelek', 'bayar', 'mahal', 'telat', 'dikit', 'kena', 'denda', 'gangguan', 'maaf', 'lawac', '']</t>
  </si>
  <si>
    <t>['mantab', 'jaya', 'abadi', '']</t>
  </si>
  <si>
    <t>['loading', 'trus', 'login', 'aplikasi']</t>
  </si>
  <si>
    <t>['login', 'pasword', 'udah', 'bener', 'smpe', 'lupa', 'pasword', 'tetep', 'kasih', 'kesempatan', 'kaya', 'pin', 'atm', 'lebay', 'tingkatin', 'lemot', 'stabil']</t>
  </si>
  <si>
    <t>['bagus', 'aplikasinya']</t>
  </si>
  <si>
    <t>['sue', '']</t>
  </si>
  <si>
    <t>['ntaps']</t>
  </si>
  <si>
    <t>['pengaduan', 'tgl', 'siang', 'tunggu', 'semalam', 'ketemu', 'pagi', 'respon', 'bagus', 'pelayanannya', 'indikator', 'merah', 'menyala', 'geregetan', 'mikir', 'anak', 'ujian', 'pts', 'daring', 'kelau', 'disalahkan', 'woooiiiii', 'napa', 'nggak', 'kasih', 'kabar', 'fase', 'mumet', 'berjamaah', 'kota', 'jaringan', 'kmrn', 'kabupaten', 'jaringannya', 'bagus', '']</t>
  </si>
  <si>
    <t>['gini', 'indihome', 'nyaman', 'anjirrr', 'sumpah', 'tgl', 'gada', 'internet', 'tgl', 'internet', 'sampe', 'beli', 'paket', 'data', 'bayar', 'mahal', 'kepuasan']</t>
  </si>
  <si>
    <t>['nikmaat']</t>
  </si>
  <si>
    <t>['indihome', 'sebenernya', 'niat', 'buka', 'kali', 'daftar', 'gagal', 'alesan', 'mekanisnya', 'penuh', 'niat', 'berkembang', 'kasih', 'mekanis', 'serius', 'mekanis', 'lemah', 'penuh', 'itukan', 'msh', 'akalin', 'niat', 'serius', 'payah']</t>
  </si>
  <si>
    <t>['aplikasi', 'blassss']</t>
  </si>
  <si>
    <t>['update', 'september', 'sulit', 'terkoneksi']</t>
  </si>
  <si>
    <t>['', 'dibayar', 'tagihan', 'jam', 'lgsg', 'denda', 'lag', 'parah', 'parahan', 'maaf', 'bodo']</t>
  </si>
  <si>
    <t>['bertahun', 'indihome', 'hufff', 'akrang', 'lemotttttt']</t>
  </si>
  <si>
    <t>['seandainya', 'provaider', 'indihome', 'pakai', '']</t>
  </si>
  <si>
    <t>['jaringan', 'error', 'tolong', 'kasih', 'kompensasi', 'kpd', 'pelanggan', 'setia', 'malam', 'internet', 'gangguan', '']</t>
  </si>
  <si>
    <t>['najis', 'ngeleg', 'parah', 'banget', 'sampe', 'main']</t>
  </si>
  <si>
    <t>['internetnya', 'stabil', 'mohon', 'perhatian', '']</t>
  </si>
  <si>
    <t>['jelek']</t>
  </si>
  <si>
    <t>['gaguan']</t>
  </si>
  <si>
    <t>['payah', 'down', 'sampe', 'berhari', 'kompensasi', 'apapun', 'kpd', 'pelanggan', 'kerugian', 'diderita', 'hentikan', 'monopoli', 'elegan', 'operator', 'masuk', 'setara', 'monopoli', 'biang', 'eloknya', 'performa', 'telkom', 'anak', 'pinaknya', '']</t>
  </si>
  <si>
    <t>['ayolah', 'indihome', 'jaringan', 'cepet', 'benerin', '']</t>
  </si>
  <si>
    <t>['bintang']</t>
  </si>
  <si>
    <t>['min', 'lag', 'banget', 'sumpah', 'norak', 'belajar']</t>
  </si>
  <si>
    <t>['masuk', 'myindihome', 'bisaaaa']</t>
  </si>
  <si>
    <t>['lemott', '']</t>
  </si>
  <si>
    <t>['tolong', 'min', 'komplain', 'tanggapi', 'serius', 'layanan', 'terbaik', 'jaringan', 'lelet', 'mbps', 'serasa', 'mbps', 'tks']</t>
  </si>
  <si>
    <t>['nyesel', 'indihome', 'udah', 'jarigan', 'lelet', 'bermasalah']</t>
  </si>
  <si>
    <t>['tolong', 'tingkatkan', 'min', 'kualitas', 'signal', 'indihomenya', 'saran', 'trims']</t>
  </si>
  <si>
    <t>['wifi', 'ngelag', 'bayar', 'kesel', 'teknisi', 'dateng', 'rumah', 'benerin', 'selesai', 'langsung', 'pulang', 'lamain', 'tax']</t>
  </si>
  <si>
    <t>['jaringannya', 'jelek']</t>
  </si>
  <si>
    <t>['gangguan', 'blm', 'normal', 'pengaduan', 'respon', 'berhenti', 'berlangganan', 'terganjal', 'kontrak', 'setahun', 'brekele']</t>
  </si>
  <si>
    <t>['kompensasi', 'ngab', 'senggol']</t>
  </si>
  <si>
    <t>['jenis', 'fitur', 'menyediakan', 'berita', 'informasi', 'terkait', 'permasalahan', 'indihome', 'update', 'permasalahan', 'kerusakan', 'dll']</t>
  </si>
  <si>
    <t>['ngelag', 'anjg']</t>
  </si>
  <si>
    <t>['disaat', 'telat', 'bayar', 'denda', 'disaat', 'jaringan', 'wifi', 'down', 'dpt', '']</t>
  </si>
  <si>
    <t>['indihome', 'trouble', 'kompensasi', 'telat', 'bayar', 'udh', 'kena', 'denda']</t>
  </si>
  <si>
    <t>['kebanyakan', 'trouble', 'payah', '']</t>
  </si>
  <si>
    <t>['update', 'ngak', 'login']</t>
  </si>
  <si>
    <t>['buruk', 'koneksinya', 'buruknya', 'layanan', 'kompensasi', 'rekomendasi']</t>
  </si>
  <si>
    <t>['ngelagg', 'mulu', '']</t>
  </si>
  <si>
    <t>['jaringan', 'payah', 'cuiihhhhh']</t>
  </si>
  <si>
    <t>['kronologi', 'pindah', 'rumah', 'pindah', 'wifi', 'indihome', 'telpon', 'nomer', 'slot', 'jaringannya', 'kosong', 'disuruh', 'daftar', 'biaya', 'pendaftaran', 'slot', 'jaringan', 'kosong', 'trus', 'pindah', 'disuruh', 'daftar', 'pemerasan', 'namanya', '']</t>
  </si>
  <si>
    <t>['udh', 'indihome', 'dipake', 'trus', 'pembayaran', 'gmn', 'hrs', 'pindah', 'provider', '']</t>
  </si>
  <si>
    <t>['ganti', 'nomor', 'verifikasi', 'langsung', 'indihome', 'verifikasi', 'pakai', 'nomor', 'mengganti', 'email', 'verifikasi', 'email', 'email', 'milik', 'almarhum', 'ayah', 'digantipun', 'rumit', '']</t>
  </si>
  <si>
    <t>['loba', 'ngadat']</t>
  </si>
  <si>
    <t>['jaringan', 'busuk', 'bayaran', 'mahal', 'dsr']</t>
  </si>
  <si>
    <t>['nonaktifkan', 'add', 'beli', 'add', 'chanel', 'mola', 'vidio', 'aplikasi', 'indihome']</t>
  </si>
  <si>
    <t>['semenjak', 'indihome', 'update', 'tampilannya', 'lambat', 'buka', 'cepat', 'buka']</t>
  </si>
  <si>
    <t>['pelayanan', 'buruk', 'gangguan', 'kompensasi', 'pelanggan', 'bayar', 'full']</t>
  </si>
  <si>
    <t>['maaf', 'provoider', 'buruk', 'layanan', 'udah', 'kalinya', 'kasih', 'promo', 'tambahan', 'bayaran', 'eeeh', 'ahir', 'kali', 'lipat', 'bayarnya', 'padah', 'telpon', 'ngasih', 'harga', 'rincian', 'promo', 'alias', 'gratisss']</t>
  </si>
  <si>
    <t>['hadeh', 'lag', 'download', 'file', 'mb', 'sampe', 'menit']</t>
  </si>
  <si>
    <t>['wifi', 'lose', 'respon', 'terkait']</t>
  </si>
  <si>
    <t>['mohon', 'lekas', 'baiki', 'jaringan']</t>
  </si>
  <si>
    <t>['ngelag', 'mulu', 'coy', 'gjelas']</t>
  </si>
  <si>
    <t>['memprihatinkan', 'layanannya', '']</t>
  </si>
  <si>
    <t>['aplikasi', 'lemot', 'internet', 'lemot', 'biayanya', 'mahal', 'lancar', 'emang', 'manteb', 'rating', '']</t>
  </si>
  <si>
    <t>['layanan', 'internet', 'akses', 'pengaduan', 'kesana', 'kesini', 'penanganan', 'lambat']</t>
  </si>
  <si>
    <t>['jaringan', 'main', 'game', 'ngelag', 'mending', 'jualan', 'bakso']</t>
  </si>
  <si>
    <t>['jaringannya', 'lelet', 'banget', 'gabisa', 'internetan', 'indihome']</t>
  </si>
  <si>
    <t>['trash', 'belongs', 'trash', 'can', '']</t>
  </si>
  <si>
    <t>['pelayanan', 'pemasangan', 'indihome', 'disayangkan', 'jaringan', 'buruk', 'harga', 'wajar', 'jaringan', 'buruk', 'harga', 'wajar', 'pemasangan', 'buruk', 'jaringan', 'what', 'udah', 'nanya', 'indihome', 'menganggap', 'besok', 'lancar', 'yeah', 'ttp', 'buruk', 'memesan', 'paket', 'ksh', 'full', 'tlpon', '']</t>
  </si>
  <si>
    <t>['tig', 'indihome', 'gangguan', 'parah']</t>
  </si>
  <si>
    <t>['tampilannya', 'aplikatif', 'membntu', 'memudahkan', 'mengoperasikannya']</t>
  </si>
  <si>
    <t>['aplikasi', 'berguna', 'cek', 'tagihan', 'add', 'point', 'pengaduan', 'dibalas', 'diproses', 'aplikasi', 'sampah', 'internetan', 'alasan', 'kabel', 'optik', 'laut', 'rusak', 'gangguan', 'tetangga', 'rumah', 'internetan', 'indihome']</t>
  </si>
  <si>
    <t>['cuih', 'mahal', 'doang', 'jaringan', 'kek', 'keong', 'kompensasi', 'pelanggan', '']</t>
  </si>
  <si>
    <t>['lag', 'push', 'rank', 'login', 'telat', 'bayar', 'kena', 'denda', 'giliran', 'lag', 'maaf', 'hamdeh']</t>
  </si>
  <si>
    <t>['indi', 'home', 'ajgggggg', 'buru', 'wifi', 'lag', 'mulu', 'ajgggggggg']</t>
  </si>
  <si>
    <t>['', 'instal', 'aplikasi', 'tdak', 'login', 'tulisannya', 'failed', 'coba', 'regestrasi', 'ulang', 'email', 'terdaftar', 'ngatasi', 'login', 'gimana', '']</t>
  </si>
  <si>
    <t>['ngapain', 'update', 'performa', 'aplikasinya', 'dibenerin', '']</t>
  </si>
  <si>
    <t>['sungguh', 'putus', 'nyambung', 'putus', 'nyambung']</t>
  </si>
  <si>
    <t>['']</t>
  </si>
  <si>
    <t>['log', '']</t>
  </si>
  <si>
    <t>['download', 'file', 'banget']</t>
  </si>
  <si>
    <t>['payah', 'aplikasinya', 'kualitas', 'pelayanan', 'kinerjanya', 'lemot', 'eror', 'memuaskan', 'giliran', 'bayar', 'nagihnya', 'kayak', 'debt', 'colector', 'rentenir', 'kejar', 'sehari', 'kali', 'call', 'sms', 'email', 'gmail', 'suruh', 'bayar', 'tanggalnya', 'bayar']</t>
  </si>
  <si>
    <t>['sampe', 'perbaikan', 'selesai', 'jatuh', 'tempo', 'pembayaran', 'lakukan']</t>
  </si>
  <si>
    <t>['', 'tao']</t>
  </si>
  <si>
    <t>['sumpah', 'jaringannya', 'gajelas', 'lemot', 'pdhl', 'dirumah', 'paka', 'orang']</t>
  </si>
  <si>
    <t>['indihom', 'indihom', 'gangguan', 'udah', 'berhenti', 'isp']</t>
  </si>
  <si>
    <t>['gangguan', 'teross', 'kompensasi', 'kagak', 'dapet', 'mbps', 'serasa', 'mbps', 'speed', 'internetnya', 'parahh']</t>
  </si>
  <si>
    <t>['kasih', 'bintang', 'ajj', 'pelayanannya', 'respon', 'udh', 'internit', 'akses', 'ajj', 'lom', 'perbaikan', 'kecewa', 'indihomee']</t>
  </si>
  <si>
    <t>['ngasih', 'bintang', 'kasih', 'bintang', '']</t>
  </si>
  <si>
    <t>['support', 'responsif']</t>
  </si>
  <si>
    <t>['tolong', 'gangguan', 'indihomenya', 'bayarnya', 'diskon']</t>
  </si>
  <si>
    <t>['internet', 'normal', 'udah', 'jam', 'tunggu', 'beres', 'pindah', 'biznet', '']</t>
  </si>
  <si>
    <t>['masuk', 'udh', 'panas', 'perbaikan']</t>
  </si>
  <si>
    <t>['bayar', 'suruh', 'telat', 'kena', 'denda', 'jaringan', 'trauble', 'mengecewakan', 'balas', 'comen', 'sistem', 'operatornya', '']</t>
  </si>
  <si>
    <t>['terimah', 'kasih', 'aplikasih', 'bermanfaat', '']</t>
  </si>
  <si>
    <t>['nomor', 'layanan', 'koq', 'valid', 'maksudnya', 'ngeselin', 'banget', '']</t>
  </si>
  <si>
    <t>['diperbaiki', 'layanannya', 'internet', 'down', '']</t>
  </si>
  <si>
    <t>['gangguan', 'jam', 'kompensasi', '']</t>
  </si>
  <si>
    <t>['mengganti', 'indihome', 'putus', 'app', '']</t>
  </si>
  <si>
    <t>['parah', 'kecepatan', 'mbps', 'kecepatan', 'mbps']</t>
  </si>
  <si>
    <t>['indihome', 'parah', 'amanah', 'kemarin', 'diksih', 'tawaran', 'mbps', 'tolak', 'karna', 'mbps', 'pakai', 'tpi', 'dipaksa', 'cman', 'nambah', 'duit', 'dibayar', 'perbulan', 'coba', 'skli', 'bayar', 'gpp', 'sya', 'bayar', 'wifi', 'perbulan', 'perbulan', 'sya', 'sdah', 'berat', 'ppkm', 'gini', 'ditelpon', 'malamnya', 'jaringannya', 'udah', 'eror', 'dipakai', 'searching', 'tolong', 'amanah', 'costumer', 'tdak', 'ysdah', 'diturunin', 'kualitas', 'jaringannya', '']</t>
  </si>
  <si>
    <t>['lambat', 'internetnyaa', 'astagfirullah', 'gangguan', 'gimama', 'lemot', 'parahhhhhhh']</t>
  </si>
  <si>
    <t>['meningkatkan', 'layanan', 'aplikasi', 'login', 'keblokir', 'kecepatan', 'internet', 'turun', 'mbps', 'browsing', 'ngga', 'bayar', 'bulanan', 'jalan']</t>
  </si>
  <si>
    <t>['pembayaran', 'perpanjangan']</t>
  </si>
  <si>
    <t>['pengalaman', 'pahit', 'berlangganan', 'indihome', 'pemutusan', 'langganan', 'kali', 'lipat', 'tagihan', 'bayar', '']</t>
  </si>
  <si>
    <t>['udh', 'internet', 'lemot', 'gimana', 'kinerjanya', 'udh', 'laporan', 'kerja', 'bener', 'bayaran', 'sesuai', 'layanan']</t>
  </si>
  <si>
    <t>['pelayanannya', 'bagus', 'csnya', 'ngak', 'canggih']</t>
  </si>
  <si>
    <t>['tolong', 'perbaiki']</t>
  </si>
  <si>
    <t>['jaringanmu', 'gini', 'telat', 'bayar', 'putus', 'jaringan', 'lelet', 'cuman', 'maaf', 'enak', 'hidupmu', '']</t>
  </si>
  <si>
    <t>['lemot', 'mohon', 'perbaiki', '']</t>
  </si>
  <si>
    <t>['aplikasi', 'ngebantu', 'not', 'respon', 'mohon', 'maaf', 'ngedumel', 'rating', 'playstore', 'niat', 'masang', 'daring', 'anak', 'sekolah', 'main', 'game', 'lemot', 'wireles', 'klw', 'pkai', 'data', 'provider', '']</t>
  </si>
  <si>
    <t>['payah', 'pembayaran', 'giliran', 'trouble', 'layanan', 'bantuan', 'direspon', 'sesuai']</t>
  </si>
  <si>
    <t>['indihome', 'care', 'gapernah', 'dibales', 'pembayaran', 'gangguan', 'jaringan', 'gangguan', 'konpensasi']</t>
  </si>
  <si>
    <t>['minggu', 'indihome', 'banget', 'eror', 'bayar', 'eror', '']</t>
  </si>
  <si>
    <t>['lemottt']</t>
  </si>
  <si>
    <t>['lemot', 'poll', '']</t>
  </si>
  <si>
    <t>['ganti', 'email', 'ndak', 'pakai', 'email', 'terdaftar', 'indihome', 'lupa', 'password', 'email', 'terdaftar', 'indihome', 'ganti', 'email', 'kode', 'otp', 'dikirim', 'email', 'muncul', 'notifikasinya', '']</t>
  </si>
  <si>
    <t>['versi', 'terbaru', 'lemot']</t>
  </si>
  <si>
    <t>['respect', 'banget', 'indihome', 'nerima', 'masukan', 'pengguna', 'berusaha', 'semaksimal', 'peforma', 'terbaiknya', 'bintang', 'deh', 'pelayan', 'indihome', 'bintang', 'jaringannya']</t>
  </si>
  <si>
    <t>['indihome', 'telat', 'denda', 'internet', 'dipakai', 'kompensasi', 'pelanggan', '']</t>
  </si>
  <si>
    <t>['trouble', 'rampung', 'rampung']</t>
  </si>
  <si>
    <t>['gua', 'telat', 'bayar', 'wifi', 'gua', 'kayk', 'data', 'paketan', 'mb']</t>
  </si>
  <si>
    <t>['super', 'lelet', 'lemot', 'giliran', 'gangguan', 'slow', 'respon', 'giliran', 'telat', 'bayar', 'langsung', 'blokir']</t>
  </si>
  <si>
    <t>['', 'stabil', 'buatmain', 'game', 'rto', 'mulu', '']</t>
  </si>
  <si>
    <t>['lag', 'banget', 'memperbaiki', '']</t>
  </si>
  <si>
    <t>['susah', 'masuk', 'aplikasi', 'pengaduan', 'internet', 'konek']</t>
  </si>
  <si>
    <t>['penanganan', 'komplain']</t>
  </si>
  <si>
    <t>['sumpah', 'lemoooooot', 'banget', 'mahal', 'bayar', 'wifi', 'buka', 'aplikasi', 'ringan', 'susah', '']</t>
  </si>
  <si>
    <t>['kebangetan', 'bayar', 'mahal', 'lemotnya', 'mintak', 'ampun', 'diskon', 'gaya', 'doang', 'cepet', 'apaanya', 'cepat', 'trouble', 'iya', 'mending', 'pakek', 'wifi', 'tetangga', 'mahalntapi', 'terjamin', '']</t>
  </si>
  <si>
    <t>['indihome', 'gangguan', 'jelek', 'wife']</t>
  </si>
  <si>
    <t>['tolong', 'wifi', 'lancar', 'buka', 'facebook', 'loading', 'menit', 'tolong', 'perbaiki', 'jaringannya', 'giamana', 'login', 'nyambungin', 'wifi', 'karna', 'gagal', 'tolong', 'bayar', 'terlambat', 'signal', 'lancar', 'kek', 'gini', 'kecewa', 'bener', '']</t>
  </si>
  <si>
    <t>['gangguan', 'mbps', 'pakai', 'org', 'karuan', 'bayar', 'sampah']</t>
  </si>
  <si>
    <t>['menu', 'pengaduan', 'layanan']</t>
  </si>
  <si>
    <t>['', 'best', 'streaming', 'game', 'daring', 'mahal', 'lemot', 'delay', 'kbanyakan', 'buffering', 'kecewa', 'thanks', 'indi', 'lay', 'home']</t>
  </si>
  <si>
    <t>['udah', 'gini', 'indihome', 'pelayanan', 'buruk', 'koneksi', 'internet', 'terputus', 'tiada', 'gangguan', 'lapor', 'takut', 'pelanggan', 'hilang', 'haruskah', 'ganti', 'layanan', 'indihome', 'tergantung', 'indihome']</t>
  </si>
  <si>
    <t>['rewel']</t>
  </si>
  <si>
    <t>['jaringan', 'aplikasi', 'lemotnya']</t>
  </si>
  <si>
    <t>['bayar', 'tagihan', 'muncul', 'tulisan', 'eror', 'sistem', 'beroperasi', 'gimana', 'min', 'gratis', 'hahaha', 'udah', 'tgl', 'bayar', 'denda', 'lucu', 'kena', 'denda', 'gara', 'sistem', 'eror', 'sononya', 'emang', 'kena', 'denda', 'ambil', 'perangkat', 'keruma', 'min', 'berhenti', 'langganan']</t>
  </si>
  <si>
    <t>['aplikasi', 'terlemot', '']</t>
  </si>
  <si>
    <t>['aplikasi', 'lemot', 'loading', 'terosss']</t>
  </si>
  <si>
    <t>['ticket', 'pengaduan', 'layanan', 'diproses', 'masuk', 'antrian', 'fitur', 'mending', 'telpon', 'call', 'center']</t>
  </si>
  <si>
    <t>['mas', 'agus', 'apalah', 'cok', 'kesel', '']</t>
  </si>
  <si>
    <t>['app', 'ampas', 'verifikasi', 'beda', 'beda', 'versi']</t>
  </si>
  <si>
    <t>['assalamualaikum', 'kode', 'vertifikasi', 'nggk', 'terkirim']</t>
  </si>
  <si>
    <t>['ngga', 'perubahan', 'pelayanan', 'jaringan', 'putus', 'nyambung', 'putus', 'nyambung', 'lemot']</t>
  </si>
  <si>
    <t>['aplikasi', 'kacau', 'gini', 'susah', 'masuk']</t>
  </si>
  <si>
    <t>['putus', 'wifi', 'deh', 'kek', 'gini']</t>
  </si>
  <si>
    <t>['internet', 'lambaaaatttttttttt', 'tagihan', 'mahalll', 'tod']</t>
  </si>
  <si>
    <t>['bayar', 'doank', 'sebulan', 'rb', 'lemot', 'nonton', 'lemot', 'parah', 'ujung', 'nonton', 'test', 'speed', 'kaya', 'langit', 'bumi', 'janji', 'tepati', 'sesuai', 'pembayaran', 'pemasangan', 'doank', 'lancaaaarrr', 'udh', 'setahun', 'thn', 'kaya', 'kereta', 'mogookk', 'hahahhaa', 'makasih', 'indihome', 'suka', 'kesel', 'rmh', '']</t>
  </si>
  <si>
    <t>['lemoooooooottttt', 'laaammaaaaaaa', 'perbaikan', '']</t>
  </si>
  <si>
    <t>['melaporkan', 'keluhan', 'seharian', 'layanan', 'telp']</t>
  </si>
  <si>
    <t>['aplikasi', 'indihome', 'login', 'muncul', 'keterangan', 'maaf', 'permintaan', 'gagal', 'silahkan', 'lakukan', 'proses', '']</t>
  </si>
  <si>
    <t>['bayar', 'tagihan', 'enga', 'telat', 'rugi', 'denda']</t>
  </si>
  <si>
    <t>['ancur']</t>
  </si>
  <si>
    <t>['bayar', 'tanggal', 'bulannya', 'jaringan', 'lemot', 'kena', 'denda', 'payah', '']</t>
  </si>
  <si>
    <t>['aplikasi', 'bapuk', 'jelek', 'lemot', 'kemajuan']</t>
  </si>
  <si>
    <t>['parah', 'login', 'apk', 'indihome', 'kode', 'verifikasi', 'sms', 'dikirim', 'habis', 'berkali', 'kali', '']</t>
  </si>
  <si>
    <t>['peforma', 'buruk', 'banget', 'masak', 'perusahaan', 'perbaikan', 'banget', 'profesional', '']</t>
  </si>
  <si>
    <t>['jaringan', 'indihome', 'jelek', 'informasih', 'gangguan', 'pelanggang', 'indihome', 'menunda', 'pembayaran', 'semenjak', 'pasang', 'indihome', 'kecewa', 'kerjanya', 'indihome', 'kaya', 'gini', 'bulanya', 'gangguan', 'bulanya', 'tolong', 'pembayaran', 'jaringan']</t>
  </si>
  <si>
    <t>['selamat', 'malam', 'indihome', 'terhormat', 'kemarin', 'sore', 'menuliskan', 'ulasan', 'internet', 'indihome', 'kecewa', 'terlambat', 'bayar', 'memutus', 'koneksi', 'internet', 'pedulikan', 'kendala', 'indihome', 'gangguan', 'terpaksa', 'menerima', 'dimana', 'internet', 'bayar', 'kerugian', 'alami', 'segi', 'penghasilan', '']</t>
  </si>
  <si>
    <t>['sinyal', 'busuk', 'perbaikan', 'mengecewakan', '']</t>
  </si>
  <si>
    <t>['update', 'bagus', 'login', 'tolong', 'diperbaiki', 'konsumen', 'pindah', 'hati', 'kualitas', 'menurun', 'telat', 'bayar', 'kena', 'denda', 'kelasahan', 'telkom', 'maaf', 'konvensasi', 'semoga', 'secepatnya', 'diperbaiki', '']</t>
  </si>
  <si>
    <t>['gimana', 'progres', 'perbaikannya', 'jam']</t>
  </si>
  <si>
    <t>['astaga', 'dipasang', 'kali', 'ganti', 'sales', 'dipasang', 'bayar', 'bayar', 'mbanking', 'bayar', 'alfamidi', 'indomaret', 'alafamart', 'karna', 'kebanyakan', 'duit', 'indiehome', 'emang', 'bermasalah', 'done', 'pasang', 'knp', 'dibilang', 'salesnya', 'diawal', 'pasang', 'knp', 'diberitahu', 'bermasalah', 'kejar', 'target', 'merugikan', 'org', 'kek', 'ginilah', 'sekelas', 'bumn', 'kek', 'maju', 'bangsa', '']</t>
  </si>
  <si>
    <t>['register']</t>
  </si>
  <si>
    <t>['lag', 'lag', 'lag']</t>
  </si>
  <si>
    <t>['aplikasi', 'berat', 'muuuserrrrr', 'mulu']</t>
  </si>
  <si>
    <t>['ngelag', 'woy', 'jaringan']</t>
  </si>
  <si>
    <t>['indihome', 'aneh', 'sengaja', 'bener', 'tagihan', 'tanggal', 'gangguan', 'bayar', 'kena', 'denda', 'bayarnya', 'tanggal', 'lemot', 'licik', '']</t>
  </si>
  <si>
    <t>['haduhhhh']</t>
  </si>
  <si>
    <t>['login', 'myindihome', 'susahnya', 'mampos', 'ampunnnnn', 'tolong', 'diperbaiki', 'jengkel']</t>
  </si>
  <si>
    <t>['aplikasi', 'rusak', '']</t>
  </si>
  <si>
    <t>['disaat', 'jaringan', 'indihome', 'trouble', 'ditelpon', 'indihome', 'ditawarkan', 'upgrade', 'paket', 'mbps', 'bersedia', 'upgrade', 'indihome', 'paket', 'mbps', 'dikemudian', 'downgrade', 'dipaksakan', 'mengambil', 'paket', 'dipaksa', 'mencoba', 'etika', 'indihome', '']</t>
  </si>
  <si>
    <t>['goblooooook', 'trouble', 'dipake', 'kerja', '']</t>
  </si>
  <si>
    <t>['lemot', 'bingit', 'jaringan', 'cepetan', '']</t>
  </si>
  <si>
    <t>['kalimantan', 'barito', 'timur', 'dusun', 'timur', 'tamiang', 'layang', 'pelayanan', 'ditamiang', 'cewe', 'jaga', 'costumer', 'tpatx', 'adminx', 'kyakx', 'orgx', 'welcome', 'sombong', 'tolong', 'diganti', 'ramah', 'terimakasih', '']</t>
  </si>
  <si>
    <t>['tolong', 'koneksi', 'benerin', 'kecewaa']</t>
  </si>
  <si>
    <t>['bayar', 'indo', 'maret', 'gangguan', 'bayar', 'mbanking', 'gangguan', 'jatuh', 'tempo', 'besok', 'woii']</t>
  </si>
  <si>
    <t>['login', 'susah', 'hadeehh']</t>
  </si>
  <si>
    <t>['layanan', 'buruk', 'gangguan']</t>
  </si>
  <si>
    <t>['aplikasi', 'lemot']</t>
  </si>
  <si>
    <t>['pasang', 'minggu', 'kena', 'troble', 'kejelasan', 'normal', 'mestinya', 'indihome', 'kasih', 'kompensasi', 'jam', 'normal']</t>
  </si>
  <si>
    <t>['dahlaa', 'bayar', 'mahall', 'perbaikan', 'ngirim', 'data', 'plus', 'kegiatan', 'saran', 'kompesasi', 'maaf', 'telat', 'bayar', 'maaf', 'ditegur', '']</t>
  </si>
  <si>
    <t>['versi', 'cacad', 'nga', 'login', 'fix', '']</t>
  </si>
  <si>
    <t>['indihomo', 'parah', 'bayar', 'tanggal', 'langsung', 'gangguan', 'nunggak']</t>
  </si>
  <si>
    <t>['tolong', 'aplikasinya', 'diperbaiki', 'aplikasi', 'koneksi', 'masuk', 'aplikasi', 'pembayaran', 'rating', 'aplikasi', 'perusahaan', 'sungguh', 'menyedihkan', '']</t>
  </si>
  <si>
    <t>['bego', 'aplikasinya', 'bego', 'udah', 'masukin', 'kode', 'otp', 'berulang', 'kali', 'ttp', 'login', 'tolong', 'direspon', 'keluhannya']</t>
  </si>
  <si>
    <t>['susah', 'banget', 'masuknya', 'mohon', 'tingkatkan', 'gampang', 'akses', 'masuknya', 'lemot', 'gemes']</t>
  </si>
  <si>
    <t>['aplikasinya', 'down', 'kah', 'akses']</t>
  </si>
  <si>
    <t>['bayar', 'tagihan', 'lancar', 'internet', 'lancar', 'trouble', 'aduh', 'payah', 'ganti', 'swasta']</t>
  </si>
  <si>
    <t>['tagihan', 'pembayaran', 'internet', 'cepat', 'banget', 'kirim', 'email', 'pengaduan', 'layanan', 'aplikasi', 'susah', 'mohon', 'maaf', 'peningkatan', 'layanan', 'tolonglah', 'kendala', 'lampu', 'indikator', 'muncul', 'berwarna', 'merah', 'penanganan', 'lambat', 'teknisi', 'menelpon', 'kasih', 'kabar', 'kendala', 'dimana', 'perbaikin', 'nyaman']</t>
  </si>
  <si>
    <t>['benerin', 'kualitas', 'internetnya', 'customer', 'telat', 'bayar', 'sehari', 'didenda', 'kualitas', 'internetnya', 'error', 'gaada', 'kompensasi', 'indihome', 'parah']</t>
  </si>
  <si>
    <t>['upgrade', 'seamless', 'akses']</t>
  </si>
  <si>
    <t>['susah', 'login', 'min', 'nunggu', 'otp', 'kunjung', 'dtang']</t>
  </si>
  <si>
    <t>['lemot', 'puas']</t>
  </si>
  <si>
    <t>['aplikasinya', 'lambat', 'bermasaah', 'provider', 'dkt', 'rumah', 'pindah']</t>
  </si>
  <si>
    <t>['lemot', 'banget', 'serius', 'pelayanan', 'pelanggan']</t>
  </si>
  <si>
    <t>['nehhh', 'paket', 'plus', 'telpon', 'telpon', 'dipakeeee', 'slalu', 'selesaikan', 'tagihan', 'muluuu', 'udah', 'bayar', 'plus', 'pajak', 'plus', 'telpon', 'aplikasinya', 'dibuka', 'loading', 'muluuu', '']</t>
  </si>
  <si>
    <t>['tgl', 'bayar', 'tagihan', 'error', 'alfamart', 'gopay', 'gangguan', 'tolong', 'perbaiki', 'iya', 'kena', 'denda', 'besok', '']</t>
  </si>
  <si>
    <t>['susah', 'banget', 'mengakses', 'apk', 'indehome', 'tolong', 'perbaikilah', 'bintang', 'perkembangan']</t>
  </si>
  <si>
    <t>['buka', 'aplikasi', 'myindihome', 'susah', 'loading', 'melulu', 'pakai', 'aplikasi', 'indihome', 'gangguan', 'jaringan', 'bayar', 'bulanannya', 'diskon', 'tarif', 'normal', '']</t>
  </si>
  <si>
    <t>['perbarui', 'jelek', 'aplikasi', 'bayar', 'tagihan', 'engga', 'dwnld', 'apk']</t>
  </si>
  <si>
    <t>['aplikasi', 'taek']</t>
  </si>
  <si>
    <t>['', 'dusun', 'kwarasan', 'nogotirto', 'gamping', 'sleman', 'media', 'jaringan', 'indihome', 'lelet', 'lancar', '']</t>
  </si>
  <si>
    <t>['gausah', 'maaf', 'ganguan', 'alami', 'sibuk', 'maaf', 'pelanggan', 'mending', 'perbaiki', 'jaringan', '']</t>
  </si>
  <si>
    <t>['jaringannya', 'lemot', 'bangett', 'merugikan']</t>
  </si>
  <si>
    <t>['susah', 'aksesnya', 'komplain', 'gangguan', 'twitter', 'tanggapin', 'aplikasi', 'susah', 'buka', 'loading', 'giliran', 'tagihan', 'muncul', 'email', 'kitanya', 'komplain', 'direspon', '']</t>
  </si>
  <si>
    <t>['aplikasi', 'kebuka', 'mulu', 'udah', 'jaringan', 'wifi', 'indihome', 'deadline', 'pembayarannya', 'gimana', 'bayar', 'aplikasinya', 'kebuka', '']</t>
  </si>
  <si>
    <t>['aplikasi', 'pengaduan', 'payah', 'banget', 'telkom', 'ganti', 'provider']</t>
  </si>
  <si>
    <t>['membayar', 'tagihan', 'indihome', '']</t>
  </si>
  <si>
    <t>['beres', 'indihome', 'gangguan', 'dibutuhkan', 'bayar', 'jaringannya', 'eror', 'indihome', 'taunya', 'denda', 'keluhan', 'pelanggan']</t>
  </si>
  <si>
    <t>['aplikasi', 'oerbikan']</t>
  </si>
  <si>
    <t>['dear', 'indihome', 'game', 'memuat', 'trus', 'disuruh', 'log', 'out', 'ping', 'hijauuu', 'emosi', 'mengalami', 'serupaaa', 'cuman', 'wifi', 'lemot', 'dibawah', '']</t>
  </si>
  <si>
    <t>['bayar', 'alfa', 'tgl', 'tgl', 'masuk', 'kantor', 'indihome', 'terputus', 'kesini', 'tlp', 'alfa', '']</t>
  </si>
  <si>
    <t>['email', 'aplikasi', 'indihome', 'terdaftar', 'aplikasinya', 'kemarin', 'membuka', 'aplikasi', 'email', 'terteta']</t>
  </si>
  <si>
    <t>['woi', 'wifi', 'ngelaaag']</t>
  </si>
  <si>
    <t>['lelet', 'awas', 'lho', 'saingan', 'bumn', 'sebelah', 'bendera', 'takut', 'pelanggan', 'pindah', 'tingkat', 'pelayanan', 'doong', 'tingkat', 'harga', 'doang', '']</t>
  </si>
  <si>
    <t>['busuuukkk', 'bayar', 'koneksi', 'nambah', 'iya', 'habis', 'sungguh', 'truweluuu', 'dirimuu']</t>
  </si>
  <si>
    <t>['layanan', 'busuk', 'bayar', 'susah', 'besok', 'udh', 'jatuh', 'tempo', 'tgl', 'bayar', 'gangguan']</t>
  </si>
  <si>
    <t>['bug']</t>
  </si>
  <si>
    <t>['tampilan', 'myindihome', 'beda', 'udah', 'lelet', 'sulit', 'indihome', 'terbaru', 'susah', 'lelet', 'belajar', 'aplikasi', 'terbaru', 'lelet']</t>
  </si>
  <si>
    <t>['parah', 'devloper', 'gangguan', 'aplikasi']</t>
  </si>
  <si>
    <t>['ngatasin', 'perbaikan', 'kemarin', 'wifi', 'karna', 'kerja', 'dirumah', 'sekolah', 'anak', 'salahin']</t>
  </si>
  <si>
    <t>['aplikasinya', 'telalu', 'jelek', 'sekelas', 'perusahaan', 'seperi', 'telkom', '']</t>
  </si>
  <si>
    <t>['tolong', 'diperbaiki', 'putus', 'wifi', 'bayar', 'tagihan', 'tolong']</t>
  </si>
  <si>
    <t>['indihome', 'telkomsel', 'kacau', 'harapkan', 'bayar', 'paket', 'telkomsel', 'pakai']</t>
  </si>
  <si>
    <t>['kecepatan', 'internet', 'indihome', 'request', 'upgrade', 'bayar', 'kaget', 'bayar', 'isolir', 'isolir']</t>
  </si>
  <si>
    <t>['provider', 'jelek', '']</t>
  </si>
  <si>
    <t>['sampahh', 'ngirim', 'kode', 'autentifikasi', 'ampun', 'masuk', '']</t>
  </si>
  <si>
    <t>['tolong', 'cpt', 'perbaiki', 'sya', 'byr', 'msh', 'lambat', 'jah', 'internetnya', '']</t>
  </si>
  <si>
    <t>['aplikasi', 'pengembangan', 'kode', 'otp', 'terkirim', 'nomor', 'dll', '']</t>
  </si>
  <si>
    <t>['tambh', 'bayar', 'mahal', 'sesuai', 'expetasi', 'konpesasi', 'permasalhan']</t>
  </si>
  <si>
    <t>['', 'login', 'parah']</t>
  </si>
  <si>
    <t>['please', 'indihome', 'maen', 'game', 'dota', 'csgo', 'etc', 'terganggu', 'ping', 'stabil', 'mohon', 'perbaikanya', 'terima', 'kasih']</t>
  </si>
  <si>
    <t>['dancuk', 'susah', 'banget', 'loginnya']</t>
  </si>
  <si>
    <t>['login', 'emain', 'trus', 'disuruh', 'nunggu', 'sms', 'verivikasi', 'ditunggu', 'menit', 'sms', 'masuk']</t>
  </si>
  <si>
    <t>['wifi', 'gaada', 'koneksi', 'internet', 'merugikan', 'orang', 'respon', 'kalou', 'nagih', 'notifikasi', 'coba', 'perbaiki', 'respon', 'customernya', 'ngerugiin', 'orang']</t>
  </si>
  <si>
    <t>['mohon', 'difix', 'aplikasinya', 'susah', 'login', 'myindihome', 'kode', 'verifikasi', 'dikirim', 'kirim']</t>
  </si>
  <si>
    <t>['susah', 'log', 'perivikasi', 'masuk', '']</t>
  </si>
  <si>
    <t>['lemot', 'kadang', 'dibenerin', 'berhari', 'teknisi', 'diperbaiki', 'itupun', 'laporan', 'dulj', 'modal', 'pulsa', 'giliran', 'bayar', 'telat', 'langsung', 'denda', 'diputus', 'konpensasinya', 'indihome', '']</t>
  </si>
  <si>
    <t>['mengakses', 'aplikasi', 'myindihome']</t>
  </si>
  <si>
    <t>['penanganan', 'keluhan', 'daripagi', 'respon', 'teknisi', 'siang', 'normal', 'jam', 'malam', '']</t>
  </si>
  <si>
    <t>['dibawah', 'aplikasi', 'buruk', '']</t>
  </si>
  <si>
    <t>['susah', 'koneksi']</t>
  </si>
  <si>
    <t>['log', 'gmn', 'otp', 'kiri', 'aneh']</t>
  </si>
  <si>
    <t>['bener', 'indihome', 'telkomsel', 'jaman', 'batu', 'operator', 'cepatlah', 'masuk', 'daerahku', 'ganti', 'provider']</t>
  </si>
  <si>
    <t>['masuk', 'aplikasi', 'susah', 'banget', 'kirim', 'verifikasi', 'muncul', '']</t>
  </si>
  <si>
    <t>['pripun', 'niki', 'indihom', 'tgl', 'lemot', 'bingit', 'pdal', 'pajeg', 'ngak', 'telat', 'tgl', 'bayar', '']</t>
  </si>
  <si>
    <t>['aplikasi', 'useless', 'login', 'udah', 'masukin', 'nomor', 'email', 'sms', 'masuk', 'otp', '']</t>
  </si>
  <si>
    <t>['minggu', 'pengajuan', 'perangkat', 'wifi', 'pasang', 'kirain', 'udah', 'langsung', 'internetan', 'nunggu', 'telfon', 'konfirmasi', 'pembayaran', 'parahnya', 'gantung', 'kejelasan', 'udh', 'coba', 'complain', 'tetep', 'telfon', 'ber']</t>
  </si>
  <si>
    <t>['aplikasih', 'jalankan', 'kecewa', '']</t>
  </si>
  <si>
    <t>['pembayaran', 'indihome', 'terganggu', 'gabisa', 'bayar', '']</t>
  </si>
  <si>
    <t>['sulit', 'akses']</t>
  </si>
  <si>
    <t>['wifi', 'lambat', '']</t>
  </si>
  <si>
    <t>['karna', 'ganti', 'dowload', 'ulang', 'myindihome', 'buka', 'login', 'nunggu', 'kode', 'verifikasi', 'kesal', 'nich', 'aplikasi', '']</t>
  </si>
  <si>
    <t>['login', 'kode', 'otp', 'otpnya', 'dikirim', 'pdhl', 'bener', 'aktif', 'gimana', 'pelayanan', 'kog', 'gini', 'pindah', 'males', 'emg', 'berubah', 'indihome']</t>
  </si>
  <si>
    <t>['lemotttt']</t>
  </si>
  <si>
    <t>['bagus', 'banget', '']</t>
  </si>
  <si>
    <t>['ngumpulin', 'poin', 'indihome', 'dituker', 'reward', 'pengen', 'nuker', 'voucher', 'gagal', 'melulu', 'poinnya', 'mencukupi', 'errornya', 'melebihi', 'batas', 'maksimum', 'penukaran', 'tukar', 'kode', 'dibilang', 'errornya', 'gini', 'rusak', 'apilikasinya', 'mohon', 'developer', 'appnya', 'perbaiki', '']</t>
  </si>
  <si>
    <t>['sadarr', 'heyyy', 'sadarrr']</t>
  </si>
  <si>
    <t>['main', 'game', 'ngelaggggg', 'terussss']</t>
  </si>
  <si>
    <t>['stlh', 'gngguan', 'sjk', 'mlm', 'msh', 'dpkai', 'kode', 'error', 'kode', 'hubngi', 'layann', 'lwt', 'apk', 'dsuruh', 'nunggu', 'hedeeeh', 'turunin', 'bntngnya', '']</t>
  </si>
  <si>
    <t>['provider', 'bobrok']</t>
  </si>
  <si>
    <t>['udah', 'bayar', 'perbulan', 'hasilnya', 'ngeleg', 'untung', '']</t>
  </si>
  <si>
    <t>['indihome', 'gangguan', 'mengakses', 'susah', 'smga', 'diperbaiki', 'susah', 'gangguan', 'seprti']</t>
  </si>
  <si>
    <t>['download', 'install', '']</t>
  </si>
  <si>
    <t>['bayar', 'tagihan', 'gagal', 'udah', 'tgl', 'login', 'apk', 'nggak', 'bayar', 'tagihan', 'besok', 'udah', 'kena', 'denda', 'kesalahan', 'konsumen', 'nggak', 'memuaskan', 'error', 'gangguan', 'kompensasi', 'indihome', 'berat', '']</t>
  </si>
  <si>
    <t>['aplikasi', 'burik', 'gimana', 'login', 'kode', 'otp', 'masuk', '']</t>
  </si>
  <si>
    <t>['aplikasi', 'dibuka', 'diklik', 'trus', 'fungsinya', '']</t>
  </si>
  <si>
    <t>['mengecewakan', 'jaringannya']</t>
  </si>
  <si>
    <t>['masuk', 'aplikasi', 'tolong', 'dibenerin', 'indihome', 'akses', 'internet', 'rumah', 'bayar', 'jaringan', '']</t>
  </si>
  <si>
    <t>['macet', 'buka', 'aplikasinya', 'masuk', 'beranda', 'klik', 'menu', 'menu', 'suka', 'macet']</t>
  </si>
  <si>
    <t>['aplikasi', 'jelek', 'ganti', 'sandi', 'memblokir', 'pengguna', 'aplikasi', 'jalan', '']</t>
  </si>
  <si>
    <t>['mohon', 'maaf', 'pengaduan', 'layanan', 'sebentar', '']</t>
  </si>
  <si>
    <t>['applikasi', 'akses', 'tolong', 'perbaikilah']</t>
  </si>
  <si>
    <t>['permisi', 'aplikasi', 'registrasi', 'login', 'pakai', 'nomer', 'disuruh', 'masukan', 'nomer', 'verifikasi', 'dikirim', 'sms', 'nmer', 'ulang', 'ulang', 'sms', 'masuk']</t>
  </si>
  <si>
    <t>['aplikasi', 'bayar', 'mesti', 'pakr', 'saldo', 'kartu', 'kredit', 'gini', 'transfer', 'bank', 'menunya', 'parah']</t>
  </si>
  <si>
    <t>['laporan', 'sosmed', 'respon', 'buktikan', 'bumn']</t>
  </si>
  <si>
    <t>['mahal', 'mahal', 'bayar', 'kualitas', 'sinyal', 'jelek', 'banget', 'operatornya', 'bad', 'attuen', 'sumpah', 'nyesel', 'indihomo']</t>
  </si>
  <si>
    <t>['aplikasinya', 'lemot', 'login', 'susah', 'nunggu', 'kode', 'otp', 'ngga', 'ayo', 'perbaiki']</t>
  </si>
  <si>
    <t>['jaringan', 'lemot', 'aplikasi', 'error', 'tlg', 'ditingkatkan', 'layanannya', 'indihome', 'produk', 'bumn', '']</t>
  </si>
  <si>
    <t>['intinya', 'kwalitas', 'pelayanan', 'enak', 'giliran', 'telat', 'bayar', 'sehari', 'langsung', 'diputus', 'error', 'berhari', 'kompensasi', '']</t>
  </si>
  <si>
    <t>['akrivitas', 'ngelek', '']</t>
  </si>
  <si>
    <t>['aplikasi', 'buruk', 'sma', 'membantu', '']</t>
  </si>
  <si>
    <t>['loading', 'appnya', '']</t>
  </si>
  <si>
    <t>['laporan', 'keluhan', 'perbaikan', 'sistem', 'mulu', 'layanan', 'bumn', 'gini', 'direkturnya', 'becus', 'anak', 'buahnya', 'updown', 'speed', 'mati', 'pie', 'lurr', 'bayaran', 'spp', 'tetep', 'perbaikan', 'bener', 'teknisi', 'lapor', 'kantor', 'kantor', 'hub', 'kaya', 'ngemis', 'pelanggan', '']</t>
  </si>
  <si>
    <t>['aplikasimu', 'kek', 'jaringan', 'internetmu', 'stress', 'kerjaan', 'kelar', 'kelar']</t>
  </si>
  <si>
    <t>['lemott', 'bgttt', 'aduuh', 'worth', '']</t>
  </si>
  <si>
    <t>['aplikasih', 'skarang', 'lemot', 'parah', 'ringan', '']</t>
  </si>
  <si>
    <t>['aplikasi', 'lemot', 'loading', 'masuk', '']</t>
  </si>
  <si>
    <t>['sampe', 'ketiduran', 'nungguin', 'otp', 'kunjung', '']</t>
  </si>
  <si>
    <t>['woy', 'indihome', 'gua', 'main', 'game', 'ngelek', 'ngelek']</t>
  </si>
  <si>
    <t>['habis', 'ganti', 'download', 'ulang', 'apknya', 'login', 'emailnya', 'mohon', 'solusinya', 'bintangnya', 'login', 'bintang']</t>
  </si>
  <si>
    <t>['masuk', 'menu', 'munculnya', 'loading', 'kemunkinan', 'aplikasinya', 'gangguan', 'koneksi', 'inet', 'buluk', '']</t>
  </si>
  <si>
    <t>['error']</t>
  </si>
  <si>
    <t>['bayar', 'full', 'jaringan', 'internet', 'busuk', 'youtube', 'ngangkat', 'whatsapp', 'ngejam', 'indihome', 'meresahkan', 'bayar', 'ful', 'internet', 'down', 'udan', 'seminggu', 'wifi', 'emosi', 'internet', 'lemot', 'akses', 'cepat', 'pasang', 'indihome', 'mending', 'pasang', 'nyesel', 'ntar', 'internetnya', 'busuk']</t>
  </si>
  <si>
    <t>['apk', 'aneh', 'masuk', 'terdaftar']</t>
  </si>
  <si>
    <t>['mengganti', 'nomer', 'handphone', 'kendala', 'verifikasi', 'akun', 'terkendala', 'nomer', 'aktif', 'terima', 'kasih', '']</t>
  </si>
  <si>
    <t>['internet', 'down', 'mohon', 'maklumi', 'gangguan', 'divtindak', 'lanjuti', 'kompensasi', 'giliran', 'telat', 'bayar', 'sehari', 'putus', 'saluran', '']</t>
  </si>
  <si>
    <t>['hapus', 'aplikasi', 'dibuka', 'lemot', 'parah', 'tgl', 'september', 'lapor', 'pengaduan', 'aplikasi', 'aplikasi', 'dibuka', 'call', 'center', 'sibuk', 'trus']</t>
  </si>
  <si>
    <t>['tagihan', 'stabil', 'banget', 'layanan', 'internetnya', 'menurun', 'mantap', 'tingkatkan', '']</t>
  </si>
  <si>
    <t>['lambat', 'dlm', 'pemasangan', 'cek', 'aplikasi', 'skrg', 'blom', 'pasang', 'konfirmasi', 'pelanggan', 'konfirmasi', 'call', 'center', 'tindak', '']</t>
  </si>
  <si>
    <t>['tolong', 'perbaikin', 'jaringan', 'nyaa', 'sebulan', 'kali', 'internet']</t>
  </si>
  <si>
    <t>['inovatif', 'detail', 'cuman', 'kadang', 'lambat', 'proses']</t>
  </si>
  <si>
    <t>['disuruh', 'upgrade', 'bayar', 'mahal', 'tpi', 'tetep', 'lemot', '']</t>
  </si>
  <si>
    <t>['jaringan', 'buruk', 'respon', '']</t>
  </si>
  <si>
    <t>['aplikasi', 'mudah', 'pembayaran', 'memilih', 'paket']</t>
  </si>
  <si>
    <t>['layanan', 'bantuan', 'aplikasi', 'berguna', 'solusi', 'cuman', 'restart', 'modem', 'helo', 'layanan', 'burik', 'semudah', 'sekedar', 'restart', 'modem', 'internet', 'berfungsi', 'pengguna', 'indihome', 'semenjak', 'jaman', 'speedy', 'provider', 'masuk', 'telkom', 'segan', 'uth', 'pindah']</t>
  </si>
  <si>
    <t>['susah', 'membuka', 'aplikasi', 'loding', '']</t>
  </si>
  <si>
    <t>['error', 'mulu']</t>
  </si>
  <si>
    <t>['aplikasi', 'lelet', 'jaringan', 'full', 'sambungin', 'wifi', 'lemoot', 'lemoot', '']</t>
  </si>
  <si>
    <t>['susah', 'buka', 'aplikasi', 'error', '']</t>
  </si>
  <si>
    <t>['tolong', 'benerin', 'jaringannya', 'wilayah', 'jati', 'pulo', 'jakarta', 'barat', 'jngn', 'pembayaran', 'gede', 'internet', 'lemot', 'buka', 'youtube', 'susah', 'doang', 'murah', 'pembayaran', 'internet', 'lemot', 'tolong', 'benerin']</t>
  </si>
  <si>
    <t>['gara', 'gara', 'gangguan', 'kemarin', 'fix', 'mantap', 'pindah', 'provider', 'good', 'bye', 'indihome']</t>
  </si>
  <si>
    <t>['sinyalnya', 'buruk', 'banget', 'dipake', 'tolong', 'cepat', 'diperbaiki']</t>
  </si>
  <si>
    <t>['mahal', 'doang', 'kualitas', 'jelek', 'jaringan', 'truble', 'mulu', 'pdhl', 'bayar', 'lancar']</t>
  </si>
  <si>
    <t>['aplikasi', 'trouble', 'perhatikan', 'atasanya', 'peduli', 'produknya', 'aplikasi', 'tersambung', 'internet', 'astaga', 'eror', 'wifi', 'mobilw', 'data']</t>
  </si>
  <si>
    <t>['aplikasi', 'sekelas', 'bumn', 'kayak', 'gini', 'dibuka', 'loading', 'respon', 'internet', 'cepat', '']</t>
  </si>
  <si>
    <t>['disamping', 'pemalsuan', 'tandatangan', 'pelanggan', 'jaringan', 'lemah', 'down', 'diberitahukan', 'pemeliharaan', '']</t>
  </si>
  <si>
    <t>['min', 'pasang', 'wifi', 'indihome', 'daerah', 'bermasalah', 'kendala', 'mohon', 'bantuannya', 'karna', 'kerjaan', 'keluarga', 'zoom', '']</t>
  </si>
  <si>
    <t>['kadang', 'aneh', 'indihome', 'pakai', 'apk', 'layanan', 'aduan', 'sinyal', 'lemot', 'gimana', 'laporan', 'pakek', 'pulsa', 'nelponnya', 'semenit', 'ribu', 'udah', 'habis', 'pulsa']</t>
  </si>
  <si>
    <t>['sang', 'penguasa', 'indihome', 'habis', 'bayar', 'nich', 'koq', 'lemot', 'banget', 'sinyal', 'turun', 'klau', 'telat', 'diputus', 'omelin', 'ndk', 'konsisten', 'mengecewakan', 'woiiii', '']</t>
  </si>
  <si>
    <t>['parah', 'bener', 'kali', 'bayar', 'wifi', 'pakai', 'mitra', 'shopee', 'tulisannya', 'msh', 'proses', 'ndak', 'kayak', 'wifi', 'udah', 'lemot']</t>
  </si>
  <si>
    <t>['lag', 'bet']</t>
  </si>
  <si>
    <t>['jaringannya', 'lambat', 'saking', 'diadukan', 'aplikasi', 'indihome', 'tunggu', 'menit', 'laporannya', 'terkirim', 'kiriman', 'tugas', 'kantor', 'terbengkalai', 'tugas', 'kuliah', 'adik', 'terbengkalai']</t>
  </si>
  <si>
    <t>['mohon', 'diperbaiki', 'koneksinya', 'kota', 'kemaren', 'pembelajaran', 'online', 'sulit', 'ujian', 'koneksi', 'buruk', 'mohon', 'diperbaiki', 'secepatnya', 'terimakasih']</t>
  </si>
  <si>
    <t>['tanggal', 'september', 'internet', 'lelet', 'parah', 'wifi', 'cepet', 'kek', 'gini', 'lihat', 'bos', 'bintang', 'pelayananmu', 'memuaskan', '']</t>
  </si>
  <si>
    <t>['pasang', 'udh', 'rusak', 'mna', 'perbaikan', 'dperbaiki', 'gangguan', 'dri', '']</t>
  </si>
  <si>
    <t>['login', 'aplikasinya', 'susah', '']</t>
  </si>
  <si>
    <t>['teknisi', 'lambat', 'berhari', 'perbaikan', 'ngk', 'pengaduan', 'kayak', 'ngomong', 'radio', 'rusak', '']</t>
  </si>
  <si>
    <t>['tolong', 'perbaiki', 'aplikasi', 'log', 'normal']</t>
  </si>
  <si>
    <t>['indihome', 'payah', 'gangguan', 'sia', 'sia', 'bayar', 'gangguan', 'mulu', 'emang', '']</t>
  </si>
  <si>
    <t>['telkom', 'indihome', 'lelet', 'jaringannya', 'wifi', 'bayar', 'murah', 'hmmm', 'akses', 'youtube', 'gabisa']</t>
  </si>
  <si>
    <t>['jaringan', 'lemot']</t>
  </si>
  <si>
    <t>['ngelag', '']</t>
  </si>
  <si>
    <t>['minggu', 'lampu', 'modem', 'warna', 'merah', 'coba', 'matikan', 'power', 'tetep', 'merah', 'los', 'perbaikan', 'hadeeuuuuhhh']</t>
  </si>
  <si>
    <t>['app', 'sampah', 'banget', 'login', 'terima', 'otp', 'mencoba', 'silahkan', 'coba', 'jam', 'hadeuh', '']</t>
  </si>
  <si>
    <t>['tolong', 'dipermudahkan', 'melapor', 'gangguannya', 'indihome', 'banget', 'gangguan', 'lapor', 'ribet', 'conect', 'wifi', 'indihome', 'dlu', 'lapor', 'keaplikasinya', 'tpi', 'internetnya', 'gangguan', 'gmn', 'lapor', 'sinyal', 'online', 'aplikasi', 'indihomenya', 'lapor', 'telpon', 'menghabiskan', 'pulsa', '']</t>
  </si>
  <si>
    <t>['indi', 'home', 'telkomsel', 'lemot', 'seru', 'main', 'game', 'buka', 'chrome', 'nyusahin', 'orang', 'belajar', 'sekolah', 'oneline']</t>
  </si>
  <si>
    <t>['indihome', 'lemot', 'banget', 'bayar', 'telat', 'jaringan', 'menyebalkan', 'pakai', 'paketan', 'data', 'nie', '']</t>
  </si>
  <si>
    <t>['bayar', 'indihome', 'knapa', 'jtuh', 'tempo']</t>
  </si>
  <si>
    <t>['woi', 'mahal', 'doang', 'kau', 'tagihan', 'pelayanan', 'jelek', 'turunin', 'harga', 'paketan', 'sesuaikan', 'fasilitas', 'layanan', 'keputus', 'jaringan', 'seharian', 'ngotak', 'kau']</t>
  </si>
  <si>
    <t>['parahh', 'bayar', 'tagihan', 'terdebet', 'telpon', 'gagal', 'parahhhhh', '']</t>
  </si>
  <si>
    <t>['aplikasi', 'sampah', 'login', 'gagal', 'kondisi', 'internet', 'normal', 'lancar', '']</t>
  </si>
  <si>
    <t>['web', 'lemot', 'apk', 'lemott', 'gimana', '']</t>
  </si>
  <si>
    <t>['udah', 'mahal', 'lelet', 'bukak', 'story', 'gabisa']</t>
  </si>
  <si>
    <t>['jaringan', 'lansia', 'umur', 'dipaksa', 'lari', 'kalok', 'kantor', 'telkom', 'komplen', 'penanganan', 'perbedaan', 'siknifikan', 'anying', 'bener']</t>
  </si>
  <si>
    <t>['makan', 'uang', 'haram', 'kewajiban', 'udah', 'dipenuhi', 'hak', 'pelanggan', 'diabaikan', '']</t>
  </si>
  <si>
    <t>['aplikasi', 'lambat', 'loading', 'dibuka', 'menit']</t>
  </si>
  <si>
    <t>['min', 'login', 'email', 'password', 'dimasukkan', 'sesuai', 'udah', 'dicoba', 'lupa', 'password', 'berhasil', 'ganti', 'password', 'dimasukkan', 'pass', 'gagal', 'login', 'kesempatan', 'login', 'kesempatan', 'kali', 'haduh', '']</t>
  </si>
  <si>
    <t>['tolong', 'bayat', 'tagihan', 'indihome', 'susah', 'giliran', 'berenti', 'suruh', 'bayar', 'denda', 'respon', 'lambat']</t>
  </si>
  <si>
    <t>['lemot', '']</t>
  </si>
  <si>
    <t>['jaringan', 'lambat', 'bayar', 'terlambat', 'payah', 'rekomen']</t>
  </si>
  <si>
    <t>['versinya', 'detail', 'sayang', 'nomor', 'terdaftar', 'nomor', 'indihome', 'daftar', 'nomor', 'konsumen', 'berlangganan', 'nomor', 'indihome', '']</t>
  </si>
  <si>
    <t>['perbaikan', 'akses', 'buruk', 'sandi', 'salah', 'sandinya', 'dimasukin', 'bena', 'terdaftar', 'mengakses', 'lihat', 'kuota']</t>
  </si>
  <si>
    <t>['official', '']</t>
  </si>
  <si>
    <t>['', 'wifi', 'habis', 'bayar', 'lemot', '']</t>
  </si>
  <si>
    <t>['app', 'ngelag', 'jaringan', 'ngelag', '']</t>
  </si>
  <si>
    <t>['stiap', 'jatuh', 'tempo', 'tgl', 'kualitas', 'signal', 'turunin', 'hadeuh', 'takut', 'bayar', '']</t>
  </si>
  <si>
    <t>['indihome', 'jls']</t>
  </si>
  <si>
    <t>['sinyal', 'kenceng', 'bangettt', 'mantap', 'suka', 'indihome', 'indihome', 'favorit', 'juara', 'lanjutkan', 'kerja', '']</t>
  </si>
  <si>
    <t>['minggu', 'bermasalah', 'jaringan', 'internet', '']</t>
  </si>
  <si>
    <t>['jaringan', 'terkntl', 'lag', 'bngt', 'bngt', 'gangguan', 'asw', 'udh', 'mahal', 'jaringan', 'kek', 'kntl']</t>
  </si>
  <si>
    <t>['aplikasi', 'myindihome', 'sangay', 'detail', 'cek', 'tagihan', 'lengkap', 'rincihan', 'tagihannya', 'lengkap', 'ttoooppp']</t>
  </si>
  <si>
    <t>['', 'tuhan', 'login', 'masuk', 'akun', 'susah', 'kendala', 'internet', 'gagal', 'akses', 'browsing', 'otak', 'atik', 'apapun', 'komplain', 'hrs', 'pengajuan', 'maunya', 'disuruh', 'nambah', 'kapasitas', 'gitu', 'lancar', 'internet', '']</t>
  </si>
  <si>
    <t>['dikit', 'dikit', 'gangguan', 'keluhan', 'direspon', '']</t>
  </si>
  <si>
    <t>['bsa', 'login', 'aplikasinya', 'eror']</t>
  </si>
  <si>
    <t>['nyaman']</t>
  </si>
  <si>
    <t>['aplikasi', 'sampah', 'liat', 'status', 'pemakaian', 'speed', 'internet', 'loading', 'gagal', 'udh', 'coba', 'make', 'wifi', 'data', 'selulerpun', 'belajar', 'rada', 'modal', 'aplikasi', 'indihome', 'udh', 'mahal', '']</t>
  </si>
  <si>
    <t>['daftar', 'login', '']</t>
  </si>
  <si>
    <t>['tlng', 'pembayar', 'error', 'bayar', 'susah', 'indomaret', 'tlng', 'emang', 'jarak', 'pembayaran', 'tgl', 'susah']</t>
  </si>
  <si>
    <t>['penyedia', 'internet', 'aplikasi', 'webnya', 'lemot', '']</t>
  </si>
  <si>
    <t>['woy', 'indihome', 'respon', 'wifi', 'lag', 'parah', 'benerin', 'bayar', 'mahal', 'mahal', 'sesuai', 'kasih', 'niat', '']</t>
  </si>
  <si>
    <t>['aplikasi', 'dibuka', 'loading', 'trus']</t>
  </si>
  <si>
    <t>['jelek', 'bayar', 'mahal', 'jaringan', 'wifi', 'nyala', 'ngelos', 'aktif', 'jaringan', 'gitu', 'berulang', '']</t>
  </si>
  <si>
    <t>['regester', 'eror', 'mlu', 'gmna', 'komplain', 'sinyal', '']</t>
  </si>
  <si>
    <t>['lemot', 'aplikasinya', 'loading', 'coba', 'dibuka', 'pakai', 'wifi', 'kecepatan', 'mbps', 'loading', 'versi', 'terbaru', '']</t>
  </si>
  <si>
    <t>['mending', 'tutup', 'indihome', 'jaringan', 'bermasalah', 'mending', 'beralih', 'bizz', 'net', 'jaringan', 'indihome', 'udah', 'kepercaya', 'mending', 'tutup']</t>
  </si>
  <si>
    <t>['tolong', 'donk', 'perbaikan', 'sinyal', 'lemot']</t>
  </si>
  <si>
    <t>['jaringanya', 'lemot', 'buka', 'apk', 'susah', 'pembayaran', 'rutin', 'payah', 'nie', 'gini', 'mending', 'ganti', '']</t>
  </si>
  <si>
    <t>['aplikasi', 'berat', 'bukanya', 'muter', 'muter', 'layanan', 'indihome', 'lelet', 'bar', 'penuh', 'layanan', 'internet', 'aneh']</t>
  </si>
  <si>
    <t>['hallo', 'indihome', 'bayar', 'tagihan', 'iya', 'indihome', 'gangguan', 'internet', 'dpt', 'terimakasih']</t>
  </si>
  <si>
    <t>['aplikasi', 'buruk', 'sekelas', 'telkom', 'aplikasi', 'kayak', 'gini', 'log', 'susah', 'banget', 'komplain', 'layanan', 'indihome', 'lemot', 'ampun', 'speed', 'mbps', 'streaming', 'buffering', 'hadeh', 'kepingin', 'ganti', 'provider']</t>
  </si>
  <si>
    <t>['udah', 'langganan', 'uang', 'deposit', 'pembayaran', 'dikembalikan', 'bayar', 'wifi', 'ttep', 'bayar', 'udh', 'gitu', 'malam', 'wifi', 'lemot', 'bayr', 'udh', 'malam', 'uang', 'deposit', 'gajelas', 'dipake', 'sesuai', 'perjanjian', 'diawal', 'pemasangan', 'gimna']</t>
  </si>
  <si>
    <t>['gajelas', 'login', 'gabisa']</t>
  </si>
  <si>
    <t>['jaringan', 'terburuk', 'hrs', 'dikomplain']</t>
  </si>
  <si>
    <t>['parah', 'udah', 'bayar', 'jaringan', 'burik', 'lemot', 'banget', 'pakek']</t>
  </si>
  <si>
    <t>['mksdnya', 'gimana', 'login', 'gabisa']</t>
  </si>
  <si>
    <t>['sinyal', 'lag', 'sehabis', 'hujan', '']</t>
  </si>
  <si>
    <t>['gangguan', 'mulu', 'internet', 'kable', 'siang', 'sampe', 'mlm', 'lemot', 'hubungin', 'berkali', 'membantu', 'gagal', 'sampe', 'menit', 'makan', 'pls', 'ribuan', 'parahhhhh', 'kasih', 'terbaik', 'org', 'bayar', 'internet', 'gangguang', 'mulu']</t>
  </si>
  <si>
    <t>['gimna', 'yaa', 'login', 'akun', 'indihome', 'pdhal', 'bayar']</t>
  </si>
  <si>
    <t>['layanan', 'payah', 'seringkali', 'trobel', 'nikmati', 'layanan', 'internet', 'nelpon', 'berkali', 'habis', 'pulsa', 'banyakk', 'ngangkat', 'hallo', 'orang', 'call', 'center', 'ngangkat', 'kemarin', 'dapet', 'tawaran', 'dinaikan', 'mbos', 'berhenttin', 'nelpon', 'susahnya', 'mati', 'tagihan', 'njebluk', 'sistem', 'mantap', 'ayo', 'perbaiki', 'layanan', 'pelanggan', 'byar', 'perbaiki']</t>
  </si>
  <si>
    <t>['aplikasi', 'lelet', 'rumit', 'gagal', 'masuk', 'lapor', 'gangguan']</t>
  </si>
  <si>
    <t>['tolong', 'jaringan', 'benerin', 'jelek', 'jaringan', 'jelek', 'bayar', 'pengurangan']</t>
  </si>
  <si>
    <t>['apk', 'fitur', 'mudah', 'penggunaannya']</t>
  </si>
  <si>
    <t>['log', 'kak', 'nomer', 'terdaftar', 'log', 'error']</t>
  </si>
  <si>
    <t>['cek', 'pemakaian', 'keluarnya', 'parah']</t>
  </si>
  <si>
    <t>['buruk', 'sekaliii']</t>
  </si>
  <si>
    <t>['jaringan', 'busuk', 'udah', 'kapok', 'pakai', 'indihome', 'udah', 'lelet', 'mahal', 'pelayanan', 'profesional']</t>
  </si>
  <si>
    <t>['aplikasi', 'guoblookk', 'eror']</t>
  </si>
  <si>
    <t>['update', 'homepagenya', 'lemot', 'fitur', 'hilang', 'renew', 'speed', '']</t>
  </si>
  <si>
    <t>['serius', 'gue', 'nanya', 'aplikasi', 'buka', 'gambarnya', 'hapus', 'data', 'login', 'komplain', 'respon', 'indihome', 'bumn', 'kalah', 'swasta', 'pantesan', 'ratingnya', 'buruk']</t>
  </si>
  <si>
    <t>['ngelek', 'ngelek', 'jaringan', '']</t>
  </si>
  <si>
    <t>['aplikasinya', 'bagus', 'mencari', 'paket', 'mudah']</t>
  </si>
  <si>
    <t>['koneksi', 'putus', 'putus', 'login', 'aplikasih', 'gagal']</t>
  </si>
  <si>
    <t>['keluh', 'kesahku', 'user', 'indohome', 'pengin', 'masukan', 'wifi', 'indihome', 'fup', 'peringatan', 'main', 'ngelemotin', 'wifinya', 'gabisa', 'ngumpulin', 'tugas', 'sekolah', 'lihat', 'tugaspun', 'gabisa', '']</t>
  </si>
  <si>
    <t>['indihome', 'gua', 'lelet', 'lemot', 'area', 'madura', 'pelanggan', 'kecewa', 'pokoknya']</t>
  </si>
  <si>
    <t>['gangguan', 'mbayar', 'gangguan', 'masuk', 'aplikasi', 'susah', 'bener', 'sinyal', 'kenceng', 'duh', 'provider', 'bubar', 'napa']</t>
  </si>
  <si>
    <t>['indihome', 'parah', 'lag', 'jaringan', 'stabill', 'stak', 'merah', 'main', 'game', 'nonton', 'youtube', 'jaringan', 'kuning', 'suka', 'turun', 'kadang', 'hilang', 'total', 'stabil', 'wifi', 'merk', 'indihome', 'berkualitas', 'cari', 'kuantitas', 'customer', 'sytem', 'wifi', 'jaringan', 'lambat', 'stabil']</t>
  </si>
  <si>
    <t>['aplikasi', 'bgd', 'buka', 'loading', 'trs']</t>
  </si>
  <si>
    <t>['kesel', 'banget', 'jaringan', 'tersambung', 'lelet', 'banget', 'ngadu', 'kepelayanan', 'call', 'center', 'putusin', 'gini', 'pelayanan', 'tolong', 'pelanggan', 'udah', 'setahun', 'berlangganan', '']</t>
  </si>
  <si>
    <t>['tolong', 'lihat', 'sisa', 'kuota', 'wifi', 'berasa', 'liat', 'drakor', 'banget', 'loadingnya', 'udah', 'jam', 'koneksi', 'data', 'lancar', 'jaya', 'kayak', 'jalan', 'tol', 'korea', 'tolong', 'diperbaiki', 'terima', 'kasih']</t>
  </si>
  <si>
    <t>['konsisten', '']</t>
  </si>
  <si>
    <t>['tingkatkan']</t>
  </si>
  <si>
    <t>['beli', 'paket', 'mbps', 'test', 'speed', 'mbps', 'ngelag', 'emang', 'indihome']</t>
  </si>
  <si>
    <t>['stelah', 'update', 'koq', 'login', '']</t>
  </si>
  <si>
    <t>['udah', 'pasang', 'indihome', 'keperluan', 'anak', 'belajar', 'daring', 'dirumah', 'anak', 'puas', 'kecepatan', 'jaringan', 'internet']</t>
  </si>
  <si>
    <t>['indihome', 'mahal', 'doang', 'sinyal', 'payah']</t>
  </si>
  <si>
    <t>['interet', 'cepet', 'mah', 'gangguan', 'mulu', '']</t>
  </si>
  <si>
    <t>['susah', 'installnya']</t>
  </si>
  <si>
    <t>['aplikasi', 'diakses', 'setalah', 'instal', 'ulang', 'login', 'payah', 'trus', 'wifi', 'lemot', 'penggunaan', 'sampek', 'unit', 'lemot', 'mati', 'promo', 'paket', 'murah', 'pasang', 'pelanggan', 'dipikirkan', 'berhenti', 'langganan', 'kena', 'denda', 'menyesal', 'pasang', 'indihome']</t>
  </si>
  <si>
    <t>['layanannya', 'jelek']</t>
  </si>
  <si>
    <t>['lemooottt', 'langganan', 'mbps', 'tinggal', 'mbps', 'capek', 'dech']</t>
  </si>
  <si>
    <t>['dibayar', 'ngelag', 'kocak', 'berubah']</t>
  </si>
  <si>
    <t>['daftar', 'doang', 'mati', 'susahnya', 'perusahaan', 'sekelas', 'indihome', 'udh', 'kayak', 'aplikasi', 'buatan', 'desa']</t>
  </si>
  <si>
    <t>['aplikasinya', 'log', 'out', 'login', 'email', 'nomor', 'sesuai', 'koneksi', 'lambat', '']</t>
  </si>
  <si>
    <t>['indihome', 'harga', 'bersahabat', 'bersyukur', 'kebagian', 'pasang', 'didaerah', 'rumah', '']</t>
  </si>
  <si>
    <t>['lancar', 'muter', 'aplikasinya', 'laporan', 'pengaduan']</t>
  </si>
  <si>
    <t>['tampilan', 'lbh', 'membantu', 'thx', '']</t>
  </si>
  <si>
    <t>['download']</t>
  </si>
  <si>
    <t>['indihome', 'lemoooootttt', 'giliran', 'dkomplain', 'lempar']</t>
  </si>
  <si>
    <t>['lemot', 'teroosss']</t>
  </si>
  <si>
    <t>['serba', 'lemottt', 'gangguan', 'terussss', 'upload', 'download', 'balance', 'mending', 'merk', 'sebelah', 'murah', 'balance']</t>
  </si>
  <si>
    <t>['really', 'bad']</t>
  </si>
  <si>
    <t>['aplikasi', 'ngelag', 'lambat', 'klik', 'menu', 'loadinng']</t>
  </si>
  <si>
    <t>['login', 'akun', '']</t>
  </si>
  <si>
    <t>['gagal', 'login', 'udah', 'coba', 'nggak']</t>
  </si>
  <si>
    <t>['pelayanan', 'jelekk', 'wifi', 'wms', 'masuk', 'laporan', 'tlfn', 'ditrlkom', 'menangani', 'satupun', 'petugas', 'teknisi', 'berkali', 'kali', 'laporan', 'disepelekan', 'ndak', 'bayar', 'padahl', 'perbulan', 'bayar', 'wifi', 'lemot', 'ndak', 'bertanggung', 'pusat', 'selvernya']</t>
  </si>
  <si>
    <t>['mantaaap', '']</t>
  </si>
  <si>
    <t>['tampilan', 'bagus', 'kereen', '']</t>
  </si>
  <si>
    <t>['berlangganan', 'teman', 'kerabat', 'karna', 'berberhenti', 'susah', 'gangguan', 'usb', 'rekomendasikan', '']</t>
  </si>
  <si>
    <t>['mengirim', 'aduan', 'gangguan', 'sinyal', 'bermurah', 'hati', 'ksh', 'bintang', 'shrsnya', 'kaga', 'pnts', 'dpt', 'bintang', '']</t>
  </si>
  <si>
    <t>['jaringan', 'jelek']</t>
  </si>
  <si>
    <t>['aplikasi', 'lemot', 'loading', 'internet', 'lemot', 'mahal', 'pulak']</t>
  </si>
  <si>
    <t>['wifi', 'burik', 'haram']</t>
  </si>
  <si>
    <t>['jijik']</t>
  </si>
  <si>
    <t>['aplikasi', 'gagal', 'login']</t>
  </si>
  <si>
    <t>['', 'fps', 'ngelag', 'main', 'ngeleq', 'kek', 'otak', 'share', 'lock', 'anak', 'haram', 'mah', 'enak', 'duit', 'bayar', 'dikit', 'dikit', 'gangguan', 'kali', 'fps', 'rb', 'udh', 'fps', 'gitu', 'mah', 'fps', 'rb', 'cuih', 'terima', 'one', 'mati', 'tanam']</t>
  </si>
  <si>
    <t>['lemot', 'berat']</t>
  </si>
  <si>
    <t>['busuk']</t>
  </si>
  <si>
    <t>['internet', 'busuk', 'biaya', 'bulanan', 'mahal', 'aplikasi', 'molanya', 'gangguan', 'mulu', 'terpaksa', 'gue', 'make', 'internet']</t>
  </si>
  <si>
    <t>['jelek', 'banget', 'aplikasinya', 'lemot', 'parah', 'maintenance', 'males', 'banget', 'profesional', 'banget', '']</t>
  </si>
  <si>
    <t>['terburuk', 'disaat', 'jaringan', 'iternetnya', 'aplikasi', 'beroperasi', 'pengaduan', 'jaringan', 'seluler', 'kencang', 'pemakaian', 'internet', 'kemana', 'mengadukan', '']</t>
  </si>
  <si>
    <t>['habis', 'update', 'log', 'out', 'login', 'user', 'teesedia', 'kecepatan', 'mb', 'login', 'payah']</t>
  </si>
  <si>
    <t>['aplikasi', 'lelet', 'lengkap', 'batas', 'kuota']</t>
  </si>
  <si>
    <t>['benerin', 'aplikasi', '']</t>
  </si>
  <si>
    <t>['jaringan', 'pon', 'telp', 'mati', 'internet', 'mati', 'bayarnya', 'lancar', 'lucunya', 'aplikasi', 'akses', 'mobile', 'data', 'sampe', 'pelanggan', 'dikecewakan', '']</t>
  </si>
  <si>
    <t>['jaringan', 'jarang', 'setabil']</t>
  </si>
  <si>
    <t>['kecepatan', 'jaringan', 'siih', 'lancar', 'buka', 'aplikasinya']</t>
  </si>
  <si>
    <t>['cmn', 'blg', 'indihome', 'ngeleg', 'hduuh', '']</t>
  </si>
  <si>
    <t>['eror', 'dibuka']</t>
  </si>
  <si>
    <t>['lambat', 'aplikasinya']</t>
  </si>
  <si>
    <t>['', 'login', 'loading']</t>
  </si>
  <si>
    <t>['koneksi', 'lambat']</t>
  </si>
  <si>
    <t>['wifi', 'apps', 'nggak', 'bedanya', 'gangguan', 'nggak', 'ngirim', 'keluhan', 'nggak', 'cek', 'bayar', 'disuruh', 'cepet', 'giliran', 'gangguan', 'pelayanannya', 'lambat', 'bet', 'tolong', 'perbaiki', 'sinyal', 'appsnya']</t>
  </si>
  <si>
    <t>['aplikasi', 'sampah']</t>
  </si>
  <si>
    <t>['aplikasi', 'sampah', 'banget', 'login', 'telpon', 'jaringan', 'wifi', 'lemot', '']</t>
  </si>
  <si>
    <t>['download', 'instal', 'register', 'susah', 'banget', 'top', 'apk']</t>
  </si>
  <si>
    <t>['mohon', 'perbarui', 'aplikasinya', 'buka', '']</t>
  </si>
  <si>
    <t>['terkadang', 'sulit', 'login', 'krg', 'max', '']</t>
  </si>
  <si>
    <t>['indihome', 'gangguan']</t>
  </si>
  <si>
    <t>['pengaduan', 'merespon', 'telat', 'pembayaran', '']</t>
  </si>
  <si>
    <t>['plis', 'woi', 'indihome', 'akhirakhir', 'internet', 'lag', 'mulu', 'sumpah', 'males', 'pengen', 'ganti', 'wifi', 'indihome', 'biarin', 'gada', 'beli', 'indihome', 'skarang']</t>
  </si>
  <si>
    <t>['aplikasi', 'payah', 'dibuka', 'soak']</t>
  </si>
  <si>
    <t>['bayar', 'telat', 'giliran', 'komplin', 'konsumen', 'respons', 'lambat', '']</t>
  </si>
  <si>
    <t>['mantap', 'indihome', 'skrg', 'udh', 'fast', 'respon', 'berkat', 'update']</t>
  </si>
  <si>
    <t>['aplikasi', 'lemot', 'akses', 'aplikasi', 'web']</t>
  </si>
  <si>
    <t>['pekok', 'indihome', 'sebulan', 'pemakaian', 'laptop', 'lemot', 'emosi']</t>
  </si>
  <si>
    <t>['respon', 'cepat', 'orang', 'berbeda', 'fokus', 'customer']</t>
  </si>
  <si>
    <t>['sekelas', 'telkom', 'aplikasi', 'berat', 'installnya', 'kirain', 'gegara', 'internet', 'cek', 'oprator', '']</t>
  </si>
  <si>
    <t>['njiir', 'aplikasi', 'buka', 'data', 'trus', 'kompalin', 'gmn', '']</t>
  </si>
  <si>
    <t>['aplikasi', 'lemot', 'malas', 'makainya', 'keluhan', 'susah']</t>
  </si>
  <si>
    <t>['keren', 'bangetttt']</t>
  </si>
  <si>
    <t>['aplikasi', 'bosok', 'stiap', 'masuk', 'maaf', 'meningkatkan', 'pelayanan', '']</t>
  </si>
  <si>
    <t>['aplikasinya', 'lemot', 'make', 'koneksi', 'apapun', 'masuk', 'menu', 'bantuan', '']</t>
  </si>
  <si>
    <t>['bayar', 'ontime', 'jaringan', 'lemot', 'mbps', 'make', 'smart', 'jaringan', 'kadang', 'hilang', 'dipakai', 'suka', 'sukax', 'perbaiki', 'kejelekan', 'wifix']</t>
  </si>
  <si>
    <t>['loading', 'troos', 'sinyal', 'hilang', 'muncul']</t>
  </si>
  <si>
    <t>['aplikasi', 'loading', 'update', 'pengaduan', 'internet', 'mati', 'hujan', 'tolong', 'bantuannya', '']</t>
  </si>
  <si>
    <t>['aplikasi', 'sinyal', 'buka', 'web', 'buka', 'aplikasi', 'myindihome', 'lelet']</t>
  </si>
  <si>
    <t>['mantap', 'sihh', 'tukar', 'poin', 'gampang', 'bangett', '']</t>
  </si>
  <si>
    <t>['gabisa', 'login', 'mohon', 'tunggu']</t>
  </si>
  <si>
    <t>['susah', 'masuk', 'aplikasi', 'peningkatan', '']</t>
  </si>
  <si>
    <t>['nyaman', 'lemot', 'sesuai', '']</t>
  </si>
  <si>
    <t>['sambalaaa', 'jellena', 'jaringannu', 'toloo', 'kalah', 'truska', 'mainnnn', 'begee']</t>
  </si>
  <si>
    <t>['hallo', 'indonesia', 'myindihome', 'apk', 'milik', 'provider', 'indihome', 'layanan', 'terbaik', 'jaringan', 'luas', 'speed', 'kenceng', 'keluhan', 'keluhan', 'sigap', 'jam', 'nonstop', 'teknisi', 'sigap', 'kendala', 'tangani', 'teknisi', 'langsung', 'meluncur', 'indihome', 'the', 'best', 'pasang', 'indihome', 'ribet', 'jaringannya', 'tersedia', 'wilayah', 'indonesia', 'keren', 'indihime', '']</t>
  </si>
  <si>
    <t>['update', 'susah', 'buka', 'menu', 'coba', 'sisni', '']</t>
  </si>
  <si>
    <t>['pusat', 'bantuannya', 'diperketat', '']</t>
  </si>
  <si>
    <t>['nyesel', 'pasang', 'indihone']</t>
  </si>
  <si>
    <t>['loading']</t>
  </si>
  <si>
    <t>['membayar', 'knp', 'tagihan', 'biarkan', 'mmbayar', 'jaringan', 'wifi', '']</t>
  </si>
  <si>
    <t>['semoga', 'pontianak', 'kalbar', 'operator', 'pesaing', 'indihome', 'pindah', 'parah', 'banget', 'gangguan', 'niat', 'banget', 'benerinnya']</t>
  </si>
  <si>
    <t>['gmn', 'jatuh', 'tempo', 'tanggal', 'pembayaran', 'error', 'wifi', 'dinyalakan', 'dimatiin', 'perubahan', 'direstart', 'kesini', 'jelek', 'banget', 'pelayanannya']</t>
  </si>
  <si>
    <t>['aplikasi', 'indihom', 'mudah', 'akses', 'pakek', 'wafi', 'membatu', 'brpa', 'prngkat', 'tersabung']</t>
  </si>
  <si>
    <t>['jaringan', 'indihome', 'sangay', 'buruk', 'sinyal', 'bagus', 'lemoott', 'dann', 'terputus', 'seriimg', 'los', 'terputus', 'besok', 'tolongg', 'perbaiki', 'sistemny', 'donk', '']</t>
  </si>
  <si>
    <t>['bad', 'app', 'login', 'susah', 'udh', 'masukin', 'email', 'salah', 'login', 'perbaiki', 'app', '']</t>
  </si>
  <si>
    <t>['jaringan', 'konyol', 'payah', 'kocag', 'duitnya', 'doang', 'jaringan', 'kaga', 'sesuai', '']</t>
  </si>
  <si>
    <t>['buruk', 'jaringan', 'asli', 'mah', 'mending', 'provider', 'sebelah', 'dri', 'nyesel', 'duluan']</t>
  </si>
  <si>
    <t>['app', 'lemot', 'jaringan', 'langganan', 'mb', 'susah', 'buka', 'app']</t>
  </si>
  <si>
    <t>['ett', 'lelet', 'provider', 'mao', 'duitnya', 'doang', 'nawar', 'nawarin', '']</t>
  </si>
  <si>
    <t>['mbps', 'ngeleg', 'banget', 'buka', 'youtube', 'tiktok']</t>
  </si>
  <si>
    <t>['aplikasi', 'lemooot', 'laporan', 'lemoot', '']</t>
  </si>
  <si>
    <t>['hambatan', 'mantaplah']</t>
  </si>
  <si>
    <t>['berhenti', 'langganan']</t>
  </si>
  <si>
    <t>['sungguh', 'pelayanan', 'buruk', '']</t>
  </si>
  <si>
    <t>['ditunggu', 'kehadirannya', '']</t>
  </si>
  <si>
    <t>['update', 'aplikasi', 'ceck', 'pengguaan', 'bulanan', 'berat', 'aplikasinya']</t>
  </si>
  <si>
    <t>['aplikasi', 'pasmau', 'pngaduan', 'koneksi', 'trputus', 'emlah', 'menu', 'trsdia', 'dipengaduan', 'tagihan', 'poin', '']</t>
  </si>
  <si>
    <t>['', 'login', 'payah']</t>
  </si>
  <si>
    <t>['wahhh', 'terimakasih', 'bagus', 'aplikasinya', 'recomend']</t>
  </si>
  <si>
    <t>['aplikasinya', 'ngebantu', 'banget']</t>
  </si>
  <si>
    <t>['wifi', 'kena', 'gangguan', 'sihh', 'kemarin', 'gangguan', 'gangguan', 'lagiii', '']</t>
  </si>
  <si>
    <t>['terimakasi', 'responsnya', 'mohon', 'pertahankan', 'kwalitasnya', 'perusahaan', 'bumn', 'negri', 'rakyat', 'mendukung', 'iringi', 'kwalitas', 'kendor', 'pelayanannya', 'berkompeten', 'terimakasi', '']</t>
  </si>
  <si>
    <t>['coba', 'aplikasi', 'ringan', 'mudah', 'akses', 'internet', 'indihome', 'lemot', 'buka', 'aplikasi', 'lancar', 'jaya', 'giliran', 'buka', 'aplikasi', 'indihome', 'lelet', 'loading', 'teeroooosss', '']</t>
  </si>
  <si>
    <t>['pelayanan', 'lambat']</t>
  </si>
  <si>
    <t>['aplikasinya', 'keren', 'lihat', 'tagihannya', 'detail', 'trus', 'tuker', 'pion', 'code', 'pokok', 'the', 'best', '']</t>
  </si>
  <si>
    <t>['dipake', 'langganan', 'vidio', 'sinyal', 'putus', 'putus', 'lag', 'nonton', 'sepak', 'bola', 'bayare', 'tolong', 'diperbaiki', 'assalamualaikum', 'warahmatullahi', 'barokatuh', 'trimakasih']</t>
  </si>
  <si>
    <t>['aplikasi', 'apaaaaaa', 'ampun', 'ngelus', 'dada', 'deh', 'ngeblank', 'putih', 'stuck', 'gimana', 'prosedur', 'bumn', 'merekrut', 'team', 'developer', 'ampun', 'cari', 'lulusan', 'itb']</t>
  </si>
  <si>
    <t>['mohon', 'dipercepat', 'perbaikan', 'aplikasi', 'myindihome', 'terbaru', 'susah', 'memgakses', 'myindihome', 'keterangan', 'mohon', 'maaf', 'peningkatan', 'layanan', 'diakses', 'normal', 'kasih', 'bintang', 'terimaksih']</t>
  </si>
  <si>
    <t>['ganti', 'interface', 'muncul', 'pesan', 'mengganggu', 'telkom', 'perusahaan', 'kelas', 'layanannya', 'gini', 'gini', 'asyik', 'nonton', 'diinterupsi', 'pesan', 'tampilan', 'interface', 'mikir', 'pesan', 'muncul', 'ganggu', 'kenyamanan', 'konsumen', '']</t>
  </si>
  <si>
    <t>['habis', 'update', 'versi', 'keren', 'app', 'fitur', 'fiturnya', 'canggih', '']</t>
  </si>
  <si>
    <t>['respon', 'teknisi', 'lambat', 'pakek', 'uang', 'udah', 'pakek', 'internet', 'wifi', 'udah', 'lapor', 'tindakan', 'teknisi', 'kecewa', 'layanan', 'alamat', 'jln', 'tanjung', 'api', 'api', 'lorong', 'dakota', 'palembang']</t>
  </si>
  <si>
    <t>['update', 'susah', 'login']</t>
  </si>
  <si>
    <t>['membantu', 'lihat', 'tagihan', 'detail']</t>
  </si>
  <si>
    <t>['keren', 'aplikasinya', 'mempermudah', 'liat', 'tagihan', 'detail']</t>
  </si>
  <si>
    <t>['update', 'aplikasi', 'lemotnya', 'aplikasi', 'mendingan', 'update', 'tolonglah', 'diatasi', '']</t>
  </si>
  <si>
    <t>['', 'internet', 'hubungi', 'bantu', 'follow', 'usaha', 'terpaksa', 'tutup', 'indihome', 'menutup', 'rezeki', 'orang', '']</t>
  </si>
  <si>
    <t>['duit', 'kau', 'binatang', 'pengaduan', 'gangguan', 'layanan', 'kau', 'hiraukan', 'tanggal', 'pembayaran', 'cepat', 'kali', 'kau', 'denda', 'emang', 'binatang']</t>
  </si>
  <si>
    <t>['aplikasi', 'layar', 'putih', 'hang']</t>
  </si>
  <si>
    <t>['versi', 'terbaru', 'banget']</t>
  </si>
  <si>
    <t>['aplikasinya', 'rekomindasi', 'berguna', 'banget', 'intinya', 'membantu', '']</t>
  </si>
  <si>
    <t>['verifikasi', 'pergantian', 'susah', 'telpon', 'call', 'kali', 'jebol', 'pulsa', 'hasil', 'harap', 'perbaiki', 'layanannya', '']</t>
  </si>
  <si>
    <t>['aplikasi', 'keren']</t>
  </si>
  <si>
    <t>['informasi', 'cepat', 'akurat']</t>
  </si>
  <si>
    <t>['keren', 'banget', 'applikasinya']</t>
  </si>
  <si>
    <t>['aplikasi', 'user', 'friendly', 'fitur', 'fiturnya', 'mudah', 'user']</t>
  </si>
  <si>
    <t>['lambat', 'akses', '']</t>
  </si>
  <si>
    <t>['aplikasi', 'bagus', 'server', 'update', 'login', '']</t>
  </si>
  <si>
    <t>['update', 'myindihome', 'terbaru', 'login', 'diaplikasinya', 'tolong', 'diperbaiki']</t>
  </si>
  <si>
    <t>['pengalaman', 'memakai', 'aplikasi', 'memuaskan', 'pelayanan', 'fitur', 'aplikasi', 'berguna', 'pemesanan', 'paket', 'berlangganan', 'prosesnya', 'cepat', 'ngeliat', 'poin', 'ditukar', 'voucher', 'voucher', 'menarik']</t>
  </si>
  <si>
    <t>['keren', 'mempermudah', 'user']</t>
  </si>
  <si>
    <t>['ribet', 'login', 'stts', 'berlangganan', 'kenali', 'sistem', 'aneh', 'maslah', 'mohon', 'bantuannya', 'terimakasih']</t>
  </si>
  <si>
    <t>['mengajukan', 'pemindahan', 'alamat', 'diberitahukan', 'proses', 'menunggu', 'progress', 'bayar', 'full', 'tagihan', 'internet', 'penipu', '']</t>
  </si>
  <si>
    <t>['aplikasi', 'mudah', 'bermanfaat', 'pandemi', '']</t>
  </si>
  <si>
    <t>['mantap', 'update', 'semoga', 'kedepannya', '']</t>
  </si>
  <si>
    <t>['aplikasi', 'geblek', 'sumpah', 'unfaedah', '']</t>
  </si>
  <si>
    <t>['sumpeh', 'aplikasi', 'bagus', 'banget', 'gue', 'sampe', 'tercengang', 'ngeliat', 'fitur', 'top', 'abis', 'loe', 'loe', 'pade', 'updatein', 'aplikasi', 'loe', 'nesel', 'ntar', 'kaga', 'update', '']</t>
  </si>
  <si>
    <t>['app', 'parahh', 'lemot', 'banget', 'mohon', 'diringankan', 'appnya', 'lemot', 'internet', 'udh', 'cepet']</t>
  </si>
  <si>
    <t>['aplikasi', 'membantu', 'poin', 'terkadang', 'susah', 'tukar']</t>
  </si>
  <si>
    <t>['habis', 'update', 'tampilan', 'keren', 'detai', 'bngett', 'mudah', 'cek', 'tagihan', 'device', 'connect', 'klau', 'laporan', 'gangguan', 'mudah', '']</t>
  </si>
  <si>
    <t>['sumpah', 'bener', 'speed', 'maen', 'naikin', 'ajj', 'konfirmasi', 'pelanggan', 'pelanggan', 'rugikan', 'membayar', 'pinter', 'bngd', 'sumpah', 'terima', 'kasih', 'indihome', 'sopan', 'asli', 'etika', 'marketing']</t>
  </si>
  <si>
    <t>['keren', 'app']</t>
  </si>
  <si>
    <t>['keren', 'aplikasinya']</t>
  </si>
  <si>
    <t>['tampilan', 'beda', 'keren']</t>
  </si>
  <si>
    <t>['keren', 'bnget', 'aplikasinya', '']</t>
  </si>
  <si>
    <t>['semoga', 'lancar', 'jaringannya']</t>
  </si>
  <si>
    <t>['informasi', 'callcenter', 'linglung']</t>
  </si>
  <si>
    <t>['isi', 'app', 'detailnya', 'lengkap', 'pindah', 'paket', 'upgrade', 'speed', 'lihat', 'paket', 'murah', 'speed', 'lbh', 'dibandingkan', 'paket', 'putus', 'kontrak', 'pasang', '']</t>
  </si>
  <si>
    <t>['upgrade', 'tulusan', 'mohon', 'maaf', 'perbaikan', 'layanan', 'min', 'coba', 'perbaiki', '']</t>
  </si>
  <si>
    <t>['aplikasinya', 'dinamis', 'bagus', 'tingkatkan', 'penukaran', 'poin', 'aplikasi', 'mudah', 'cepat', 'lay', 'out', 'aplikasi', 'mudah', 'dipahami', 'informatif', 'sistem', 'penanganan', 'ganguan', 'sukai', 'mengirimkan', 'kode', 'pelangan', 'tertangani', '']</t>
  </si>
  <si>
    <t>['wow', 'user', 'friendly']</t>
  </si>
  <si>
    <t>['bayar', 'juta', 'perbulan', 'kualitas', 'kek', 'harga', 'ribu']</t>
  </si>
  <si>
    <t>['aplikasinya', 'keren', 'bangett', 'liat', 'tagihan', 'detail', '']</t>
  </si>
  <si>
    <t>['aplikasi', 'dibutuhkan', 'pandemi', 'semoga', 'ditingkatkan', 'kedepannya', '']</t>
  </si>
  <si>
    <t>['aplikasi', 'bagus', 'bermanfaat', 'liat', 'tagihan', 'detail']</t>
  </si>
  <si>
    <t>['aplikasinya', 'dibuka', 'alias', 'ngeblank', 'download', 'kalai', 'buka', 'cek', 'tagihan', 'telp', 'gimana', 'liat', 'info', 'promo']</t>
  </si>
  <si>
    <t>['indihome', 'susah', 'ngaduin', 'keluhan', 'sma', 'layaan', 'slalu', 'salah', 'pdhal', 'nomer', 'udh', 'bener', 'telek']</t>
  </si>
  <si>
    <t>['wifi', 'seamless', 'produk', 'ditawarkan', 'tutorial', 'ngomong', 'lebar']</t>
  </si>
  <si>
    <t>['melapor', 'berhenti', 'berlanggan', 'tagihan', 'bayar', 'bayar', 'bayar', 'berlanggan', 'berhenti', 'langganan', 'melapor', 'bayar', 'tagihan', 'oke', 'ikuti', 'bayar', 'trs', 'petugasnya', 'oke', 'berhenti', 'berlangganan', 'koq', 'tagihan', 'org', 'susah', 'susah', 'berhenti', 'berlangganan', 'sanggup', '']</t>
  </si>
  <si>
    <t>['indihome', 'menang', 'rame', 'doang', 'kualiat', 'bagus']</t>
  </si>
  <si>
    <t>['registrasi', 'tanggal', 'sep', 'telpon', 'petugas', 'indihome', 'tgl', 'sep', 'janjikan', 'jam', 'petugas', 'indihome', 'cek', 'jaringan', 'telpon', 'call', 'centre', 'janjikan', 'hubungi', 'facebooknya', 'janjikan', 'kirim', 'email', 'janjikan', 'salah', 'mengingkari', 'janji', 'terbiasa', '']</t>
  </si>
  <si>
    <t>['tagihan', 'dibayar', 'muncul', 'csnya', 'membantu', 'aneh', 'tolong']</t>
  </si>
  <si>
    <t>['tlng', 'gangguan', 'pakai', 'tolong', 'orang', 'telkom', 'cpt', 'dibenerin', '']</t>
  </si>
  <si>
    <t>['aplikasi', 'dibuka']</t>
  </si>
  <si>
    <t>['suka', 'tampilan', 'myindihome', 'smoga', 'performanya', 'terbaik']</t>
  </si>
  <si>
    <t>['aplikasinya', 'bagus', 'bermanfaat', 'informatif', 'pelayanan', 'ramah', 'fitur', 'fitur', 'bermanfaat', 'nyaman', 'sesuai', 'fungsinya']</t>
  </si>
  <si>
    <t>['indihome', 'number', 'one']</t>
  </si>
  <si>
    <t>['mantappp']</t>
  </si>
  <si>
    <t>['pasang', 'wifi', 'indihome', 'berharap', 'kegiatan', 'berhubungan', 'internet', 'berjalan', 'lancar', 'tapiiii', 'kena', 'zonk', 'kegiatan', 'video', 'converence', 'jaringan', 'hilang', 'internet', 'akses', 'itupun', 'skali', 'kali', 'adaaaa', 'dramanya', 'jaringan', 'diperbaiki', 'alatnya', 'berwarna', 'merahlah', 'dimohon', 'ditingkatkan', 'kualitasnya', 'capek', 'laporan', '']</t>
  </si>
  <si>
    <t>['udah', 'perpanjangan', 'status', 'isolir', 'plaza', 'telkom', 'email', 'statusnya', 'buka', 'isolir', 'kirim', 'email', 'jawabannya', 'muter', 'ngapain', 'plaza', 'telkom', 'hedeh', '']</t>
  </si>
  <si>
    <t>['terimakasih', 'indihome', 'udah', 'perbaiki', 'jaringan', 'nunggu', '']</t>
  </si>
  <si>
    <t>['indihome', 'bolot', 'telp', 'wooi', 'telp', 'hrs', 'gampang', 'dihub', 'pelanggan', 'kecepatan', 'gampang', 'giliran', 'downgrade', 'susahnya', 'ampun', 'najis', 'update', 'sept', 'indihome', 'mati', 'knp', 'gangguan']</t>
  </si>
  <si>
    <t>['jaringan', 'indihome', 'nggk', 'koneksi', 'alias', 'lost', 'konek', 'daerah', 'jombang', 'kec', 'jogoroto', 'perbaiki', 'teknisi', 'besok', 'lost', 'mohon', 'perhatianya', 'indihome', '']</t>
  </si>
  <si>
    <t>['loggi', 'nunggu', 'sms', 'otp', 'dimasukkan', 'otp', 'gagal', 'loggin', '']</t>
  </si>
  <si>
    <t>['aplikasinya', 'lemot']</t>
  </si>
  <si>
    <t>['mantap', 'banget', 'aplikasinya', 'mantau', 'jaringan', 'tagihan', 'penggunaan', 'wifi', 'tampilannya', 'menarik', 'mudah', 'liat', 'indihome', 'pembayaran', 'indihome', 'terbaik', 'dahh', 'aplikasi', 'downlod', 'kaya', 'video', 'gratis', 'puas', 'premium', 'murah', '']</t>
  </si>
  <si>
    <t>['aplikasi', 'myindihome', 'serba', 'gampang', 'fitur', 'cek', 'tagihan', 'cek', 'poin', 'buruan', 'install', '']</t>
  </si>
  <si>
    <t>['membantu', 'daring']</t>
  </si>
  <si>
    <t>['aplikasi', 'efektif', 'membantu', 'praktis', 'keluhan', 'langsung', 'hubungin', 'lihat', 'progres', 'dar', 'riwayat', 'pengaduan', 'layanan', 'gercep', 'kendala', 'diperbaiki', 'cepat', 'cek', 'jaringan', 'rincian', 'tagihan', 'langsung', 'aplikasi', 'jaringannya', 'kenceng', 'banget', 'top', 'pokoknya', '']</t>
  </si>
  <si>
    <t>['loading', 'mulu', 'gabisa', 'masuk']</t>
  </si>
  <si>
    <t>['gangguan', 'yerus', 'mampus', 'bayar', 'full', 'error', 'full', 'kaya', 'perusahaan', 'bangkrut', 'masyarakat']</t>
  </si>
  <si>
    <t>['indihome', 'satunya', 'layanan', 'internet', 'masuk', 'daerah', 'membantu', 'rumah', '']</t>
  </si>
  <si>
    <t>['indihome', 'jelek', 'jaringanya', 'gimana', 'streaming', 'lag', 'liat']</t>
  </si>
  <si>
    <t>['aplikasi', 'myindihome', 'pengaduan', 'layanan', 'aplikasi', 'buruk', 'kali', 'mencoba', 'gagal', 'penagihan', 'bayar', 'gercep', '']</t>
  </si>
  <si>
    <t>['layanan', 'mola', 'akses']</t>
  </si>
  <si>
    <t>['wifi', 'cepet', 'cepet', 'kualitasnya', 'proses', 'pemasangannya', 'dll']</t>
  </si>
  <si>
    <t>['gimana', 'metode', 'pembayaran', 'ilang', 'tolong', 'perbaiki', 'bayarr', '']</t>
  </si>
  <si>
    <t>['tolong', 'pelayanan', 'komplain', 'dipercepat', 'responnya', 'pelayanan', 'komplain', 'buruk', 'tolong', 'koneksi', 'internet', 'stabil', 'dikit', 'dikit', 'lambat', 'pembayaran']</t>
  </si>
  <si>
    <t>['', 'blm', 'tagihan', 'bulanannya', 'tlg', 'diperbaiki', 'sistemny']</t>
  </si>
  <si>
    <t>['pelayanan', 'cepat', 'teratasi', 'cabang', 'ramah']</t>
  </si>
  <si>
    <t>['aplikasi', 'membantu', 'update', 'versi', 'terbaru', 'peningkatan', 'lanjutkan', '']</t>
  </si>
  <si>
    <t>['madukin', 'nomer', 'tulisanya', 'nomer', 'valid', 'nomernya', 'emlail', 'indihomenya', 'gimana']</t>
  </si>
  <si>
    <t>['goodd']</t>
  </si>
  <si>
    <t>['mencoba']</t>
  </si>
  <si>
    <t>['permisi', 'kak', 'wifi', 'indihomenya', 'dipakai', 'mendownload', 'aplikasi', 'google', 'playstore', 'klik', 'download', 'bacaannya', 'tumggu', 'gagal', 'berkali', 'kali', 'csnya', 'ramah', 'ditawarkan', 'gratis', 'upgrade', 'mbps', 'csnya', 'nyolot', 'terkesan', 'memaksa', 'coba', 'promo', 'csnya', 'terima', 'promo', 'tsb', 'berat', 'hati', '']</t>
  </si>
  <si>
    <t>['layanan', 'chat', 'buruk', 'menanggapi', 'pelanggan']</t>
  </si>
  <si>
    <t>['pakai', 'indihome', 'lancar', 'trimakasih', 'indihome', 'smoga', 'smakin', 'maju']</t>
  </si>
  <si>
    <t>['woi', 'indohome', 'marah', 'udh', 'thn', 'ngelag', 'trs', 'orang', 'beli', 'ngelag', 'udh', 'thn', 'ngelag', 'astaga']</t>
  </si>
  <si>
    <t>['wifi', 'koneksi', 'ngelapor', 'ngelapor', 'jaringan', 'ngelapor', 'ganti', 'provider', 'kecewa', 'kali', 'seminggu', 'harian', 'akses', 'internet', 'menyusahkan', 'dirumah', 'daring']</t>
  </si>
  <si>
    <t>['aplikasi', 'uji', 'launcing', 'dluan', 'laporan', 'gangguan', 'internet', 'bagus', 'update', '']</t>
  </si>
  <si>
    <t>['indihome', 'pelayanan', 'berkualitas', '']</t>
  </si>
  <si>
    <t>['indihome', 'mantaaap', 'pisan', 'laah']</t>
  </si>
  <si>
    <t>['aplikasinya', 'memudahkan', 'penggunaan', 'wifi', 'jarang', 'gangguan', 'jaringan', 'stabil', 'mudah', 'segi', 'aplikasi', 'layanannya', '']</t>
  </si>
  <si>
    <t>['pakai', 'wifi', 'indihome', 'lancar', 'jaya', 'pakai', 'download', 'kenceng', 'bberapa', 'kali', 'kendala', 'terputus', 'jaringan', 'penanganannya', 'cpt', 'good', '']</t>
  </si>
  <si>
    <t>['woy', 'daftar', 'udah', 'nomer', 'aktif', 'nama', 'udah', 'sesuai', 'email', 'password', 'tetep', 'daftar', '']</t>
  </si>
  <si>
    <t>['lelet', 'respon', 'rest', 'apinya', 'loading', 'datanya']</t>
  </si>
  <si>
    <t>['ohhh']</t>
  </si>
  <si>
    <t>['aplikasinya', 'bagus', 'banget', 'lancar', 'semoga', 'bagus', 'kedepan', 'fightinggggg', '']</t>
  </si>
  <si>
    <t>['aplikasi', 'mantaapp', 'gaisss', 'nyesel', 'unduh', 'aplnya', 'kaya', 'nyatain', 'cinta', 'kedia', 'aka', 'nyesel', 'dripada', 'dipendem', 'sakitt']</t>
  </si>
  <si>
    <t>['pegawai', 'lelet', 'pelayanan', 'pasang', 'wifinya', 'double', 'pasang', 'myid', 'myin', 'gmna']</t>
  </si>
  <si>
    <t>['app', 'myindihome', 'sngt', 'membantu', 'dlm', 'informasi', 'tagihan', 'keluhan', 'pelanggan', 'pengecekan', 'brp', 'tersambung', 'perangkat', '']</t>
  </si>
  <si>
    <t>['jaya', 'indihome', 'semangat', '']</t>
  </si>
  <si>
    <t>['myindihome', 'membantu', 'sayang', 'udate', 'bug', 'tolong', 'indihome', 'diperbaiki', 'sekian', 'terimakasih']</t>
  </si>
  <si>
    <t>['ganti', 'email', 'code', 'otpnya', 'cuman', 'dikirin', 'telp', 'email', 'mohon', 'perbaiki', 'secepatnya']</t>
  </si>
  <si>
    <t>['good']</t>
  </si>
  <si>
    <t>['liat', 'tanggal', 'bayar', 'internet', '']</t>
  </si>
  <si>
    <t>['tolonglah', 'internetnya', 'perbaiki', 'penanganya', 'cepat', 'tmpat', 'internetnya', 'parah', 'buruk', 'tolonglah', 'perbaiki', '']</t>
  </si>
  <si>
    <t>['provider', 'tolol', 'kritik', 'dibenahi', 'buruk', 'jaringan']</t>
  </si>
  <si>
    <t>['update', 'terbaru', 'aplikasi', '']</t>
  </si>
  <si>
    <t>['aplikasi', 'bermanfaat', '']</t>
  </si>
  <si>
    <t>['kirim', 'laporan', 'kemarin', 'jwbannya', 'suruh', 'menunggu', 'kepastian', 'indihome', 'kaya', 'gini', '']</t>
  </si>
  <si>
    <t>['indihome', 'berguna', 'kebutuhan', 'internet', 'aplikasinya', 'bagus']</t>
  </si>
  <si>
    <t>['aplikasi', 'berguna', 'memantau', 'layanan', 'indihome']</t>
  </si>
  <si>
    <t>['aplikasinya', 'membantu', '']</t>
  </si>
  <si>
    <t>['aplikasi', 'bagus', 'bermanfaat', 'mantap']</t>
  </si>
  <si>
    <t>['suka', 'pelayannya', 'cepet', 'nanggapinya', '']</t>
  </si>
  <si>
    <t>['', 'far', 'good']</t>
  </si>
  <si>
    <t>['buruk', 'pelayanan', 'banget', 'respon', 'udah', 'gitu', 'ribet', 'proses', 'daerah', 'bakaln', 'pindah', 'buruk', '']</t>
  </si>
  <si>
    <t>['manttul', 'bermanfaat', 'aplikasinya', 'membantu', 'pelanggan', 'makasih', 'indihome', '']</t>
  </si>
  <si>
    <t>['terbaikkkkkkkkkssssss', '']</t>
  </si>
  <si>
    <t>['aplikasinya', 'bagus', 'mudah', 'pembayarannya', 'cari', 'cari', 'paket', 'mudah', 'streaming', 'film', 'voucher', 'akses', 'cepet', '']</t>
  </si>
  <si>
    <t>['jempol', 'deh']</t>
  </si>
  <si>
    <t>['aplikasinya', 'keren', 'banget', '']</t>
  </si>
  <si>
    <t>['jaringan', 'bagus', 'kecepatan', 'sesuai', 'aplikasi', 'memudahkan', 'pembayaran', 'pengecekan', 'tagihan', 'dll']</t>
  </si>
  <si>
    <t>['aplikasinya', 'keren']</t>
  </si>
  <si>
    <t>['good', 'membantu']</t>
  </si>
  <si>
    <t>['semoga', 'jaringan', 'lancar']</t>
  </si>
  <si>
    <t>['gangguan', 'kabelnya', 'terputus', 'grgr', 'kena', 'benang', 'layangan', 'sore', 'lapor', 'besok', 'siangnya', 'diperbaiki', '']</t>
  </si>
  <si>
    <t>['aplikasinya', 'membantu', 'terimakasih', 'semoga', '']</t>
  </si>
  <si>
    <t>['goooooooddddd', '']</t>
  </si>
  <si>
    <t>['myindihome', 'aplikasi', 'tampilan', 'fitur', 'keren', 'pelayanan', 'terbaik', 'pengguna', 'semoga', 'myindihome', 'sukses', 'jaya', 'selaluu', '']</t>
  </si>
  <si>
    <t>['tolong', 'perbaiki', 'loadingnya', 'bat', 'njer', '']</t>
  </si>
  <si>
    <t>['apk', 'terbaru', 'sukses', 'tingkatkan', 'pelayananannya', 'indihome']</t>
  </si>
  <si>
    <t>['aplikasi', 'bagus', 'kemudahan', 'penggunanya']</t>
  </si>
  <si>
    <t>['sistem', 'eror']</t>
  </si>
  <si>
    <t>['apknya', 'bagus', 'seminggu', 'bayar', 'tagihan', 'sinyalnya', 'lambat', 'bayar', 'mahal', 'gini', 'kecewa', 'banget']</t>
  </si>
  <si>
    <t>['aplikasi', 'membantu', 'menu', 'ribet', '']</t>
  </si>
  <si>
    <t>['terimakasih', 'aplikasi', 'membantu', '']</t>
  </si>
  <si>
    <t>['aplikasinya', 'membantu', 'bermanfaat', '']</t>
  </si>
  <si>
    <t>['setia', 'indihome', 'allhamdulilah', 'senang', 'pelayanannya', '']</t>
  </si>
  <si>
    <t>['aplikasi', 'bagus', 'bermanfaat']</t>
  </si>
  <si>
    <t>['buruk', 'banget', 'koneksi', 'jaringannya']</t>
  </si>
  <si>
    <t>['aplikasi', 'mudah', 'diaksen', 'lengkap', '']</t>
  </si>
  <si>
    <t>['aplikasi', 'bagus', 'cepet', 'mempermudah', 'terimakasi']</t>
  </si>
  <si>
    <t>['aplikasi', 'membantu']</t>
  </si>
  <si>
    <t>['the', 'best', 'aplikasi', 'membantu', 'banget', 'informasi', 'indihome', 'repot', 'repot', 'sukses', 'indihome', 'semoga', 'berkembang', '']</t>
  </si>
  <si>
    <t>['apps', '']</t>
  </si>
  <si>
    <t>['terima', 'kasih', 'aplikasi', 'mudah', 'informasinya']</t>
  </si>
  <si>
    <t>['aplikasi', 'bagus', '']</t>
  </si>
  <si>
    <t>['terkadang', 'perhitungan', 'kuota', 'sesuai']</t>
  </si>
  <si>
    <t>['pelayanan', 'terbaik']</t>
  </si>
  <si>
    <t>['app', 'membantu', 'keren', 'mantaps', 'good', 'job', 'indihome', 'semoga', 'app', 'berkembang', '']</t>
  </si>
  <si>
    <t>['aplikasi', 'bagus', 'bermanfaat', 'terima', 'kasih']</t>
  </si>
  <si>
    <t>['jaringannya', 'mantap']</t>
  </si>
  <si>
    <t>['layanan', 'apk', 'indihome', 'mudah', 'pengecekan', 'tagihan', 'konfirmasi', 'kendala', 'mantap', 'baget', 'apk', '']</t>
  </si>
  <si>
    <t>['membantu', 'pengguna', 'layanan', 'indihome', '']</t>
  </si>
  <si>
    <t>['aplikasi', 'memudahkan', 'pengguna']</t>
  </si>
  <si>
    <t>['aplikasi', 'memudahkan', 'customer', 'cek', 'tagihan', 'laporan', 'kendala']</t>
  </si>
  <si>
    <t>['mempermudah', 'trx', 'pembayaran', '']</t>
  </si>
  <si>
    <t>['aplikasinya', 'mantap', 'mudah', 'cek', 'tagihan', 'plus', 'cek', 'jenis', 'paket', 'add', 'terbantu', 'kali', 'kendala', 'pemakaian', 'melapor', 'via', 'app', 'langsung', 'direspon', 'terkait', '']</t>
  </si>
  <si>
    <t>['aplikasi', 'bagus', 'bermanfaat', '']</t>
  </si>
  <si>
    <t>['layanan', 'internetnya', 'luarrr', 'biasaaaa', 'makasih', 'indihome', '']</t>
  </si>
  <si>
    <t>['sukses', 'indihome']</t>
  </si>
  <si>
    <t>['aplikasinya', 'bagus', 'membantu']</t>
  </si>
  <si>
    <t>['membantu', 'banget', 'meringankan', 'pekerjaan', '']</t>
  </si>
  <si>
    <t>['thank', 'you', 'dirumahku', 'jarang', 'berkendala', 'sekalinya', 'gangguan', 'tlp', 'tekhnisi', 'langsung', 'diperbaiki', 'normal', '']</t>
  </si>
  <si>
    <t>['aplikasi', 'bagussss', '']</t>
  </si>
  <si>
    <t>['detail', 'penggunaan', 'penjelasan', 'dri', 'menu', 'aplikasi', 'mantap', '']</t>
  </si>
  <si>
    <t>['top', '']</t>
  </si>
  <si>
    <t>['aplikasi', 'membantu', 'pengguna', 'indihome']</t>
  </si>
  <si>
    <t>['pasang', 'indihome', 'biaya', 'promo', 'mengecewakan', 'marketingnya']</t>
  </si>
  <si>
    <t>['membantu', 'infomasi', 'wifi', 'indihome']</t>
  </si>
  <si>
    <t>['susah', 'menggunakannya', 'loading']</t>
  </si>
  <si>
    <t>['indihome', 'jaringan', 'lelet', 'jam', 'siang', 'jam', 'malam', 'leletnya', 'udah', 'restrat', 'gitu', 'medan', 'indihome', 'padam', 'janji', 'taunya', 'sampe', 'gimana', 'untung', 'kuota', 'simpanan', 'keperluan', 'terpaksa', 'pakai', 'hotspot', '']</t>
  </si>
  <si>
    <t>['terimakasih', 'aplikasi', 'berguna']</t>
  </si>
  <si>
    <t>['ampas', 'jaringanya', 'putus', 'udh', 'harga', 'mahal', 'bndkgn', 'kompetitor', 'ganti', 'direksi', 'utama', 'msh', 'pelayananya']</t>
  </si>
  <si>
    <t>['pindah', 'alamat', 'hubungi', 'proses', 'bayar', 'bayar', 'udah', 'proses', 'kecewa', 'berat', 'udah', 'berkali', 'hub', 'udah', 'dapet', 'tiket', 'berkali', 'kejelasan']</t>
  </si>
  <si>
    <t>['mbps', 'mbps', 'konfirmasi', 'langsung', 'ganti', 'mbps', '']</t>
  </si>
  <si>
    <t>['botingnya']</t>
  </si>
  <si>
    <t>['kemarin', 'speed', 'demand', 'hilang', 'sekarangg', 'login', 'lgi', 'afknya', 'diupdate', 'telpon', 'customer', 'servis', 'kemarin', 'perkembangan', 'beli', 'sod', 'susah', 'ampun', 'internetnya', 'lemot', 'banget', '']</t>
  </si>
  <si>
    <t>['kecepatan', 'mbps', 'sebulan', 'muter', 'nge', 'game', 'buffer', 'conection', 'error', 'pakai', 'orang', 'penggunaan', 'sebulan', 'gb', 'max', 'gb', 'berpikir', 'berhenti', 'langganan', 'cape', 'bayar', 'jaringan', 'lemot']</t>
  </si>
  <si>
    <t>['indihome', 'bagus', '']</t>
  </si>
  <si>
    <t>['jelek', 'instal']</t>
  </si>
  <si>
    <t>['aplikasi', 'lola']</t>
  </si>
  <si>
    <t>['sinyal', 'down', '']</t>
  </si>
  <si>
    <t>['josss']</t>
  </si>
  <si>
    <t>['ganguan', 'mulu', 'biaya']</t>
  </si>
  <si>
    <t>['cepat', 'tanggapi', 'mantap']</t>
  </si>
  <si>
    <t>['bener', 'bner', 'aplikasi', 'taik', 'beli', 'repew', 'speed', 'udah', 'dibayar', 'diproses', 'dikomplain', 'respon', 'ditelpon', 'buang', 'pulsa', 'ngomong', 'indihome', 'jlas', 'duet', 'pelayanan', 'macem', 'taik', 'org', 'emosi', '']</t>
  </si>
  <si>
    <t>['internet', 'lemot', 'parah', 'upgrade', 'kecepatan', 'dikenakan', 'biaya', 'karna', 'tunggakan', 'dibayarkan', 'pemakaian', 'diawal', 'bayar', 'tagihan', 'sesuai', 'petugas', 'bayar', 'sesuai', 'upgrade', 'dibilang', 'tunggakan', 'dibayarkan', 'cek', 'sampe', 'pernyataan', 'indihome', 'hahahahahaha', 'lucu']</t>
  </si>
  <si>
    <t>['lumayan', 'mati', 'down', 'jaringan', 'stabil', 'kasian', 'anak', 'anak', 'ujian', 'jaringan', 'langsung', 'blank', 'untung', 'kuota', 'internet', 'tolong', 'jaringan', 'internet', 'daerah', 'babelan', 'gangguan', '']</t>
  </si>
  <si>
    <t>['', 'mantap', 'alhamdulillah']</t>
  </si>
  <si>
    <t>['sinyal', 'indihome', 'memuaskan']</t>
  </si>
  <si>
    <t>['aplikasi', 'bagus', 'membantu', 'memudahkan', 'menggunakannya', 'fitur', 'fitur', 'pilih', 'memenuhi', '']</t>
  </si>
  <si>
    <t>['mempermudah', 'pembayaran']</t>
  </si>
  <si>
    <t>['apk', 'terupdatenya', 'bagus', 'detail', 'sesuai', 'keperluan', 'info', 'cari', 'ganggguan', 'tinggal', 'update', 'detail', 'info', 'penggunaan', 'bagus', 'detail', 'pembayaran', 'semangat', 'myindihome', '']</t>
  </si>
  <si>
    <t>['bagus', 'membantu', 'customer', 'mengupdate', 'internet', 'dirumah']</t>
  </si>
  <si>
    <t>['canggih', 'murah', '']</t>
  </si>
  <si>
    <t>['bintang', '']</t>
  </si>
  <si>
    <t>['upgrade', 'mbps', 'telkom', 'meningkatkan', 'pemberitahuan', 'internet', 'mbps', 'udah', 'dibikin', 'lemot', 'tolong', 'aktifkan', 'mbps', 'nonaktifkan', 'mbps']</t>
  </si>
  <si>
    <t>['service', 'sesuai', 'biaya', 'langganan']</t>
  </si>
  <si>
    <t>['nanya', 'pelanggan', 'wifi', 'indihome', 'masang', 'wifi', 'indihome', 'tanggal', 'agustus', 'muncul', 'myindihome', 'tulisan', 'tanggal', 'muncul', 'tagihan', 'heran', 'cepet', 'banget', 'gitu', 'tagihan', 'trus', 'tunggu', 'tanggal', 'tagihan', 'trus', 'nunggu', 'tanggal', 'tagihan', 'sampe', 'tagihan', 'kakak', 'cek', 'aplikasi', 'indihome', 'tagihan', 'tagihan', 'terbanyar', 'maksudnya', 'gimana', '']</t>
  </si>
  <si>
    <t>['kali', 'mengajukan', 'proses', 'pemasangan', 'terpasang', 'tetangga', 'berminat', 'pasang', 'blm', 'direalisasikan', 'dimanfaatkan', 'pasang', 'disalurkan', 'blm', 'pasang', 'lumayan', 'dpt', 'untung']</t>
  </si>
  <si>
    <t>['loading', 'doank']</t>
  </si>
  <si>
    <t>['paket', 'internet', 'bagus', 'bayar', 'pikiran', 'bonus', '']</t>
  </si>
  <si>
    <t>['stay', 'kirim', 'instagram', 'solusi', 'suruh', 'relogin', 'bolak', 'uninstal', 'ttp', 'perubahan', 'suruh', 'hapus', 'cache', 'ttp', 'plissssssss', 'help', 'myindihome', '']</t>
  </si>
  <si>
    <t>['pasang', 'wifi', 'mbps', 'berubah', 'mbps', 'tagihannya', 'mohon', 'solinya']</t>
  </si>
  <si>
    <t>['app', 'tolol', 'dibuka']</t>
  </si>
  <si>
    <t>['tolong', 'diperbaiki', 'verifikasi', 'profil', 'tetep', 'berubah', 'udah', 'isi', 'verifikasinya']</t>
  </si>
  <si>
    <t>['saran', 'min', 'tambahkan', 'liat', 'atur', 'perangkat', 'tersambung', 'min', 'pencurian', 'wifi', 'capek', 'ganti', 'sandi', 'wkwkwk']</t>
  </si>
  <si>
    <t>['bagus', 'fitur', 'lengkap', 'cek', 'tagihan', 'upgrade', 'speed', 'mudah', 'promo', 'menarik', '']</t>
  </si>
  <si>
    <t>['mantap', '']</t>
  </si>
  <si>
    <t>['clear']</t>
  </si>
  <si>
    <t>['speed', 'bgs']</t>
  </si>
  <si>
    <t>['aplikasi', 'bagus', 'manfaat', 'upgrade', 'lihat', 'tagihan', 'komplit', 'memudahkan', 'pengguna', '']</t>
  </si>
  <si>
    <t>['membantu', 'aplikasinya', 'semoga', 'lengkap', 'fiturnya', 'ngapain', 'berhubungan', 'indihome', 'aplikasi']</t>
  </si>
  <si>
    <t>['update', 'tampilan', 'bagus', 'semoga', 'indihome', 'kedepan', 'bagus', 'dlm', 'pelayanan', 'jaringan', 'internet', 'bagus', '']</t>
  </si>
  <si>
    <t>['aplikasinya', 'bagus', 'membantu', 'dlm', 'pengecekan', 'tagihan', 'penggunaan', 'internet', 'telp', 'good', 'job', '']</t>
  </si>
  <si>
    <t>['', 'mantap', 'berinovasi']</t>
  </si>
  <si>
    <t>['coba', 'perbaiki', 'indihome', 'main', 'game', 'online', 'slalu', 'terputus', 'merugikan', 'kacau', '']</t>
  </si>
  <si>
    <t>['internet', 'mati']</t>
  </si>
  <si>
    <t>['aplikasinya', 'mantap', 'banget']</t>
  </si>
  <si>
    <t>['kode', 'verifikasi', 'akun', 'cuman', 'menit', 'sms', 'masuk', 'menitan', 'tolong', 'ditambahi', 'menit', 'masuk']</t>
  </si>
  <si>
    <t>['aplikasi', 'permanfaat']</t>
  </si>
  <si>
    <t>['aplikasi', 'bermanfaat']</t>
  </si>
  <si>
    <t>['gangguan', 'internet', 'sampe', 'kali', 'laporan', 'gangguan', 'jawabannya', 'jawabannya', 'pemeliharaan', 'jaringan', 'nggak', 'gangguan', 'masal', 'wilayah', 'emang', 'pemeliharaan', 'jaringan', 'seenggaknya', 'tetep', 'terkoneksi', 'penurunan', 'kecepatan', 'pengguna', 'mah', 'nggak', 'koneksi', 'internet', 'mati', 'total', 'sampe', 'berhari', '']</t>
  </si>
  <si>
    <t>['min', 'tolong', 'wifi', 'saia', 'kendala', 'internet', 'instal', 'paket', 'kepulauan', 'riau', 'batam', 'kav', 'saguba', '']</t>
  </si>
  <si>
    <t>['lag']</t>
  </si>
  <si>
    <t>['ooooooookkkkkkkkkkkkkkkk', 'terselesaikan']</t>
  </si>
  <si>
    <t>['sayang', 'mahal', 'pdhl', 'paket', 'internet', 'only', 'dibanding', 'paket', 'play', 'dongs', 'dibonusin', '']</t>
  </si>
  <si>
    <t>['update', 'ver', 'user', 'terdaftar', 'login', 'email', 'terdaftar', 'pakai', 'applikasi']</t>
  </si>
  <si>
    <t>['tagihan', 'beranda', 'diemail', 'menu', 'tagihan', 'akurat', 'tagihan', 'perbulan', 'rb', 'perbulan', 'rb', 'ayo', 'tingkatkan', 'developer', '']</t>
  </si>
  <si>
    <t>['ribet', 'masuk', 'aplikasi', 'daftar', 'aplikasinya', 'mudah']</t>
  </si>
  <si>
    <t>['rto', 'menit', 'blas', 'gal', 'stabil', 'seminggu', 'gangguan', 'kali', 'inet', 'mati', 'ampe', 'bosen', 'pengaduan']</t>
  </si>
  <si>
    <t>['telkom', 'melayani', 'komplain', 'buruk', 'pelayanannya', 'bahasanya', 'ketus', 'banget', 'beda', 'menawarkan', 'ngemis', 'marketingnya', 'bantuan', 'bahasanya', 'ketus', 'banget', 'seandainya', 'penilaian', 'bintang', 'gua', 'kasi', 'bintang', 'deh', 'pntes', 'ratingnya', 'rendah']</t>
  </si>
  <si>
    <t>['peningkatan', 'layanan', 'gimana', 'mantau', 'indihome', 'rumah', 'coba', 'apknya', 'gangguan', 'kualitasnya', 'tingkatkan', 'kecewa', 'mulu', '']</t>
  </si>
  <si>
    <t>['indira', 'kemana', 'woy', 'ont', 'los', 'pilihan', 'pengaduan', 'restart', 'modem', '']</t>
  </si>
  <si>
    <t>['menunggu', 'bersabar', 'mengembalikan', 'hilang', 'kerjaan', 'tertunda', 'internet', 'diperbaiki', '']</t>
  </si>
  <si>
    <t>['puas', 'gangguan', 'udah', 'kejelasan', 'telfon', 'layani', 'bayar', 'mah', 'tetep', 'bayar', '']</t>
  </si>
  <si>
    <t>['jaringan', 'indihome', 'bagus', 'aplikasi', 'myindihome', 'user', 'friendly']</t>
  </si>
  <si>
    <t>['ganti', 'nomer', 'susah', 'ampun', 'udah', 'pakai', 'indihome', 'login', 'aplikasi', 'myindihome', 'sales', 'salah', 'inpiut', 'digit', 'nomer', 'rubah', 'persulit', 'banget', '']</t>
  </si>
  <si>
    <t>['aplikasi', 'sgt', 'membntu', 'cek', 'tagihan', 'ganti', 'pasword', 'langsung', 'terimakasih', '']</t>
  </si>
  <si>
    <t>['keren', 'banget']</t>
  </si>
  <si>
    <t>['good', 'job', 'fleksibel', 'the', 'best', '']</t>
  </si>
  <si>
    <t>['gangguan', 'jaringan', 'mulu', 'penanganan']</t>
  </si>
  <si>
    <t>['lapor', 'apl', 'dikasih', 'ticket', 'penanganan', 'menunggu', 'jam', 'menelpon', 'langsung', 'ditinfak', 'lanjuti', 'perbaikan', 'mengganti', 'router', 'gratis', 'makasih', 'indihome', 'semoga', 'menjaga', 'pelayanan', 'ditingkatkan', '']</t>
  </si>
  <si>
    <t>['password', 'namanya', 'mempersulit', 'iya', 'lupa', 'gimana', '']</t>
  </si>
  <si>
    <t>['tolong', 'telkom', 'kerjasamanya', 'wifi', 'dibenarkan', 'yaa', 'gangguan', 'lapor', 'indihome', 'care', 'via', 'dibalas', 'yaa', 'dibalas', 'progres', 'aplikasi', 'indihome', 'udh', 'laporan', 'erbaikan', 'laoran', 'seselai', 'wifi', 'sejam', 'tgl', 'september', 'tolong', 'merugikan', 'salah', '']</t>
  </si>
  <si>
    <t>['diperbaharui', 'lemot', 'app', 'gbs', 'layanan', 'pengaduan', 'kaya', 'sblm', 'sblmny', 'klik', 'pgduan', 'notif', 'noner', 'tiketny', 'bgsan', 'app']</t>
  </si>
  <si>
    <t>['bermanfaat', 'berguna', 'aplikasi', 'ribet']</t>
  </si>
  <si>
    <t>['kembalikan', 'app', 'habis', 'upgrade', 'melaporkan', 'gangguan', 'perhatikan', 'jaman', 'canggih', 'persulit', '']</t>
  </si>
  <si>
    <t>['udah', 'coba', 'kompetitor', 'ttp', 'indihome', 'lbh', 'hemat', 'banding', 'pmbayaran', 'bulanan', 'mudah', 'slama', 'hnya', 'pngunaan', 'internet', 'standart', 'kluarga', 'recomended', '']</t>
  </si>
  <si>
    <t>['terimakasih', 'indihome', 'mempermudah', 'akses', 'internet', 'desa', 'aplikasi', 'terbaru', 'mempermudah', 'pelanggan', '']</t>
  </si>
  <si>
    <t>['ditempat', 'jaringan', 'indihome', 'terpercaya', 'menang', 'murah', 'kcpatan', 'trima', 'kasih', 'indihome', 'karna', 'membantu', 'aktivitas', 'keluarga', 'lgi', 'dlm', 'kondisi', 'wfh', '']</t>
  </si>
  <si>
    <t>['terbaik', 'produk', 'wifi', 'rumahan', 'hrga', 'terjangkau', 'kekuatan', 'jaringan', 'diragukan', 'lgi', 'work', 'form', 'home', 'indihome']</t>
  </si>
  <si>
    <t>['didunia', 'orang', 'beraktivitas', 'rumah', 'wfh', 'beralih', 'indihome', 'produknya', 'bagus', 'kekuatan', 'sgnal', 'kcptan', 'diragukan', 'lgi', '']</t>
  </si>
  <si>
    <t>['aplikasi', 'keren', 'lengkap', 'ribet']</t>
  </si>
  <si>
    <t>['aplikasi', 'mencek', 'tagihan', 'bulanan', 'wifi', 'jua', 'update', 'terbaru', 'indihome', 'mudah']</t>
  </si>
  <si>
    <t>['loading', 'jaringan', 'bagus', 'mudah', 'mudahan', 'diperbaiki', 'dipertahankan', 'dikembangkan', '']</t>
  </si>
  <si>
    <t>['pelayanan', 'terbaik', 'penggunanya', 'semoga', 'sukses', 'indihome', 'kedepannya', 'the', 'best', 'indihome', 'for', 'indonesia', '']</t>
  </si>
  <si>
    <t>['pelayanannya', 'kerenn']</t>
  </si>
  <si>
    <t>['mempermudah', 'akses', 'layanan', 'dri', 'telkom', 'manteppokok', 'lurr']</t>
  </si>
  <si>
    <t>['aplikasi', 'membantu', 'sbuah', 'pelayanan', 'terbaik', 'mudah', 'cek', 'layanan', 'telkom']</t>
  </si>
  <si>
    <t>['mantab', 'banget', 'gaes']</t>
  </si>
  <si>
    <t>['puas', 'banget', 'pelayanan', '']</t>
  </si>
  <si>
    <t>['terima', 'kasih', 'memudahkan', 'akses', 'wifi']</t>
  </si>
  <si>
    <t>['sngat', 'kecewa', 'sbg', 'konsumen', 'marketing', 'telefon', 'akn', 'upgrade', 'kec', 'mjd', 'mbs', 'dngn', 'hrga', 'rb', 'selisih', 'dimanipulasi', 'absurb', 'spy', 'kmi', 'terjebak', 'iyakan', 'tlg', 'dng', 'jujur', 'profesional', 'jng', 'dng', 'marketing', 'menjebak', 'marah', 'tny', 'berkali', 'total', 'biaya', 'langganan', 'selisih', 'sngt', 'pertimbangkan', 'berganti', 'provider', 'profesional', '']</t>
  </si>
  <si>
    <t>['oke', 'bangettt', 'aplikasi']</t>
  </si>
  <si>
    <t>['jelek', 'jaringannya', 'suka', 'hilang', 'hilang', 'kadang', 'lalot', 'cepat', 'bagus', 'baterai', 'pokoknya', 'indihome', 'jelek', 'pakai', 'indihome', 'pindah']</t>
  </si>
  <si>
    <t>['memakai', 'indihome', 'komplainnya', 'puasnya', 'gimana', 'tradisi', 'indihome', 'dispam', 'telepon', 'penawaran', 'maksa', 'ditawarkannya', 'ditolak', 'sopan', 'santun', 'csnya', 'hilang']</t>
  </si>
  <si>
    <t>['penaganan', 'gangguan', 'internet', 'lambat', 'respon', '']</t>
  </si>
  <si>
    <t>['aplikasi', 'bug']</t>
  </si>
  <si>
    <t>['top', 'saldonya', 'gmna', '']</t>
  </si>
  <si>
    <t>['buruk', 'jelek', 'lelet', 'singkron', 'data', 'odp', 'sma', 'lokasi']</t>
  </si>
  <si>
    <t>['pengguna', 'indihome', 'hrus', 'menghabisnya', 'biaya', 'membeli', 'paketan', 'internet', 'pakai', 'indihome', 'ringan', 'patungan', 'terimkasih', 'indihome', 'sukses', '']</t>
  </si>
  <si>
    <t>['tunggu', 'layanan', 'kota', 'gua', 'tendang', 'benda', 'rumah', 'gua', 'gua', 'dibodohi', 'mentah', 'upgrade', 'kenaikan', 'tagihan', 'add', 'aktif', 'gus', 'aktifin', 'pokoknya', 'gila', 'separah', 'bumn', '']</t>
  </si>
  <si>
    <t>['puas', 'udah', 'pakai', 'trouble']</t>
  </si>
  <si>
    <t>['', 'love', 'you', 'indihome', 'semoga', 'lancar', 'jaringan', 'slalu', 'bagus', 'jngn']</t>
  </si>
  <si>
    <t>['terbaik', 'dibanding', 'terimakasih']</t>
  </si>
  <si>
    <t>['download', 'aplikasi', 'internet', 'mbps', 'downgrade', 'mbps', 'aplikasi', 'mbps', 'berubah', '']</t>
  </si>
  <si>
    <t>['berlangganan', 'aplikasi', 'data', 'tsb', 'terdeteksi']</t>
  </si>
  <si>
    <t>['disayangkan', 'wifinya', 'terbilang', 'bagus', 'penanganannya', 'mengecewakan', 'wifi', 'error', 'udah', 'minggu', 'dateng', 'teknisinya', 'udah', 'ngechat', 'teknisinya', 'adminya', 'dikalkulasikan', 'rb', 'terbuang', 'wifinya', 'error', '']</t>
  </si>
  <si>
    <t>['bagus', 'update', 'sod', 'loading', 'pilihan', 'paketnya', 'muncul', '']</t>
  </si>
  <si>
    <t>['coba', '']</t>
  </si>
  <si>
    <t>['bad']</t>
  </si>
  <si>
    <t>['heran', 'knp', 'indihome', 'cipayung', 'off', 'thn', 'ganti', 'masukan', 'indihome', 'aktif', 'kebonpala', 'kali', 'nulis', 'angka', 'aplikasinya', 'lgs', 'hilang', 'capek', 'ngulang', 'smp', 'kali', 'telp', 'smp', 'dibantu', 'diubah', 'sistemnya', 'tinggal', 'diubah', 'manual', 'ttp', 'kog', 'jelek', 'aplikasi', 'indihome', 'stress', 'mending', 'logout', 'uninstal', '']</t>
  </si>
  <si>
    <t>['paket', 'channel', 'paket', 'bayar', 'user', 'pindah', 'provider']</t>
  </si>
  <si>
    <t>['luarbiasaa', 'indihome', 'sukses', 'yaa']</t>
  </si>
  <si>
    <t>['aplikasi', 'bagus', 'bermanfaat', 'pembayaran', 'langganan', 'mengecek', 'pembayaran', 'jatuh', 'tempo', 'data', 'perbulan', 'lupa', 'keunggulan', 'aplikasi', 'indihome', 'aplikasi', 'berguna', 'pelanggan', 'indihome']</t>
  </si>
  <si>
    <t>['aplikasi', 'versi', 'terbaru', 'bagus', 'mudah', 'meliat', 'tagihan', 'user', 'terhubungdgn', 'wifi', 'pemakaian', 'wifi', 'alhamdulillah', 'wifi', 'indihome', 'dirumah', 'jarang', 'kendala', '']</t>
  </si>
  <si>
    <t>['berkesempatan', 'update', 'terbaru', 'keren', 'semoga', 'sempurnaaa', 'aplikasinya', '']</t>
  </si>
  <si>
    <t>['', 'indi', 'pokoke', 'pling', 'oke', 'pelayananya', 'memuaskan', 'sukses']</t>
  </si>
  <si>
    <t>['bintang', 'bicara']</t>
  </si>
  <si>
    <t>['vulanx', 'pembayaran', 'meningkat', 'perjanjian', 'mhn', 'penjelasanx']</t>
  </si>
  <si>
    <t>['berguna', 'banget', 'ounya', 'sales', 'alesan', 'telp', 'aktivasi', 'perangkat', 'mah', 'udah', 'dipasang', 'bayar', 'aktivasi', 'ampe', 'berminggu', 'minggu', 'astaga', 'layanan', 'kampreeet', 'banget', 'kasih', 'nopel', 'silahkan', 'cabut', 'perangkat', 'kerjaan', 'bumn', 'nerima', 'pegawai', 'sales']</t>
  </si>
  <si>
    <t>['jaringan', 'lemot', 'stabil', '']</t>
  </si>
  <si>
    <t>['memasukkan', 'nomer', 'indihome', 'alasan', 'nomer', 'ditemukan', 'gimana', 'solusinya', 'min', '']</t>
  </si>
  <si>
    <t>['ngelek', 'banget', 'pakai', 'indihome', 'sumpah', 'ngelek', 'udah', 'bayar']</t>
  </si>
  <si>
    <t>['ngeleag', 'bet', 'kali', 'make', 'indihome', 'make', 'cuman', 'orang', '']</t>
  </si>
  <si>
    <t>['josss', '']</t>
  </si>
  <si>
    <t>['mengedepankan', 'kenyamanan', 'penggunanya', 'terbaik']</t>
  </si>
  <si>
    <t>['perfec', 'app', 'komen', 'ulusan', 'coba', 'ringankan', 'aplikasinya', 'terkadang', 'bug', 'aplikasi', 'berat', 'sukses', 'tekom', '']</t>
  </si>
  <si>
    <t>['sungguh', 'buruk', 'pelayanan', 'internet', 'drmh', 'sya', 'mati', 'nlp', 'kali', 'laporan', 'pngaduan', 'myindihome', 'hasil', 'nihil', 'telat', 'bayar', 'denda', 'giliran', 'gangguan', 'langsung', 'tanggapin', '']</t>
  </si>
  <si>
    <t>['aplikasi', 'cacat', 'berlangganan', 'indiehome', 'login']</t>
  </si>
  <si>
    <t>['alhamdulillah', 'login', 'sesuai', 'janji', 'kasih', 'bintang', 'semoga', 'aplikasinya', 'bagus', '']</t>
  </si>
  <si>
    <t>['sebenernya', 'sinyalnya', 'ram', 'kali', 'maen', 'mobeletot', 'ngelag', 'naek', 'bayar', 'mahal', 'ngelag', 'doank', 'mending', 'turunin', 'harganya']</t>
  </si>
  <si>
    <t>['semenjak', 'upgrade', 'aplikasi', 'versi', 'mudah', 'sakit']</t>
  </si>
  <si>
    <t>['update', 'login', 'otp', 'akun', 'verify', 'akun', 'tergeser', 'akun', 'pendaftaran', 'fitur', 'myindihome']</t>
  </si>
  <si>
    <t>['renew']</t>
  </si>
  <si>
    <t>['belanggan', 'indihome', 'lancar', 'jaringanx']</t>
  </si>
  <si>
    <t>['semoga', 'kedepan', 'puas', 'indihome']</t>
  </si>
  <si>
    <t>['sungguh', 'memuaskan', 'jaringan', 'lancar', 'pelayanan']</t>
  </si>
  <si>
    <t>['update', 'terbaru', 'fitur', 'lengkap', 'promonya', '']</t>
  </si>
  <si>
    <t>['buruk', 'minipack', 'useetv', 'rumah', 'nonton', 'minipack', 'useetv', 'langganan', 'unsubscribe', 'lwt', 'myindihome', 'verifikasi', 'verifikasi', 'menerima', 'notifikasi', 'izinkan', 'izinkan', 'merubah', 'data', 'verifikasi', 'sistem', 'membaca', 'pakai', 'akun', 'maksudnya', 'bajak', 'unsubscribe', '']</t>
  </si>
  <si>
    <t>['indosiar', 'berbayar', 'karna', 'liga', 'haruss', 'bayarr', 'lagii', 'andin', 'gratissss', 'sangattt', 'mengecewakan']</t>
  </si>
  <si>
    <t>['respon', 'cepat', 'teknisinya', 'membantu', 'tingkatkan', 'layanan', 'primanya', '']</t>
  </si>
  <si>
    <t>['updete', 'aplikasinya', 'lengkap', 'simpel']</t>
  </si>
  <si>
    <t>['membantu', 'promo', 'update', 'poin', 'agustus', 'september', 'update', '']</t>
  </si>
  <si>
    <t>['mudah', 'dimengerti', 'pemakaian', 'mantaav']</t>
  </si>
  <si>
    <t>['nce']</t>
  </si>
  <si>
    <t>['parahh', 'ganti']</t>
  </si>
  <si>
    <t>['jaringn', 'jelek', 'wifi']</t>
  </si>
  <si>
    <t>['laporan', 'indihome', 'telp', 'berkali', 'tunggu', 'teknisi', 'pagi', 'malam', 'hasilnya', 'zonk', 'sekolah', 'rumah', 'tungguin', 'malam', 'proses', 'sinkronisasi', 'anbk', 'sekolah', 'bermasalah', 'semoga', 'indihome', 'bertanggung', 'siswa', 'ujian', 'menumpang', 'sekolah', '']</t>
  </si>
  <si>
    <t>['metode', 'pembayaran', 'terbatas', 'lengkap']</t>
  </si>
  <si>
    <t>['aplikasi', 'terbaru', 'the', 'bestttt', 'udah', 'lemot', 'lemot', 'kerennnnnn']</t>
  </si>
  <si>
    <t>['apikasi']</t>
  </si>
  <si>
    <t>['update', 'versi', 'menurutku', 'peningkatan', 'kecepatan', 'pemrosesan', 'aplikasi', 'error', 'teratasi', 'desain', 'interface', 'berubah', 'friendly', 'penambahan', 'fitur', 'riwayat', 'poin']</t>
  </si>
  <si>
    <t>['app', 'update']</t>
  </si>
  <si>
    <t>['indihome', 'the', 'best', 'pokoknya', 'pelayanannya', 'cepat', 'mudah', 'jaya', 'indihome', '']</t>
  </si>
  <si>
    <t>['membantu', 'banget', 'musim', 'daring']</t>
  </si>
  <si>
    <t>['anjaiiilaahh', 'bener', 'mengecewakan', 'penanganannyaa', 'lambat', 'rugi', 'bayar', 'mahal', '']</t>
  </si>
  <si>
    <t>['percaya', 'deh', 'mending', 'gausah', 'download', 'aplikasi', 'lemot', 'loadingnya', 'aneh', 'kayaknya', 'bermasalah', 'pengaduan', 'internet', 'error', 'twitter', 'cepat', 'saran', '']</t>
  </si>
  <si>
    <t>['pelayanan', 'burukk', 'jelasss', 'hapus', 'apk', 'tutup', 'kantornya', 'ush', 'operasi', 'lgiiii', 'asuuuu']</t>
  </si>
  <si>
    <t>['masuk', 'aplikasi', 'layar', 'blank', 'putih', 'dicoba', 'log', 'out', 'uninstal', 'errorrrrrr']</t>
  </si>
  <si>
    <t>['berlangganan', 'indihome', 'lancar', 'koneksi', 'jaringannya', 'kendala', 'langsung', 'dilaporkan', 'penanganannya', 'cepat', 'terima', 'kasih']</t>
  </si>
  <si>
    <t>['mantapp', 'mudah']</t>
  </si>
  <si>
    <t>['apps', 'bodoh', 'apps', 'apps', 'daftar', 'nomor', 'tagihan', 'apps', 'cuman', 'daftar', 'nomor', 'tagihan', 'daftar', 'login', 'nomor', 'tagihan', 'downgrade', 'make', 'simple', '']</t>
  </si>
  <si>
    <t>['aplikasi', 'keren', 'cek', 'tagihan', 'upgrade', 'speed', 'genggaman', 'tangan']</t>
  </si>
  <si>
    <t>['mudah', 'lihat', 'nomer', 'indihome']</t>
  </si>
  <si>
    <t>['layanan', 'migrasi', 'pindah', 'paket', 'mudah', 'dibantu', 'customer', 'service', 'cakap']</t>
  </si>
  <si>
    <t>['mantap', 'berguna', 'banget']</t>
  </si>
  <si>
    <t>['pantes', 'rating', 'jelek', 'aplikasi', 'log', 'out', 'masuk', 'email', '']</t>
  </si>
  <si>
    <t>['login', 'gagal', 'ribet', 'indihome', 'buang', '']</t>
  </si>
  <si>
    <t>['knp', 'daftarkn', 'indihome', 'eror', 'didaftarkn', 'valid', 'nomor', 'pembayaran']</t>
  </si>
  <si>
    <t>['respon', 'otomatis', 'pengaduan', 'tarifnya', 'mahal', 'banget', 'pajak', 'ditanggung', '']</t>
  </si>
  <si>
    <t>['aplikasi', 'myindihome', 'versi', 'speed', 'internet', 'penggunaan', 'kouta', 'fup', 'muncul', '']</t>
  </si>
  <si>
    <t>['internet', 'lemot', 'mahal', 'mbps', 'dipakai', 'udah', 'muser', 'kapasitas', 'pemakaian', 'cuman', 'giga', 'udah', 'jalan', 'kena', 'fup', 'unlimited', 'pembohongan', 'publik', '']</t>
  </si>
  <si>
    <t>['bagus', 'bangett']</t>
  </si>
  <si>
    <t>['mantap', 'bet', 'apk', 'bagus', 'bet']</t>
  </si>
  <si>
    <t>['bagus', 'aplikasinya', '']</t>
  </si>
  <si>
    <t>['tampilan', 'myindihome', 'keren', 'suka', 'tampilannya', 'recommended', 'banget', 'update', 'secepatnya', '']</t>
  </si>
  <si>
    <t>['tampilan', 'terbaru', 'lambat', 'memuat', 'semoga', 'perbaikan', '']</t>
  </si>
  <si>
    <t>['aplikasi', 'lumayan', 'bagus', 'fitur', 'berguna', 'mudah', 'mengerti']</t>
  </si>
  <si>
    <t>['jaringan', 'indihome', 'bagus', 'internet', 'kawan', 'pasang', 'wifi', 'pakai', 'indihome', 'emosi']</t>
  </si>
  <si>
    <t>['mudah', 'cek', 'pengguna', 'internet', 'pengingat', 'bayar', 'bulanan', 'upgrage', 'paket', 'indihome', 'langganan', 'layanan', 'tinggal', 'tap', 'bayar', 'tagihan', 'mudah', 'beli', 'paket', 'wifi', 'mudah', '']</t>
  </si>
  <si>
    <t>['aplikasi', 'memudahkan', 'pembayaran', 'pengecekan', 'fair', 'usage', 'penawaran', 'menarik', '']</t>
  </si>
  <si>
    <t>['kendala', 'jaringan', 'kendala', 'terimakasih', 'indihome']</t>
  </si>
  <si>
    <t>['aplikasi', 'sgt', 'bagus', 'user', 'interface', 'ramah', 'berat', 'ukuran', 'pelayanan', 'aplikasi', 'sgt', 'informatif', 'memudahkan', 'memonitor', 'layanan', 'telkom', '']</t>
  </si>
  <si>
    <t>['loading', 'jaringan', 'bermasalah']</t>
  </si>
  <si>
    <t>['mantab', 'jaya']</t>
  </si>
  <si>
    <t>['terbantu', 'aplikasi', 'informasinya', 'respon', 'penanganan', 'keluhan', 'pelayanan', 'cepat', '']</t>
  </si>
  <si>
    <t>['aplikasinya', 'mantaaap']</t>
  </si>
  <si>
    <t>['', 'sambung', 'indihome', 'telpon', 'rmh', 'sambung', 'appnya', 'ket', 'eror', 'ditemukan', 'pdhal', 'nomor', 'cek', 'berulanggg']</t>
  </si>
  <si>
    <t>['mantap', 'aplikasinya']</t>
  </si>
  <si>
    <t>['kali', 'habis', 'bayar', 'jaringan', 'bermasalah', 'bayar', 'sayang', 'tersedia', 'indihome', 'udah', 'pindah', 'haluan', 'deh', 'payah', '']</t>
  </si>
  <si>
    <t>['pakai', 'profider', 'penipunya', 'paket', 'dinaikan', 'tampa', 'persetujuan', 'bayar', '']</t>
  </si>
  <si>
    <t>['aplikasi', 'ping', 'jelek', 'milik', 'bangsa']</t>
  </si>
  <si>
    <t>['bagus', 'apk']</t>
  </si>
  <si>
    <t>['aplikasi', 'lambat']</t>
  </si>
  <si>
    <t>['apk', 'login', 'akun']</t>
  </si>
  <si>
    <t>['sungmpah', 'indihome', 'jelek', 'lemot']</t>
  </si>
  <si>
    <t>['mahal', 'bayar', 'pakai']</t>
  </si>
  <si>
    <t>['oooohhh', 'indihome', 'denganmu', 'ngurusin', 'pin', 'ribeeet', 'ampun', 'web', 'indihome', 'loading', 'mulu', 'lihat', 'rincian', 'paket', 'pin', 'minggu', 'kelar', 'hadeeeh', 'rempong']</t>
  </si>
  <si>
    <t>['download', 'nomor', 'indihom', 'dikenal', 'sistem', 'nomor', 'udah', 'bener', 'udah', 'puluhan', 'kali', 'dicoba', 'gitu']</t>
  </si>
  <si>
    <t>['kecewa', 'internet', 'mati', 'bayar', 'telat', '']</t>
  </si>
  <si>
    <t>['terima', 'kasih', 'membantu']</t>
  </si>
  <si>
    <t>['wii', 'keren', 'banget', 'aplikasi']</t>
  </si>
  <si>
    <t>['gangguan', 'mulu', 'perasaan', 'apk']</t>
  </si>
  <si>
    <t>['aplikasi', 'terbaik', '']</t>
  </si>
  <si>
    <t>['update', 'nggak', 'buka']</t>
  </si>
  <si>
    <t>['', 'bagus', 'mudah', 'enak', 'loginnya', 'lelet', 'lalod', 'dibuka', 'susah', 'pokoke', 'masuk', 'alllaaaaaahhhhh']</t>
  </si>
  <si>
    <t>['', 'banget']</t>
  </si>
  <si>
    <t>['loss', 'kualitas', 'bagus', 'pdhal', 'mutus', 'setahun', 'pemakaian', 'didenda', 'pdahal', 'pelayanan', 'memuaskan', 'dimana', 'cari', 'perlindungan', 'hak', 'konsumen', '']</t>
  </si>
  <si>
    <t>['jaringan', 'los', 'perbaikan', 'makan', 'hr', 'banting', 'alat', 'penanganan', 'tenisi', 'memanfaatkan', 'situasi', '']</t>
  </si>
  <si>
    <t>['bagus', 'keren']</t>
  </si>
  <si>
    <t>['pribadi', 'pengguna', 'setia', 'jaringan', 'fiber', 'hime', 'indihome', 'kecewa', 'jelek', 'jaringannya', 'jaringan', 'terputus', 'perangkan', 'lampu', 'dimodem', 'menyala', 'dengar', 'pengguna', 'indihome', 'beralih', 'kexlhome', 'jaringannya', 'bagus', 'indihome', 'kedepan', 'jaringan', 'jelek', 'xlhome', 'peminat', '']</t>
  </si>
  <si>
    <t>['ajorrr', 'ora', 'iso', 'pengaduan', '']</t>
  </si>
  <si>
    <t>['mantap']</t>
  </si>
  <si>
    <t>['internet', 'full', 'disuruh', 'bayar', 'full', 'coba', 'cek', 'putus', 'internet', 'tanggal', 'september', 'tanggal', 'september', 'tanggal', 'september', 'dibenerin', 'bayarnya', 'gimana', 'ceritanya', 'lambat', 'penanganannya', 'aplikasinya', 'lambat', 'responnya', 'pengaduan', 'pelayanan', 'publik', 'buruk', '']</t>
  </si>
  <si>
    <t>['mantap', 'bermanfaat', 'sekakiii']</t>
  </si>
  <si>
    <t>['terimakasih', 'layanan', 'membantu', 'jaringannya', 'stabil', 'sesuai', 'keinganan', '']</t>
  </si>
  <si>
    <t>['baguss', 'gangguan', 'yaa', 'cinta', 'indihome']</t>
  </si>
  <si>
    <t>['jaringannya', 'top', 'banget', 'kerja', 'nyaman', '']</t>
  </si>
  <si>
    <t>['keren', 'bangett', 'mantapp']</t>
  </si>
  <si>
    <t>['tiket', 'pengaduan', 'berkali', 'direspon', 'niat', 'enggk', 'ngasih', 'pelayanan', '']</t>
  </si>
  <si>
    <t>['aplikasi', 'bagus', 'membantu', 'memudahkan', '']</t>
  </si>
  <si>
    <t>['membantu', 'terimakasih']</t>
  </si>
  <si>
    <t>['min', 'pembayaran', 'dimana', 'mencarinya', '']</t>
  </si>
  <si>
    <t>['', 'pasang', 'wifi', 'indihome', 'minggu', 'heran', 'knp', 'indihome', 'lelet', 'banget', 'internet', 'akun', 'pemilik', 'nama', 'orang', 'maksud', 'maksud', 'akun', 'relasi', 'indihome', 'pemilik', 'berbeda', '']</t>
  </si>
  <si>
    <t>['aplikasi', 'membantu', 'mengontrol', 'pemakaian', '']</t>
  </si>
  <si>
    <t>['apknya', 'membantu', '']</t>
  </si>
  <si>
    <t>['wow', 'bagus', 'aplikasinya', 'mantap', 'mantap']</t>
  </si>
  <si>
    <t>['download', 'cek', 'ketersediaan', 'isi', 'data', 'pelanggan', 'penuh', 'odpnya', 'kejelasan', 'dibangun', 'odpnya', 'bilangnya', 'mudah', 'secepatnya', 'mengecewakan']</t>
  </si>
  <si>
    <t>['mantap', 'indihome']</t>
  </si>
  <si>
    <t>['perbaikan', 'kabel', 'putus', 'lambat', 'laporan', 'pkl', 'diperbaiki']</t>
  </si>
  <si>
    <t>['mantaappp', '']</t>
  </si>
  <si>
    <t>['app', 'mantul', 'cocok', 'kenyamanan', 'penggunaan', 'indihome', '']</t>
  </si>
  <si>
    <t>['keluhan', 'aplikasi', 'solusi', 'telfon', 'email', 'sosmed', 'aplikasi', 'ngasih', 'solusi']</t>
  </si>
  <si>
    <t>['oke', 'juara']</t>
  </si>
  <si>
    <t>['aplikasi', 'membantu', '']</t>
  </si>
  <si>
    <t>['jaringa', 'nyaa', 'memuaskan', '']</t>
  </si>
  <si>
    <t>['udah', 'ngga', 'bisaa', 'knp', 'eror', 'mulu', '']</t>
  </si>
  <si>
    <t>['biaya', 'mahal', 'jaringan', 'murahan', 'payah', '']</t>
  </si>
  <si>
    <t>['bayar', 'bayarnya', 'rada', 'telat', 'seminggu', 'pemakaian', 'internet', 'mati', 'laporan', 'udah', 'putus', 'blacklist', 'plasa', 'disuruh', 'pasang', 'udah', 'gila', 'emang', 'indinih']</t>
  </si>
  <si>
    <t>['pakai', 'myindihome', 'lancar', 'hambatan', 'sedikitpun', 'bagus', 'banget']</t>
  </si>
  <si>
    <t>['lamaa', 'indiehome', 'lancar', 'jayaa', 'mantab', 'membantu', 'kebutuhan', 'sehari']</t>
  </si>
  <si>
    <t>['pelayanan', 'bagus', 'laporan', 'gangguan', 'lgsg', 'tangani', 'trima', 'kasih', '']</t>
  </si>
  <si>
    <t>['aplikasi', 'jelek']</t>
  </si>
  <si>
    <t>['aplikasinya', 'baguus']</t>
  </si>
  <si>
    <t>['mantul', 'banget', '']</t>
  </si>
  <si>
    <t>['aplikasi', 'bagus', 'banget', 'memudahkan']</t>
  </si>
  <si>
    <t>['aplikasinya', 'bermanfaat', 'liat', 'tagihan', 'nambah', 'kecepatan', 'laporan', 'gangguan', 'kndla', '']</t>
  </si>
  <si>
    <t>['tolongg', 'knpa', 'jaringannya', 'indihomenya', 'ngelag', 'mulu', 'ngerti', 'lgi']</t>
  </si>
  <si>
    <t>['indihome', 'membantu', 'kebutuhan', 'sehari', 'daring']</t>
  </si>
  <si>
    <t>['aplikasinya', 'bagusss', 'mantap', 'mantapp']</t>
  </si>
  <si>
    <t>['jaringan', 'oke']</t>
  </si>
  <si>
    <t>['parah', 'laporan']</t>
  </si>
  <si>
    <t>['pengguna', 'internet', 'kabel', 'indihome', 'puas', 'ditambah', 'pakai', 'aplikasi', 'membeantu', 'memonitor', 'indihome', 'mantap', 'dehh', 'rugi']</t>
  </si>
  <si>
    <t>['sinyal', 'lemot']</t>
  </si>
  <si>
    <t>['aplikasi', 'bagus', 'memiliki', 'fitur', 'berguna', 'nyaman', 'semoga', 'dipertahankan', 'ditingkatkan', 'fitur', 'fiturnya', '']</t>
  </si>
  <si>
    <t>['aplikasi', 'nyusahin']</t>
  </si>
  <si>
    <t>['aplikasi', 'indihome', 'membantu', 'memudahkan', 'pemakai']</t>
  </si>
  <si>
    <t>['membantu']</t>
  </si>
  <si>
    <t>['good', '']</t>
  </si>
  <si>
    <t>['mantaapp']</t>
  </si>
  <si>
    <t>['makasih']</t>
  </si>
  <si>
    <t>['terimakasi']</t>
  </si>
  <si>
    <t>['terima', 'kasih', 'indihome']</t>
  </si>
  <si>
    <t>['trimakasih', 'indihome']</t>
  </si>
  <si>
    <t>['mantaaaap']</t>
  </si>
  <si>
    <t>['langganan', 'indisport', 'champions', 'september', 'muncul', 'chanel', 'dimunculkan', 'tagihan', 'dibayar', 'tks', 'jawabannya', '']</t>
  </si>
  <si>
    <t>['aplikasinya', 'membantu']</t>
  </si>
  <si>
    <t>['terimakasih', 'indihome', 'membantu']</t>
  </si>
  <si>
    <t>['mantaapppp', 'membantuuuu', '']</t>
  </si>
  <si>
    <t>['memudahkan']</t>
  </si>
  <si>
    <t>['layanan', 'indihome', 'kian', 'kian', 'buruk', 'bayar', 'mahal', 'hasil', 'memuaskan']</t>
  </si>
  <si>
    <t>['jaringan', 'buruk']</t>
  </si>
  <si>
    <t>['bagus', 'pelayanannya', 'garcep']</t>
  </si>
  <si>
    <t>['jaringan', 'loss', 'mulu', 'heran']</t>
  </si>
  <si>
    <t>['kemarin', 'alhamdulillah', 'sampe', 'bagus', '']</t>
  </si>
  <si>
    <t>['apk', 'membantu', 'wifi', 'dirumah', 'gangguan']</t>
  </si>
  <si>
    <t>['app', 'membantu']</t>
  </si>
  <si>
    <t>['bermanfaat', 'aplikasi']</t>
  </si>
  <si>
    <t>['lancar', 'jaya']</t>
  </si>
  <si>
    <t>['wiii', 'mantap', 'aplikasi', 'myindihome', '']</t>
  </si>
  <si>
    <t>['apknya', 'bagus', 'membantu']</t>
  </si>
  <si>
    <t>['knapa', 'koneksinya', 'lemott', 'buka', 'youtube', 'lemot', 'main', 'gamee', '']</t>
  </si>
  <si>
    <t>['myindihome', 'keren', 'banget', 'sukses', 'yaa', '']</t>
  </si>
  <si>
    <t>['provider', 'internet', 'terburuk', 'dunia', 'provider', 'mahal', 'bermasalah', 'dikonfirm', 'coba', 'restart', 'wifinya', 'kak', 'direstart', 'ngak', 'komplain', 'ngapain', 'buang', 'pulsa', 'cuman', 'restart', '']</t>
  </si>
  <si>
    <t>['lancar', 'main', 'valorant', 'terimaksih', 'indihome']</t>
  </si>
  <si>
    <t>['wifi', 'mahal', 'kualitas', 'rendah']</t>
  </si>
  <si>
    <t>['manteeppp', 'banget', 'nihh', 'indihome', '']</t>
  </si>
  <si>
    <t>['keren', 'appnya', '']</t>
  </si>
  <si>
    <t>['asli', 'appnya', 'membantu', 'mantap', 'deh', 'pokoknya', '']</t>
  </si>
  <si>
    <t>['jaringannya', 'bagus', 'cepet', 'banget', 'nyaman', 'pakenyaaa', 'the', 'best', '']</t>
  </si>
  <si>
    <t>['aplikasinya', 'membantu', 'mudah', 'informasi', 'layanan', 'indihome', 'pilih', 'layanan', 'tambahan', 'berkesempatan', 'promo', 'menarik', 'lapor', 'gangguan', 'intinya', 'kemudahan', 'ditangan', 'pelanggan', '']</t>
  </si>
  <si>
    <t>['apk', 'mantap', 'banget']</t>
  </si>
  <si>
    <t>['bagus', 'app']</t>
  </si>
  <si>
    <t>['terimakasi', 'aplikasi', 'membantu', 'era', 'pandemi']</t>
  </si>
  <si>
    <t>['keren', 'membantu', 'kuliah', 'online']</t>
  </si>
  <si>
    <t>['kecepatan', 'internet', 'bln', 'lancar', 'cepet', 'sesuai', 'paket', 'dipilih', 'tapiiii', 'bln', 'skrg', 'lelet', 'komplain', 'alasan', 'perbaikan', 'jaringan', 'rekomended', 'udh', 'bayar', 'lagiii', 'bln']</t>
  </si>
  <si>
    <t>['internet', 'indihome', 'mengalami', 'gangguan', 'pagi', 'malam', 'pagi', 'lapor', 'call', 'center', 'diproses', 'sore', 'sore', 'telpon', 'hidup', 'disuruh', 'tunggu', 'besok', 'pagi', 'gara', 'internet', 'gangguan', 'jualan', 'online', 'trading', 'sekolah', 'daring', 'anak', 'terkendala', '']</t>
  </si>
  <si>
    <t>['mudah', 'dipahami', '']</t>
  </si>
  <si>
    <t>['aplikasi', 'top']</t>
  </si>
  <si>
    <t>['mantap', 'terbaik', 'banget']</t>
  </si>
  <si>
    <t>['aplikasinya', 'membantu', 'penggunaan']</t>
  </si>
  <si>
    <t>['bagus', 'banget']</t>
  </si>
  <si>
    <t>['erooooooor', 'akses']</t>
  </si>
  <si>
    <t>['jaringannya', 'stabil', 'aplikasinya', 'membantu']</t>
  </si>
  <si>
    <t>['kecepatannya', 'bagus', 'bagus', 'klw', 'fup']</t>
  </si>
  <si>
    <t>['downgrade', 'aplikasi', 'terbaru', 'lemot', 'banget', 'apk', 'kesel']</t>
  </si>
  <si>
    <t>['aplikasinya', 'bagus', 'membantuu', 'jugaa', 'thanks', 'indihome', '']</t>
  </si>
  <si>
    <t>['memuaskan', 'terpercaya', '']</t>
  </si>
  <si>
    <t>['puas', 'layanan', 'cepet', 'dlm', 'menyelesaian', 'kendala', '']</t>
  </si>
  <si>
    <t>['jelek', 'ndada', 'gunanya']</t>
  </si>
  <si>
    <t>['good', 'keren', 'aplikasinya', 'mantapp']</t>
  </si>
  <si>
    <t>['aplikasi', 'susah', 'loading', 'menampilakn', 'profil', 'pdhl', 'wifi', 'indihome', 'mbps', 'mohon', 'diperbaiki', 'terima', 'kasih']</t>
  </si>
  <si>
    <t>['teknisi', 'manado', 'nggak', 'bener', 'yahh', 'pelanggan', 'diabaikan', 'nggak', 'sopan', '']</t>
  </si>
  <si>
    <t>['masukin', 'nomor', 'indiehome', 'salah', 'salah', 'orang', 'bayar', 'nomor']</t>
  </si>
  <si>
    <t>['ehem', 'ehem']</t>
  </si>
  <si>
    <t>['udah', 'bayar', 'mahal', 'lemot', 'sesuai', 'kualitas']</t>
  </si>
  <si>
    <t>['udh', 'lancar', 'ganti', 'bintangnya']</t>
  </si>
  <si>
    <t>['jaringan', 'wifi', 'skrang', 'gmpng', 'lelet', 'online', 'tolonglah', 'indihome', 'kekuatan', 'jaringan', 'bagus', 'org', 'nyaman', 'make', 'jaringan', 'indihome', '']</t>
  </si>
  <si>
    <t>['good', 'job']</t>
  </si>
  <si>
    <t>['ngelek']</t>
  </si>
  <si>
    <t>['log', 'susah', 'bener', 'hapus', 'males']</t>
  </si>
  <si>
    <t>['pengaduan', 'berkali', 'nomor', 'pengaduan', 'whatsapp', 'informasi', 'indihome', 'terkait', 'pengaduan', 'telpon', 'zaman', 'saiki', 'ngono']</t>
  </si>
  <si>
    <t>['perbanyak', 'teknisi', 'pasang', 'wifi', 'indihome', 'teknisinya', 'masak', 'kabel', 'putus', 'perbaikannya', 'alasanya', 'antri']</t>
  </si>
  <si>
    <t>['', 'allah', 'sumpah', 'apk', 'bagus', 'banget']</t>
  </si>
  <si>
    <t>['mantap', 'juara']</t>
  </si>
  <si>
    <t>['keren', '']</t>
  </si>
  <si>
    <t>['aplikasinya', 'bagus', 'banget', 'ngebantu', 'banget', 'pkoknyaa', 'mah', 'nyangka', 'serius', 'aplikasi', 'ajaib', 'waw']</t>
  </si>
  <si>
    <t>['bermanfaat', 'membantu', 'mengontrol', 'pemakaian', 'wifi']</t>
  </si>
  <si>
    <t>['kualitasnya', 'bagus', 'indihome']</t>
  </si>
  <si>
    <t>['bermanfaat', 'memudahkan', 'pelanggan', 'indihome', 'update', 'perbaikannya', 'membantu', 'pelanggan']</t>
  </si>
  <si>
    <t>['trimakasih']</t>
  </si>
  <si>
    <t>['kecepatanya', 'stabil', 'membantu', 'nyaman', 'dipakai', 'mantapp', '']</t>
  </si>
  <si>
    <t>['mantul', 'aplikasi', 'menbantu', '']</t>
  </si>
  <si>
    <t>['pembaruan', 'optimal']</t>
  </si>
  <si>
    <t>['aplikasi', 'usefull', 'banget', '']</t>
  </si>
  <si>
    <t>['membayar', 'tagihan', 'indihome', 'tulisan', 'sambungan', 'internet', 'tagihan', 'choria', 'mayasari', 'sms', 'isinya', 'lakukan', 'grade', 'tambahan', 'biaya', 'sadar', 'permainan', 'indihome', 'ber', 'langganan', 'wifi', 'lambat', 'grade', 'biaya', 'tolong', 'indihome', 'biaya', 'lemot', 'sinyal', 'wifi', 'indihome']</t>
  </si>
  <si>
    <t>['perbaikan', 'jaringan', 'memakan', 'minggu', '']</t>
  </si>
  <si>
    <t>['update', 'konyol', 'ngecek', 'konyol', 'indonesia', 'jossss']</t>
  </si>
  <si>
    <t>['jaringannya', 'stabil', 'truss', 'trus']</t>
  </si>
  <si>
    <t>['penagihan', 'pembayaran', 'kecepatan', 'speed', 'indihome', 'balance', 'penagihan', 'cepat', 'kwalitas', 'speed', 'lemot', '']</t>
  </si>
  <si>
    <t>['aplikasi', 'diujicoba', 'upgrade', 'muter', 'muter', 'aplikasinya', 'bagusan', 'fitur', 'lancar', 'muter', 'muter', 'kaya', 'nga', 'sinyal', 'masukan', 'telkom', 'upgrade', 'aplikasi', 'coba', 'uji', 'aplikasi', 'ahlinya', 'coba', 'lihat', 'rating', 'konsumen', 'semoga', 'nilai', 'rating', 'bsa', 'memahami', 'kekurangan', 'indihome', 'salam', '']</t>
  </si>
  <si>
    <t>['dri', 'bln', 'berheni', 'berlangganan', 'indihome', 'saldo', 'deposit', 'blm', 'masuk', 'rek', 'berkali', 'konfirmasi', 'proses']</t>
  </si>
  <si>
    <t>['login', 'nomor', 'indihome', 'gmna', 'indihome', 'login', 'gitu', 'miris', '']</t>
  </si>
  <si>
    <t>['cek', 'pemakaian']</t>
  </si>
  <si>
    <t>['payah', 'login', 'gue', 'langsung', '']</t>
  </si>
  <si>
    <t>['logout', 'uda', 'coba', 'login', 'sesuai', 'email', 'telp', 'masuk', '']</t>
  </si>
  <si>
    <t>['inovasi']</t>
  </si>
  <si>
    <t>['apk', 'mantap', 'mania']</t>
  </si>
  <si>
    <t>['aplikasinya', 'bantu', 'banget', 'lohhh', 'juara', '']</t>
  </si>
  <si>
    <t>['aplikasinya', 'membantu', 'mantap', '']</t>
  </si>
  <si>
    <t>['membantu', 'unt', 'memantau', 'informasi', 'sanagat', 'membantu']</t>
  </si>
  <si>
    <t>['keren', 'banget', 'aplikasinya', 'membantu', 'terimakasih', 'myindihome']</t>
  </si>
  <si>
    <t>['goodjob', '']</t>
  </si>
  <si>
    <t>['trimakasih', 'aplikasi', 'membantu', '']</t>
  </si>
  <si>
    <t>['', 'tengkyu', 'indihome']</t>
  </si>
  <si>
    <t>['keren', 'app', 'membantu']</t>
  </si>
  <si>
    <t>['penangan', 'customer', 'buruk', 'lambat', 'mengatasi', 'yng', 'customer', 'keluhkan', 'ganti', 'alamat', 'banget', 'nangin', 'parah', 'banget', 'indigo', 'lambat', 'banget', 'penangan']</t>
  </si>
  <si>
    <t>['membantu', 'nyaman', 'indihome']</t>
  </si>
  <si>
    <t>['sukses']</t>
  </si>
  <si>
    <t>['mantap', 'membantu', 'dikondisi', 'pandemi', '']</t>
  </si>
  <si>
    <t>['jaringan', 'membantu', 'kelancara', 'wfh', 'sekolah', 'anak', 'daring']</t>
  </si>
  <si>
    <t>['mantop', 'indihome']</t>
  </si>
  <si>
    <t>['terbantu', 'aplikasi', 'semoga', 'sukses', 'thank', 'you', 'indihome', '']</t>
  </si>
  <si>
    <t>['mantaffff', 'myindihome', 'keren', 'aplikasinya', 'gampang', 'sukses', 'terbaik', '']</t>
  </si>
  <si>
    <t>['kereeeen', 'sukses', 'indihome']</t>
  </si>
  <si>
    <t>['mantap', 'surantaaap', 'tap', 'tap']</t>
  </si>
  <si>
    <t>['mantul']</t>
  </si>
  <si>
    <t>['jaringan', 'stabil', 'tersebar', 'keseluruh', 'pelosok', 'sukses', 'indihome', '']</t>
  </si>
  <si>
    <t>['jaringannya', 'bagus', 'sukses', 'indihome', '']</t>
  </si>
  <si>
    <t>['dirumah', 'indihome', 'alhamdulillah', 'jaringannya', 'bagus', 'maju', 'sukses', 'indihome']</t>
  </si>
  <si>
    <t>['amazing', '']</t>
  </si>
  <si>
    <t>['', 'banget', 'jaringannya', 'juara']</t>
  </si>
  <si>
    <t>['aplikasi', 'oke', 'membantu']</t>
  </si>
  <si>
    <t>['ayo', 'indihome', 'gampang']</t>
  </si>
  <si>
    <t>['awesome', '']</t>
  </si>
  <si>
    <t>['mantaps', '']</t>
  </si>
  <si>
    <t>['keren', 'euy']</t>
  </si>
  <si>
    <t>['registrasi', 'verikasi', 'data', 'progres', 'pemasangan', 'track', 'hilang', 'aplikasi', 'registrasi', '']</t>
  </si>
  <si>
    <t>['gila', 'keren', 'gua', 'beruntung', 'apk', 'gaes', '']</t>
  </si>
  <si>
    <t>['kereeen', '']</t>
  </si>
  <si>
    <t>['diupdate', 'bermasalah', 'logout', 'payah']</t>
  </si>
  <si>
    <t>['perbaikan', 'zaringan']</t>
  </si>
  <si>
    <t>['mantap', 'ngelag', 'uninstall', 'nyesel', 'donwload']</t>
  </si>
  <si>
    <t>['', 'psional', '']</t>
  </si>
  <si>
    <t>['memasukan', 'konfirmasi', 'infalid', 'tolong', 'batu', '']</t>
  </si>
  <si>
    <t>['jaringan', 'lambat', 'bayar', 'tagihan', 'layanan', 'bagus', 'telkom', 'mengambil', 'untung']</t>
  </si>
  <si>
    <t>['aplikasi', 'usefull', 'bayar', 'tagihan', 'dirumah', 'pantau', 'pemakaian', 'internet', 'thanks', 'telkom']</t>
  </si>
  <si>
    <t>['wifi', 'indihome', 'loss', 'stabil', 'pagi', 'siang', 'malem', 'down', 'pagi', 'trading', 'down', 'mengganggu', 'kerja', 'komen', 'layar', 'kb', 'spt', 'perbaikan', 'lbh', 'cari', 'ganti']</t>
  </si>
  <si>
    <t>['mantul', 'bayar', 'mudah', 'cek', 'penggunaan', 'inet', 'recomend', '']</t>
  </si>
  <si>
    <t>['jelek', 'banget', 'aplikasinya', 'tip', 'buka', 'halam', 'loading', 'mulu', 'lelet', 'banget', 'loading', 'ngak', 'aplikasinya']</t>
  </si>
  <si>
    <t>['jangkauan', 'luas', 'tdak', 'tersedia', 'ditempatku', 'payah', '']</t>
  </si>
  <si>
    <t>['dicoba', 'berkali', 'kali', 'seminggu', 'muncul', 'tulisan', 'user', 'blocked', 'salahku', 'bayar', 'ontime', 'trus', '']</t>
  </si>
  <si>
    <t>['membantu', 'pengecekan', 'tagihan']</t>
  </si>
  <si>
    <t>['aplikasi', 'membantu', 'cek', 'tagihan', 'beli', 'paket', 'addon']</t>
  </si>
  <si>
    <t>['byar', 'via', 'saldo', 'myindihome', 'gmn', '']</t>
  </si>
  <si>
    <t>['wifi', 'lemot', 'malam', 'bayar', 'mahal', 'kualitas', '']</t>
  </si>
  <si>
    <t>['buruk', 'banget', 'pelayanan', 'update', 'log', 'chat', 'proses', '']</t>
  </si>
  <si>
    <t>['aplikasi', 'berak', 'nga', 'masuk']</t>
  </si>
  <si>
    <t>['biasaaa', 'membantu', '']</t>
  </si>
  <si>
    <t>['pantau', 'pemakaian', 'internet', 'manapun']</t>
  </si>
  <si>
    <t>['cek', 'tagihan', 'upgrade', 'layanan', 'lapor', 'gangguan', 'rumah', 'membantu', 'mempermudah', 'thanks', 'telkom', '']</t>
  </si>
  <si>
    <t>['aplikasinya', 'useful', 'banget']</t>
  </si>
  <si>
    <t>['bagus', 'ditingkatkan', 'apknya', 'bugnya', 'diminimalisir', 'laporan', 'gangguan', 'hemat', 'pulsa', 'cek', 'fup', 'tagihan', 'semoga', 'update', 'kedepannya', 'bagus', '']</t>
  </si>
  <si>
    <t>['user', 'experience', 'mudah', 'dimengerti', 'detail', 'informasi']</t>
  </si>
  <si>
    <t>['jelek', 'banget', 'pelayanannya']</t>
  </si>
  <si>
    <t>['membantu', 'pembayaran']</t>
  </si>
  <si>
    <t>['mantap', 'lord']</t>
  </si>
  <si>
    <t>['nyesel', 'update', 'aplikasi', 'akun', 'ribet', 'bngt', 'proses']</t>
  </si>
  <si>
    <t>['app', 'useful', 'keren', 'bayar', 'tagihan', 'rumah', 'nyaman', 'terima', 'kasih', 'indihome']</t>
  </si>
  <si>
    <t>['lyanan', 'indihome', 'terbaik']</t>
  </si>
  <si>
    <t>['aplikasi', 'usefull', '']</t>
  </si>
  <si>
    <t>['aplikasi', 'myindihome', 'laporan', 'gangguan', 'cek', 'fup', 'cek', 'paket', 'upgrade', 'speed', 'demand', 'kece', '']</t>
  </si>
  <si>
    <t>['membantu', 'informasi', 'tagihan', 'pelaporan', 'keluhan']</t>
  </si>
  <si>
    <t>['keren', 'bayar', 'tagihan', 'rumah', 'usefull', 'banget', 'pokonya']</t>
  </si>
  <si>
    <t>['aplikasinya', 'usefull', 'banget']</t>
  </si>
  <si>
    <t>['terbaik', 'kak', 'memudahkan', 'report', 'pantau', 'pemakaian', 'mudah', 'semoga', 'berkembang', 'apps']</t>
  </si>
  <si>
    <t>['', 'ribet', 'bayar', 'tagihan', 'rumah', 'nyaman', 'pantau', 'penggunaan', '']</t>
  </si>
  <si>
    <t>['mantap', 'aplikasinya', 'usefull', 'banget']</t>
  </si>
  <si>
    <t>['pantau', 'internet', 'mudah', 'dimana']</t>
  </si>
  <si>
    <t>['akhirnyaaaa', 'pantau', 'pemakaian', 'internet', 'mudah']</t>
  </si>
  <si>
    <t>['masukin', 'nomor', 'indihome', 'gagal', 'mulu', '']</t>
  </si>
  <si>
    <t>['', 'telpon', 'email', 'koq', 'terdaftar', 'gimana', '']</t>
  </si>
  <si>
    <t>['suka', 'lemot', 'kecepatan', 'mbps']</t>
  </si>
  <si>
    <t>['bilangnya', 'bonus', 'iflix', 'vip', 'gda', 'bonus', 'ketipu', 'kaya', 'gni']</t>
  </si>
  <si>
    <t>['odp', 'penuh', 'indihome', 'peminatnya', 'odp', 'penuh', 'susah', 'pasang', 'indihome']</t>
  </si>
  <si>
    <t>['alhamdulillah', 'terimakasih', 'respon', 'nyaa', 'dln', 'tempo', 'jam', 'terselesaikan', 'maaf', 'emosiii', '']</t>
  </si>
  <si>
    <t>['maaf', 'udah', 'masuk', 'kekuarkan', 'otomatis', '']</t>
  </si>
  <si>
    <t>['download', 'masuk', 'aplikasinya', 'mohon', 'diperbaiki', 'terima', 'kasih', '']</t>
  </si>
  <si>
    <t>['dapan', 'pin', 'saldo', 'dapatin', 'pin', 'saldo', 'pengaduan', 'kemana', 'renew', 'speed', 'mintak', 'pin', 'saldo', 'terimakasih']</t>
  </si>
  <si>
    <t>['harga', 'flat', 'dikit', 'tks']</t>
  </si>
  <si>
    <t>['pakai', 'indihome', 'november', 'srkg', 'alhamdulilah', 'kebutuhan', 'berhubungan', 'denga', 'online', 'bisnis', 'online', 'berjalan', 'lancar', 'kendala', 'pokoknya', 'setia', 'deh', 'ama', 'indihome', 'terimakasih', 'indihome', 'sukses', '']</t>
  </si>
  <si>
    <t>['mudah', 'cek', 'status', 'tagihan', 'penyampaian', 'perbaikan', '']</t>
  </si>
  <si>
    <t>['informatif']</t>
  </si>
  <si>
    <t>['minggu', 'pemasangan', 'useetv', 'blom']</t>
  </si>
  <si>
    <t>['jangkauan', 'msh', 'terbatas', 'odp', 'penuh', 'pelanggan', 'pasang', 'semoga', 'izin', 'perusahaan', 'asing', 'masuk', 'gebrakan', '']</t>
  </si>
  <si>
    <t>['fitur', 'keren']</t>
  </si>
  <si>
    <t>['payah', 'customer', 'service', 'suruh', 'download', 'myindihome', 'udh', 'didownload', 'aplikasinya', 'pakai', 'smpe', 'isi', 'indihome', 'error', 'sistemnya']</t>
  </si>
  <si>
    <t>['aplikasinya', 'kaga', 'kaga', 'log']</t>
  </si>
  <si>
    <t>['acount', 'myindihome', 'hilang', 'mengecek', 'udh', 'kecewa', 'banget', '']</t>
  </si>
  <si>
    <t>['mantab', 'dlm', '']</t>
  </si>
  <si>
    <t>['login', 'sudag', 'berulang', 'kali', 'coba']</t>
  </si>
  <si>
    <t>['ping', 'signal', 'sampahhhh']</t>
  </si>
  <si>
    <t>['respon', 'humanis', '']</t>
  </si>
  <si>
    <t>['tolong', 'diperbaiki', 'koneksinya', 'lemot', 'responsnya']</t>
  </si>
  <si>
    <t>['fiturnya']</t>
  </si>
  <si>
    <t>['tampilan', 'oke', 'paham', 'update', 'terbaru']</t>
  </si>
  <si>
    <t>['very', 'bad', 'quality', 'signal', 'unstabill', 'network', 'high', 'ping', 'and', 'lag', 'full', 'repair', 'your', 'network', 'keep', 'your', 'customers', 'thanks']</t>
  </si>
  <si>
    <t>['apk', 'lengkap', 'bagus', 'semoga', 'kedepan']</t>
  </si>
  <si>
    <t>['myindihome', 'mudah', 'pengecekan', 'tagihan', 'pembayaran', 'langsung', 'aplikasi', 'debit', 'kartu', 'kredit', '']</t>
  </si>
  <si>
    <t>['cepet', 'komplain', 'sosial', 'media', 'instagram', 'kali', 'laporan', 'selesai', 'modem', 'los', 'konfirmasi', 'teknisinya', 'csnya']</t>
  </si>
  <si>
    <t>['official', 'receipt', 'juli', 'september', 'dikasih', '']</t>
  </si>
  <si>
    <t>['aplikasi', 'gelap', '']</t>
  </si>
  <si>
    <t>['respon', 'lambat', 'pengaduan', 'tanggapan', 'jaringan', 'putus', 'putus', 'menggangu', 'ganguan', 'berlanjut']</t>
  </si>
  <si>
    <t>['bagus', 'membantu']</t>
  </si>
  <si>
    <t>['upgrade', 'tampilan', 'menarik', 'semoga', 'bug', '']</t>
  </si>
  <si>
    <t>['bagus', 'aplikasi', 'myindihome', 'mudah', 'akses', 'akses', 'internet']</t>
  </si>
  <si>
    <t>['oke', 'aplikasi', '']</t>
  </si>
  <si>
    <t>['sinyal', 'kadang', 'stabil', 'kadang']</t>
  </si>
  <si>
    <t>['love', '']</t>
  </si>
  <si>
    <t>['aplikasinya', 'bagus', 'informatif', 'mudah', 'dijalankan', 'kadang', 'lambat', 'loadingnya', 'smoga', 'kedepan', 'lbh', 'cepat', 'stabil', 'jaringannya', '']</t>
  </si>
  <si>
    <t>['gimana', 'mengembalikan', 'akun', 'log', 'out', 'akibat', 'update', 'app', 'kah', 'hrs', 'daftar', 'ulang', '']</t>
  </si>
  <si>
    <t>['keep', 'rada', 'bingung', 'dikit', 'simple']</t>
  </si>
  <si>
    <t>['mantabbbb', '']</t>
  </si>
  <si>
    <t>['pakai', 'indihome', 'keluhan', 'sinyal', 'wifi', 'rumah', 'semoga', '']</t>
  </si>
  <si>
    <t>['bagus', 'banget', 'kereeeen', 'banget', 'kedepannya', 'yaaa']</t>
  </si>
  <si>
    <t>['kaget', 'buka', 'applikasi', 'myindihome', 'suruh', 'masukkan', 'email', 'password', 'bilangnya', 'salah', 'coba', 'smpai', 'besoknya', 'point', 'gratis', 'telpon', 'menit', 'applikasi', 'hilang', 'pandemi', 'anak', 'ku', 'belajar', 'onlinenya', 'lancar', 'jaya', 'trimakasih', 'myindihome', '']</t>
  </si>
  <si>
    <t>['segi', 'nyaman']</t>
  </si>
  <si>
    <t>['memudahkan', 'bangett', 'indihome', 'semoga', 'membantu', 'aamiin']</t>
  </si>
  <si>
    <t>['bnyk', 'support', 'indihome', 'aplikasi', 'komplit', 'semoga', 'support', 'menyusul']</t>
  </si>
  <si>
    <t>['manajemen', 'indihome', 'urat', 'malunya', 'dikomplain', 'berkali', 'phone', 'email', 'asa', 'penyelesaian', 'tgl', 'agt', 'pengajuan', 'pindah', 'alamat', 'smp', 'sep', 'realisasinya', 'muncul', 'billing', 'full', 'muali', 'agt', 'geblek', 'abis', 'pikir', 'perusahaan', 'bumn', 'kek', 'gini', '']</t>
  </si>
  <si>
    <t>['trims', '']</t>
  </si>
  <si>
    <t>['update', 'iconx', 'robot', 'hijau', 'masuk', '']</t>
  </si>
  <si>
    <t>['aplikasi', 'bermanfaat', 'komplen', 'gampang', 'gampang', 'tagihan']</t>
  </si>
  <si>
    <t>['', 'slow', 'respon', '']</t>
  </si>
  <si>
    <t>['pelayanan', 'buruk', 'sebulan', 'berlangganan', 'los', 'merah', 'alasannya', 'gangguan', 'massal', 'gangguan', 'masal', 'tetangga', 'sebelah', 'wifinya', 'central', 'dicabut', 'wifi', 'orang', 'teknisi', 'bayar', 'hrus', 'full', 'nian']</t>
  </si>
  <si>
    <t>['niatnya', 'upgrade', 'mbps', 'mbps', 'dicancel', 'turun', 'mbps', 'mengecewakan', 'tiket', 'pengaduan', 'aplikasi', 'direspon', '']</t>
  </si>
  <si>
    <t>['mohon', 'pencerahannya', 'min', 'sulit', 'banget', 'masukin', 'pelanggan', 'gagal', 'gmn', 'solusinya']</t>
  </si>
  <si>
    <t>['tampilan', 'segar', 'fresh', 'sukses']</t>
  </si>
  <si>
    <t>['liga', 'champion', 'indihome', '']</t>
  </si>
  <si>
    <t>['bagusan', 'myindihome', 'metode', 'pembayaran', 'link']</t>
  </si>
  <si>
    <t>['mantap', 'aplikasinya', 'mudah', 'suka', '']</t>
  </si>
  <si>
    <t>['mantap', 'aplikasi', 'myindihome', 'terbaru', 'tampilan', 'keren', 'menu', 'lengkap', 'responsif', 'pembayaran', 'aplikasi', 'myindihome', 'tambahan', 'biaya', 'admin', 'linkaja', 'mobile', 'banking', '']</t>
  </si>
  <si>
    <t>['lancar', 'recomended']</t>
  </si>
  <si>
    <t>['tampilan', 'myindihome', 'kali', 'menarik', 'data', 'terpakai']</t>
  </si>
  <si>
    <t>['masang', 'via', 'seles', 'internetnya', 'dikasih', 'include', 'kecewa', 'kabel', 'merk', 'klmnopq', '']</t>
  </si>
  <si>
    <t>['jaringan', 'lambat', '']</t>
  </si>
  <si>
    <t>['aplikasi', 'stabil', '']</t>
  </si>
  <si>
    <t>['indihom', '']</t>
  </si>
  <si>
    <t>['', 'pelanggan', 'kecewa', 'laporan', 'krna', 'internet', 'loss', 'stiap', 'laporan', 'tindakan', 'teknisi', 'besok', 'loss', 'tgl', 'sept', 'laporan', 'krna', 'loss', 'smpe', 'skrng', 'teknisi', 'dtng', 'pdhl', 'bayar']</t>
  </si>
  <si>
    <t>['bagus', 'bagus', 'good']</t>
  </si>
  <si>
    <t>['aplikasi', 'bagus', 'membantu', 'banget', 'pokoknya', 'sip']</t>
  </si>
  <si>
    <t>['', 'indihome', 'memudahkan', 'konsumen', 'laporan', 'jaringan', 'dirumah', 'langsung', 'respond', 'menit', 'perbaikan', 'langsung', 'diselesaikan', 'besok', 'haridalam', 'jam', 'terima', 'kasih', 'indihome']</t>
  </si>
  <si>
    <t>['update', 'fitur', 'gampng', 'dipahami', 'versi', 'versi', 'lemot', 'banget', 'udah', 'lumayan', 'oke', 'pokoknya']</t>
  </si>
  <si>
    <t>['pelanggan', 'kesal', 'pelayanan', 'perbaikan', 'kerusakan', 'layanan', 'indihome', 'teknisi', 'pilihan', 'indihome', 'kacau']</t>
  </si>
  <si>
    <t>['parah', 'home', 'home', 'mending', 'aplikasi', 'tampilan', 'poin', 'ilang', 'penggunaan', 'fup', 'nggak', 'dll', 'mengecewakan', 'mending', '']</t>
  </si>
  <si>
    <t>['oke', 'kak', '']</t>
  </si>
  <si>
    <t>['selamat', 'tinggal', 'indihome', 'berlangganan', 'enak', 'penjelasan', 'memuaskan', '']</t>
  </si>
  <si>
    <t>['pemasangan', 'udah', 'kabar', 'ribet', 'kaya', 'pinjol', 'fota', 'foto', 'mulu']</t>
  </si>
  <si>
    <t>['teruntuk', 'indihome', 'kecewa', 'kecepatan', 'internet', 'lemot', 'pasang', 'indihome', 'kecepatan', 'mbps', 'upload', 'video', 'youtube', 'cepat', 'banget', 'nonton', 'tiktok', 'cepat', 'banget', 'download', 'film', 'cepet', 'banget', 'nonton', 'video', 'facebook', 'cepet', 'banget', 'lemot', 'manajemen', 'indihome', 'menyarankan', 'mbps', 'kesini', 'lemot', 'nyesel', 'pasang', 'indihome', 'maintenance', 'songong', '']</t>
  </si>
  <si>
    <t>['bagus', 'membantu', 'pembaharuan', 'indihome', 'pertahankan', 'tingkatkan', 'kepuasan', 'pelayanan', 'konsumen']</t>
  </si>
  <si>
    <t>['tampilan', 'barunya', 'menarik', 'fitur', 'udah', 'komplit', 'mudah', 'cek', 'tagihan', 'cek', 'penggunaan', 'internet', 'cek', 'penggunaan', 'bonus', 'telepon', 'add', 'semoga', 'kedepannya', 'indihome', 'lgi', 'pelayanan', 'terbaik', 'pelanggan', 'setianya', '']</t>
  </si>
  <si>
    <t>['jlek']</t>
  </si>
  <si>
    <t>['senang', 'berlaganan', 'indihome', 'akses', 'pekerjaan', 'mudah', 'kerjakan', 'kampung', 'sayaa', 'sinyalnya', 'susah', 'terimakasih', 'indihome']</t>
  </si>
  <si>
    <t>['', 'ditingkatkan']</t>
  </si>
  <si>
    <t>['jaringan', 'kadang', 'nge', 'lag']</t>
  </si>
  <si>
    <t>['aplikasi', 'bagus', 'saran', 'gangguan', 'mohon', 'dipercepat', 'perbaikan', 'mesti', 'nunggu', 'antrean', 'perbaikan', 'karna', 'internet', 'salah', 'kebutuhan', 'primer', 'pemakaian', 'sehari', 'tks', '']</t>
  </si>
  <si>
    <t>['aplikasi', 'sontoloyo', 'daftar', 'udah', 'login']</t>
  </si>
  <si>
    <t>['payah', '']</t>
  </si>
  <si>
    <t>['aplikasinya', 'bagus', 'membantu', 'pelanggan', 'telkom', 'informasi', 'penggunaan', 'kendala', '']</t>
  </si>
  <si>
    <t>['download', 'aplikasi', 'mudah', 'fitur', 'fitur', 'kekinian', '']</t>
  </si>
  <si>
    <t>['kejelasannya', 'pengajuan', 'diacc', 'nggak', 'belom', 'pemasangan']</t>
  </si>
  <si>
    <t>['', 'applikasi', 'info', 'produk', 'lengkap', 'harga', 'paket', 'bervariasi', 'recomended', 'applikasi', 'informasi', 'indihome']</t>
  </si>
  <si>
    <t>['goods', 'banget']</t>
  </si>
  <si>
    <t>['keterlambatan', 'sampe', 'dibenerin', 'daya', 'kabel', 'butuh', 'sekolah', 'internet']</t>
  </si>
  <si>
    <t>['ngeleg', 'trossss']</t>
  </si>
  <si>
    <t>['bagus', 'akurat', 'pemakain', 'fup', 'indihomenya', '']</t>
  </si>
  <si>
    <t>['uptet', 'apk', 'log', 'out', 'akunya', 'suruh', 'masukan', 'emailnya', 'masukan', 'emailnya', 'login', 'tunggu', 'jam', 'tunggu', 'dri', 'jam', 'suruh', 'nunggu', 'jam', 'gimana', '']</t>
  </si>
  <si>
    <t>['pelayanan', 'mengecewakan', 'internet', 'suka', 'lola', 'gangguan', 'rumah', 'cuman', 'laptop', 'terparah', 'pagi', 'internet']</t>
  </si>
  <si>
    <t>['udah', 'lambat', 'daftar', 'aplikasinya', 'kesel', 'ganti', 'provider', 'malam', 'wifi', 'lemot', 'bayar', 'mahal', 'mahal', 'lambat', 'kek', 'siput', 'koneksinya', '']</t>
  </si>
  <si>
    <t>['jaringan', 'eror', 'sinyal', 'kenceng', 'notif', 'jaringan', 'memiliki', 'akses', 'internet', 'bayar', 'gapernah', 'telat', 'tolong', 'perbaiki']</t>
  </si>
  <si>
    <t>['rajin', 'bayar', 'dikasih', 'gangguan', 'mending', 'rubuhin', 'gih', 'tower', 'cape', 'ngaduin', 'keluhan', 'mulu']</t>
  </si>
  <si>
    <t>['udah', 'capek', 'komplain', 'kecepatan', 'internet', 'kacau', 'tanggal', 'mbps', 'turun', 'kadang', 'jaringan', 'hilang', 'ogah', 'komplain', 'pindah', 'nyari', 'stabil', 'menjelekkan', 'kenyataan', 'ampek', 'males', 'komplain', '']</t>
  </si>
  <si>
    <t>['gangguan', 'ngga', 'langsung', 'penanganan', 'nlp', 'orang', 'lapangan', 'undur', 'coba', 'diperbaiki', '']</t>
  </si>
  <si>
    <t>['udah', 'logindan', 'normal', 'login', 'tulisan', 'terdaftar']</t>
  </si>
  <si>
    <t>['seep', 'joss', 'josss']</t>
  </si>
  <si>
    <t>['indhome', 'keren', 'kadang', 'ngelag', 'hujan']</t>
  </si>
  <si>
    <t>['koq', 'login', 'indihome', 'yach', '']</t>
  </si>
  <si>
    <t>['halo', 'indihome', 'tercinta', 'tiket', 'proses', 'kekurangan', 'tehnisi', 'akibat', 'covid', 'karna', 'tehnisinya', 'rumahkan', 'ngakunya', 'perusahaan', 'plat', 'merah', 'pelayanan', 'buruk', 'heran', 'costumer', 'lari', 'provider', 'laen']</t>
  </si>
  <si>
    <t>['tolong', 'perbaiki', 'update', 'masuk', 'masuk', 'tetep']</t>
  </si>
  <si>
    <t>['tampilan', 'terbaru', 'menarik', 'keren', '']</t>
  </si>
  <si>
    <t>['kereeennnn']</t>
  </si>
  <si>
    <t>['payah', 'melebihi', 'rentenir', 'lupa', 'langsung', 'denda', 'layanan', 'dimatikan', 'giliran', 'alasan', 'gangguan', 'maaf', 'pandemi', 'ppkm', 'internet', 'kebutuhan', 'dasar', 'bumn']</t>
  </si>
  <si>
    <t>['udah', 'kaka', 'internet', 'lelet', 'kemarin', 'sya', 'telat', 'pembayaran', 'dibayar', 'perubahan', '']</t>
  </si>
  <si>
    <t>['pengaktifan', 'layanan', 'buruk', 'layanannya']</t>
  </si>
  <si>
    <t>['selesai', 'pemasangan', 'pembayaran', 'indihome', 'aplikasi', 'berubah', 'proses', 'berlangganannya', 'kecewa']</t>
  </si>
  <si>
    <t>['makasih', 'myindihome', 'bantuannya']</t>
  </si>
  <si>
    <t>['aplikasi', 'keren', 'uptodate', 'bayar', 'pakai', 'linkaja', 'membebaskan', 'pengguna', 'bebas', 'biaya', 'admin', 'maju', 'indihome', 'semoga', 'perkembangan', '']</t>
  </si>
  <si>
    <t>['hmm', 'aplikasinya', 'berat', 'lambat', 'diperbaiki', '']</t>
  </si>
  <si>
    <t>['lebhi', 'komplit', 'penggunaaanya', '']</t>
  </si>
  <si>
    <t>['pembayaran', 'mudah', 'debit', 'card']</t>
  </si>
  <si>
    <t>['vitur', 'aplikasi', 'mantap', 'mempermudah', 'pokoknya']</t>
  </si>
  <si>
    <t>['akses', 'akun', 'myindihome', 'say']</t>
  </si>
  <si>
    <t>['wifi', 'terkontol']</t>
  </si>
  <si>
    <t>['tingkatkan', 'yaaah', 'yaman', 'pakai', 'aplikasimu']</t>
  </si>
  <si>
    <t>['fast', 'response', 'thanks', '']</t>
  </si>
  <si>
    <t>['kasi', 'bintang', 'karna', 'proses', 'pemasangannya']</t>
  </si>
  <si>
    <t>['gabisa', 'login', 'euy']</t>
  </si>
  <si>
    <t>['lag', 'indihome', 'cacat']</t>
  </si>
  <si>
    <t>['update', 'login', 'sampe', 'gimana', '']</t>
  </si>
  <si>
    <t>['aplikasi', 'taik', 'upgrade', 'kecepatan', 'beli', 'adss', 'udah', 'tranafer', 'aktif', 'puki', '']</t>
  </si>
  <si>
    <t>['lambat']</t>
  </si>
  <si>
    <t>['daftar', 'udah', 'dipasang']</t>
  </si>
  <si>
    <t>['tolong', 'indihome', 'udah', 'minggu', 'internet', 'lemot', 'adehhh', 'gimana', 'sihhh', '']</t>
  </si>
  <si>
    <t>['login', 'hadeh', '']</t>
  </si>
  <si>
    <t>['alat', 'indikator', 'banget', 'warna', 'merah', 'berwarna', 'merah', 'laporan', 'diaplikasi', 'keterangan', 'meningkatkan', 'jaringan', 'trs', 'login', 'tunggu', 'jam', 'hadeh']</t>
  </si>
  <si>
    <t>['nomor', 'indihome', 'terbaca', 'pengisian', 'nomor', 'ngaco', 'aplikasi']</t>
  </si>
  <si>
    <t>['penanganan', 'lemot']</t>
  </si>
  <si>
    <t>['registrasi', '']</t>
  </si>
  <si>
    <t>['aplikasi', 'ndak', 'server', 'error', 'tagihan', 'beda', 'sales']</t>
  </si>
  <si>
    <t>['terbiak', 'terpercaya']</t>
  </si>
  <si>
    <t>['', 'pakai', 'aplikasi', 'tertulis', 'mbps', 'skrg', 'pakai', 'aplikasi', 'mbps', '']</t>
  </si>
  <si>
    <t>['pelayanan', 'indihome', 'pelanggan', 'puas', 'terima', 'kasih', '']</t>
  </si>
  <si>
    <t>['sippppp']</t>
  </si>
  <si>
    <t>['ribet', 'banget']</t>
  </si>
  <si>
    <t>['mengajukan', 'pindah', 'rumah']</t>
  </si>
  <si>
    <t>['tulisan', 'kesalahan', 'code', 'gatau', 'codenya']</t>
  </si>
  <si>
    <t>['jaringan', 'cacad', 'tutup', 'ngasih', 'layanan', '']</t>
  </si>
  <si>
    <t>['mohon', 'maaf', 'jaringan', 'lemot', 'biarpun', 'perbaiki', 'hasilnya', 'semoga']</t>
  </si>
  <si>
    <t>['aduh', 'perangkat', 'seamless', 'susahnya', 'ampun', 'indihome']</t>
  </si>
  <si>
    <t>['terima', 'kasih', 'app', 'akses', 'ikuti', 'instruksinya', 'buka', 'link', 'diinfokan', '']</t>
  </si>
  <si>
    <t>['aplikasi', 'haram', 'ajing']</t>
  </si>
  <si>
    <t>['tolong', 'perbaiki', 'jaringan', 'pasang', 'jaringan', 'bagus', 'bagus', 'jaringan', '']</t>
  </si>
  <si>
    <t>['internet', 'lambat', 'kecepatan', 'dibawah', 'mbps']</t>
  </si>
  <si>
    <t>['kecewa', 'pelayanan', 'gajelas', 'sinyal', 'lemot']</t>
  </si>
  <si>
    <t>['gimana', 'suruh', 'login', 'susah', 'masuknya', 'gimana', 'coba', '']</t>
  </si>
  <si>
    <t>['indihome', 'siang', 'gangguan', 'tolong', 'diperbaiki', 'rugi', 'usaha', 'anak', 'anak', 'cafe', 'bayarnya', 'telatpun', 'kena', 'denda', '']</t>
  </si>
  <si>
    <t>['gimana', 'akun', 'gabisa', 'disuruh', 'masukin', 'telpon', 'kode', 'verifikasi', 'ditungguin', 'masuk', 'masuk', 'tolong', 'kode', 'verifikasinya', 'diperbaiki', 'udah', 'dicoba', 'berkali', 'kali', 'masuk', 'masuk', 'kodenya']</t>
  </si>
  <si>
    <t>['email', 'sudh', 'bener', 'invalid', 'format', 'memuaskan']</t>
  </si>
  <si>
    <t>['', 'pemakaian', 'internetnya', 'aplikasi', 'instal', 'ulang']</t>
  </si>
  <si>
    <t>['app', 'membantu', 'memudahkan', 'keperluan', 'pelanggan', 'ribet', 'deh', '']</t>
  </si>
  <si>
    <t>['parah', 'gabisa', 'login', 'email', 'telp', 'udah', 'bener', 'tetep', 'gabisa', 'payah', '']</t>
  </si>
  <si>
    <t>['sampah', 'pasang', 'gps', 'gabisa', 'detect', 'set', 'aktif', 'udah', 'pelanggan', 'kayaknya', '']</t>
  </si>
  <si>
    <t>['penangannya', 'lambat', 'mendaftar', 'seminggu', 'proses', 'belom', 'pasang', 'kecewa', '']</t>
  </si>
  <si>
    <t>['bantuan', 'indita', 'berguna', 'banget', 'chat', 'bales', 'jaringan', 'indihome', 'pon', 'merah', 'mulu', 'udh', 'diandelin', '']</t>
  </si>
  <si>
    <t>['pengaduan', 'indihome', 'diproses', 'hubungi', 'follow', 'coba', 'lapor', 'diproses', 'cepat', 'ganti', 'bintangnya']</t>
  </si>
  <si>
    <t>['nomer', 'wms', 'terdaftra', 'aplikasi', 'app', 'indihomex']</t>
  </si>
  <si>
    <t>['enak', 'dipake', 'aplikasinya', 'semoga', 'kedepannya', 'fitur', 'disediakan', 'aplikasi', '']</t>
  </si>
  <si>
    <t>['wifi', 'malam', 'bgelag', 'tolol']</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</si>
</sst>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86"/>
    <col customWidth="1" min="4" max="27" width="8.71"/>
  </cols>
  <sheetData>
    <row r="1">
      <c r="B1" s="1" t="s">
        <v>0</v>
      </c>
      <c r="C1" s="2" t="s">
        <v>1</v>
      </c>
      <c r="D1" s="1" t="s">
        <v>2</v>
      </c>
    </row>
    <row r="2">
      <c r="A2" s="1">
        <v>1.0</v>
      </c>
      <c r="B2" s="3" t="s">
        <v>3</v>
      </c>
      <c r="C2" s="3" t="str">
        <f>IFERROR(__xludf.DUMMYFUNCTION("GOOGLETRANSLATE(B2,""id"",""en"")"),"['Service', 'MOLOR']")</f>
        <v>['Service', 'MOLOR']</v>
      </c>
      <c r="D2" s="3">
        <v>1.0</v>
      </c>
    </row>
    <row r="3">
      <c r="A3" s="1">
        <v>2.0</v>
      </c>
      <c r="B3" s="3" t="s">
        <v>4</v>
      </c>
      <c r="C3" s="3" t="str">
        <f>IFERROR(__xludf.DUMMYFUNCTION("GOOGLETRANSLATE(B3,""id"",""en"")"),"['Severe', 'network', 'signal', 'jumper', 'use', 'Maen', 'game', 'as a result', 'slow', 'severe', 'disappointed', 'heavy', ' customer', '']")</f>
        <v>['Severe', 'network', 'signal', 'jumper', 'use', 'Maen', 'game', 'as a result', 'slow', 'severe', 'disappointed', 'heavy', ' customer', '']</v>
      </c>
      <c r="D3" s="3">
        <v>1.0</v>
      </c>
    </row>
    <row r="4">
      <c r="A4" s="1">
        <v>4.0</v>
      </c>
      <c r="B4" s="3" t="s">
        <v>5</v>
      </c>
      <c r="C4" s="3" t="str">
        <f>IFERROR(__xludf.DUMMYFUNCTION("GOOGLETRANSLATE(B4,""id"",""en"")"),"['slow']")</f>
        <v>['slow']</v>
      </c>
      <c r="D4" s="3">
        <v>1.0</v>
      </c>
    </row>
    <row r="5">
      <c r="A5" s="1">
        <v>5.0</v>
      </c>
      <c r="B5" s="3" t="s">
        <v>6</v>
      </c>
      <c r="C5" s="3" t="str">
        <f>IFERROR(__xludf.DUMMYFUNCTION("GOOGLETRANSLATE(B5,""id"",""en"")"),"['internet', 'access',' review ',' network ',' as good ',' pairs', 'here', 'severe', 'connection', 'internet', 'visit', 'technician', ' Changes', 'technicians',' pro ',' bills', 'walk', 'enjoy', 'service', 'if', 'Points',' love ', ""]")</f>
        <v>['internet', 'access',' review ',' network ',' as good ',' pairs', 'here', 'severe', 'connection', 'internet', 'visit', 'technician', ' Changes', 'technicians',' pro ',' bills', 'walk', 'enjoy', 'service', 'if', 'Points',' love ', "]</v>
      </c>
      <c r="D5" s="3">
        <v>1.0</v>
      </c>
    </row>
    <row r="6">
      <c r="A6" s="1">
        <v>6.0</v>
      </c>
      <c r="B6" s="3" t="s">
        <v>7</v>
      </c>
      <c r="C6" s="3" t="str">
        <f>IFERROR(__xludf.DUMMYFUNCTION("GOOGLETRANSLATE(B6,""id"",""en"")"),"['useful']")</f>
        <v>['useful']</v>
      </c>
      <c r="D6" s="3">
        <v>4.0</v>
      </c>
    </row>
    <row r="7">
      <c r="A7" s="1">
        <v>7.0</v>
      </c>
      <c r="B7" s="3" t="s">
        <v>8</v>
      </c>
      <c r="C7" s="3" t="str">
        <f>IFERROR(__xludf.DUMMYFUNCTION("GOOGLETRANSLATE(B7,""id"",""en"")"),"['already', 'a year', 'subscription', 'Indihome', 'at home', 'internet', 'good', 'cable', 'good']")</f>
        <v>['already', 'a year', 'subscription', 'Indihome', 'at home', 'internet', 'good', 'cable', 'good']</v>
      </c>
      <c r="D7" s="3">
        <v>5.0</v>
      </c>
    </row>
    <row r="8">
      <c r="A8" s="1">
        <v>8.0</v>
      </c>
      <c r="B8" s="3" t="s">
        <v>9</v>
      </c>
      <c r="C8" s="3" t="str">
        <f>IFERROR(__xludf.DUMMYFUNCTION("GOOGLETRANSLATE(B8,""id"",""en"")"),"['Sya', 'Install', 'Application', 'Indihome', 'GMN']")</f>
        <v>['Sya', 'Install', 'Application', 'Indihome', 'GMN']</v>
      </c>
      <c r="D8" s="3">
        <v>3.0</v>
      </c>
    </row>
    <row r="9">
      <c r="A9" s="1">
        <v>9.0</v>
      </c>
      <c r="B9" s="3" t="s">
        <v>10</v>
      </c>
      <c r="C9" s="3" t="str">
        <f>IFERROR(__xludf.DUMMYFUNCTION("GOOGLETRANSLATE(B9,""id"",""en"")"),"['Price', 'Tetep', 'Lemot', 'Position', 'Cisuda', 'Riverside', 'Sukabumi']")</f>
        <v>['Price', 'Tetep', 'Lemot', 'Position', 'Cisuda', 'Riverside', 'Sukabumi']</v>
      </c>
      <c r="D9" s="3">
        <v>1.0</v>
      </c>
    </row>
    <row r="10">
      <c r="A10" s="1">
        <v>10.0</v>
      </c>
      <c r="B10" s="3" t="s">
        <v>11</v>
      </c>
      <c r="C10" s="3" t="str">
        <f>IFERROR(__xludf.DUMMYFUNCTION("GOOGLETRANSLATE(B10,""id"",""en"")"),"['Steady', 'Indihom', 'Hopefully', 'smooth', ""]")</f>
        <v>['Steady', 'Indihom', 'Hopefully', 'smooth', "]</v>
      </c>
      <c r="D10" s="3">
        <v>4.0</v>
      </c>
    </row>
    <row r="11">
      <c r="A11" s="1">
        <v>11.0</v>
      </c>
      <c r="B11" s="3" t="s">
        <v>12</v>
      </c>
      <c r="C11" s="3" t="str">
        <f>IFERROR(__xludf.DUMMYFUNCTION("GOOGLETRANSLATE(B11,""id"",""en"")"),"['save', 'expenditure', 'monthly', '']")</f>
        <v>['save', 'expenditure', 'monthly', '']</v>
      </c>
      <c r="D11" s="3">
        <v>5.0</v>
      </c>
    </row>
    <row r="12">
      <c r="A12" s="1">
        <v>12.0</v>
      </c>
      <c r="B12" s="3" t="s">
        <v>13</v>
      </c>
      <c r="C12" s="3" t="str">
        <f>IFERROR(__xludf.DUMMYFUNCTION("GOOGLETRANSLATE(B12,""id"",""en"")"),"['Mantab', 'APK', 'Version', 'Trimunya', 'Network', 'Smooth', 'Thank you', 'Hiuuu']")</f>
        <v>['Mantab', 'APK', 'Version', 'Trimunya', 'Network', 'Smooth', 'Thank you', 'Hiuuu']</v>
      </c>
      <c r="D12" s="3">
        <v>5.0</v>
      </c>
    </row>
    <row r="13">
      <c r="A13" s="1">
        <v>13.0</v>
      </c>
      <c r="B13" s="3" t="s">
        <v>14</v>
      </c>
      <c r="C13" s="3" t="str">
        <f>IFERROR(__xludf.DUMMYFUNCTION("GOOGLETRANSLATE(B13,""id"",""en"")"),"['thank God', 'blessings', 'application', 'easy']")</f>
        <v>['thank God', 'blessings', 'application', 'easy']</v>
      </c>
      <c r="D13" s="3">
        <v>5.0</v>
      </c>
    </row>
    <row r="14">
      <c r="A14" s="1">
        <v>14.0</v>
      </c>
      <c r="B14" s="3" t="s">
        <v>15</v>
      </c>
      <c r="C14" s="3" t="str">
        <f>IFERROR(__xludf.DUMMYFUNCTION("GOOGLETRANSLATE(B14,""id"",""en"")"),"['account', 'balance', 'missing', 'update']")</f>
        <v>['account', 'balance', 'missing', 'update']</v>
      </c>
      <c r="D14" s="3">
        <v>1.0</v>
      </c>
    </row>
    <row r="15">
      <c r="A15" s="1">
        <v>15.0</v>
      </c>
      <c r="B15" s="3" t="s">
        <v>16</v>
      </c>
      <c r="C15" s="3" t="str">
        <f>IFERROR(__xludf.DUMMYFUNCTION("GOOGLETRANSLATE(B15,""id"",""en"")"),"['compensation', 'comparable', 'disorder', 'different', 'PLN', 'BUMN', '']")</f>
        <v>['compensation', 'comparable', 'disorder', 'different', 'PLN', 'BUMN', '']</v>
      </c>
      <c r="D15" s="3">
        <v>1.0</v>
      </c>
    </row>
    <row r="16">
      <c r="A16" s="1">
        <v>16.0</v>
      </c>
      <c r="B16" s="3" t="s">
        <v>17</v>
      </c>
      <c r="C16" s="3" t="str">
        <f>IFERROR(__xludf.DUMMYFUNCTION("GOOGLETRANSLATE(B16,""id"",""en"")"),"['Alhamdulillah', 'Application', 'Indihome', 'Offer', 'Enter', 'BLM', 'Stable', 'Please', 'Fix', 'Stable', 'Hopefully', 'Service', ' Completing ',' Profile ',' Percent ',' Yesterday ',' Percent ',' Complete ',' Try ',' repeat ',' times', 'BLM', 'Please', "&amp;"'DSEGERA', 'Fix', 'fix' , 'System', 'comfortable', 'violated', 'use it']")</f>
        <v>['Alhamdulillah', 'Application', 'Indihome', 'Offer', 'Enter', 'BLM', 'Stable', 'Please', 'Fix', 'Stable', 'Hopefully', 'Service', ' Completing ',' Profile ',' Percent ',' Yesterday ',' Percent ',' Complete ',' Try ',' repeat ',' times', 'BLM', 'Please', 'DSEGERA', 'Fix', 'fix' , 'System', 'comfortable', 'violated', 'use it']</v>
      </c>
      <c r="D16" s="3">
        <v>5.0</v>
      </c>
    </row>
    <row r="17">
      <c r="A17" s="1">
        <v>17.0</v>
      </c>
      <c r="B17" s="3" t="s">
        <v>18</v>
      </c>
      <c r="C17" s="3" t="str">
        <f>IFERROR(__xludf.DUMMYFUNCTION("GOOGLETRANSLATE(B17,""id"",""en"")"),"['Please', 'network', 'wifi', 'at home', 'slow', 'really', 'call', 'connect', 'maen', 'game', 'online', 'try', ' Connect ',' WiFi ',' smooth ',' subscribe ',' service ',' connection ',' internet ',' ugly ',' please ',' severe ',' really ']")</f>
        <v>['Please', 'network', 'wifi', 'at home', 'slow', 'really', 'call', 'connect', 'maen', 'game', 'online', 'try', ' Connect ',' WiFi ',' smooth ',' subscribe ',' service ',' connection ',' internet ',' ugly ',' please ',' severe ',' really ']</v>
      </c>
      <c r="D17" s="3">
        <v>1.0</v>
      </c>
    </row>
    <row r="18">
      <c r="A18" s="1">
        <v>18.0</v>
      </c>
      <c r="B18" s="3" t="s">
        <v>19</v>
      </c>
      <c r="C18" s="3" t="str">
        <f>IFERROR(__xludf.DUMMYFUNCTION("GOOGLETRANSLATE(B18,""id"",""en"")"),"['Help', 'Satisfied', 'Wear', 'APK', 'Indihome', '']")</f>
        <v>['Help', 'Satisfied', 'Wear', 'APK', 'Indihome', '']</v>
      </c>
      <c r="D18" s="3">
        <v>5.0</v>
      </c>
    </row>
    <row r="19">
      <c r="A19" s="1">
        <v>19.0</v>
      </c>
      <c r="B19" s="3" t="s">
        <v>20</v>
      </c>
      <c r="C19" s="3" t="str">
        <f>IFERROR(__xludf.DUMMYFUNCTION("GOOGLETRANSLATE(B19,""id"",""en"")"),"['Jelekkk']")</f>
        <v>['Jelekkk']</v>
      </c>
      <c r="D19" s="3">
        <v>1.0</v>
      </c>
    </row>
    <row r="20">
      <c r="A20" s="1">
        <v>20.0</v>
      </c>
      <c r="B20" s="3" t="s">
        <v>21</v>
      </c>
      <c r="C20" s="3" t="str">
        <f>IFERROR(__xludf.DUMMYFUNCTION("GOOGLETRANSLATE(B20,""id"",""en"")"),"Of course")</f>
        <v>Of course</v>
      </c>
      <c r="D20" s="3">
        <v>5.0</v>
      </c>
    </row>
    <row r="21" ht="15.75" customHeight="1">
      <c r="A21" s="1">
        <v>21.0</v>
      </c>
      <c r="B21" s="3" t="s">
        <v>22</v>
      </c>
      <c r="C21" s="3" t="str">
        <f>IFERROR(__xludf.DUMMYFUNCTION("GOOGLETRANSLATE(B21,""id"",""en"")"),"['', 'Log', 'Donggh']")</f>
        <v>['', 'Log', 'Donggh']</v>
      </c>
      <c r="D21" s="3">
        <v>1.0</v>
      </c>
    </row>
    <row r="22" ht="15.75" customHeight="1">
      <c r="A22" s="1">
        <v>22.0</v>
      </c>
      <c r="B22" s="3" t="s">
        <v>23</v>
      </c>
      <c r="C22" s="3" t="str">
        <f>IFERROR(__xludf.DUMMYFUNCTION("GOOGLETRANSLATE(B22,""id"",""en"")"),"['Ngentod', 'Maen', 'ROBLOX', 'PING', 'SOMET', 'VPN', 'JUBLOW', 'PING', 'intention', 'WiFi', 'Ush', 'Udh', ' Pay ',' Rebu ',' Ngelag ',' Mending ',' Quota ']")</f>
        <v>['Ngentod', 'Maen', 'ROBLOX', 'PING', 'SOMET', 'VPN', 'JUBLOW', 'PING', 'intention', 'WiFi', 'Ush', 'Udh', ' Pay ',' Rebu ',' Ngelag ',' Mending ',' Quota ']</v>
      </c>
      <c r="D22" s="3">
        <v>1.0</v>
      </c>
    </row>
    <row r="23" ht="15.75" customHeight="1">
      <c r="A23" s="1">
        <v>23.0</v>
      </c>
      <c r="B23" s="3" t="s">
        <v>24</v>
      </c>
      <c r="C23" s="3" t="str">
        <f>IFERROR(__xludf.DUMMYFUNCTION("GOOGLETRANSLATE(B23,""id"",""en"")"),"['happy', 'enjoy', 'service', 'application', 'version', 'newest', 'myindihome', 'newest']")</f>
        <v>['happy', 'enjoy', 'service', 'application', 'version', 'newest', 'myindihome', 'newest']</v>
      </c>
      <c r="D23" s="3">
        <v>5.0</v>
      </c>
    </row>
    <row r="24" ht="15.75" customHeight="1">
      <c r="A24" s="1">
        <v>24.0</v>
      </c>
      <c r="B24" s="3" t="s">
        <v>25</v>
      </c>
      <c r="C24" s="3" t="str">
        <f>IFERROR(__xludf.DUMMYFUNCTION("GOOGLETRANSLATE(B24,""id"",""en"")"),"['okay']")</f>
        <v>['okay']</v>
      </c>
      <c r="D24" s="3">
        <v>5.0</v>
      </c>
    </row>
    <row r="25" ht="15.75" customHeight="1">
      <c r="A25" s="1">
        <v>25.0</v>
      </c>
      <c r="B25" s="3" t="s">
        <v>26</v>
      </c>
      <c r="C25" s="3" t="str">
        <f>IFERROR(__xludf.DUMMYFUNCTION("GOOGLETRANSLATE(B25,""id"",""en"")"),"['Display', 'trendy']")</f>
        <v>['Display', 'trendy']</v>
      </c>
      <c r="D25" s="3">
        <v>5.0</v>
      </c>
    </row>
    <row r="26" ht="15.75" customHeight="1">
      <c r="A26" s="1">
        <v>26.0</v>
      </c>
      <c r="B26" s="3" t="s">
        <v>27</v>
      </c>
      <c r="C26" s="3" t="str">
        <f>IFERROR(__xludf.DUMMYFUNCTION("GOOGLETRANSLATE(B26,""id"",""en"")"),"['App', 'Increase', 'Service']")</f>
        <v>['App', 'Increase', 'Service']</v>
      </c>
      <c r="D26" s="3">
        <v>5.0</v>
      </c>
    </row>
    <row r="27" ht="15.75" customHeight="1">
      <c r="A27" s="1">
        <v>27.0</v>
      </c>
      <c r="B27" s="3" t="s">
        <v>28</v>
      </c>
      <c r="C27" s="3" t="str">
        <f>IFERROR(__xludf.DUMMYFUNCTION("GOOGLETRANSLATE(B27,""id"",""en"")"),"['Cool', 'direct', 'love', 'admin']")</f>
        <v>['Cool', 'direct', 'love', 'admin']</v>
      </c>
      <c r="D27" s="3">
        <v>5.0</v>
      </c>
    </row>
    <row r="28" ht="15.75" customHeight="1">
      <c r="A28" s="1">
        <v>28.0</v>
      </c>
      <c r="B28" s="3" t="s">
        <v>29</v>
      </c>
      <c r="C28" s="3" t="str">
        <f>IFERROR(__xludf.DUMMYFUNCTION("GOOGLETRANSLATE(B28,""id"",""en"")"),"['Compensation', 'garbage']")</f>
        <v>['Compensation', 'garbage']</v>
      </c>
      <c r="D28" s="3">
        <v>1.0</v>
      </c>
    </row>
    <row r="29" ht="15.75" customHeight="1">
      <c r="A29" s="1">
        <v>29.0</v>
      </c>
      <c r="B29" s="3" t="s">
        <v>30</v>
      </c>
      <c r="C29" s="3" t="str">
        <f>IFERROR(__xludf.DUMMYFUNCTION("GOOGLETRANSLATE(B29,""id"",""en"")"),"['Mantab', 'soul', 'easy', 'access']")</f>
        <v>['Mantab', 'soul', 'easy', 'access']</v>
      </c>
      <c r="D29" s="3">
        <v>5.0</v>
      </c>
    </row>
    <row r="30" ht="15.75" customHeight="1">
      <c r="A30" s="1">
        <v>30.0</v>
      </c>
      <c r="B30" s="3" t="s">
        <v>31</v>
      </c>
      <c r="C30" s="3" t="str">
        <f>IFERROR(__xludf.DUMMYFUNCTION("GOOGLETRANSLATE(B30,""id"",""en"")"),"['complain', 'responding', 'GBU']")</f>
        <v>['complain', 'responding', 'GBU']</v>
      </c>
      <c r="D30" s="3">
        <v>5.0</v>
      </c>
    </row>
    <row r="31" ht="15.75" customHeight="1">
      <c r="A31" s="1">
        <v>31.0</v>
      </c>
      <c r="B31" s="3" t="s">
        <v>32</v>
      </c>
      <c r="C31" s="3" t="str">
        <f>IFERROR(__xludf.DUMMYFUNCTION("GOOGLETRANSLATE(B31,""id"",""en"")"),"['TOT']")</f>
        <v>['TOT']</v>
      </c>
      <c r="D31" s="3">
        <v>1.0</v>
      </c>
    </row>
    <row r="32" ht="15.75" customHeight="1">
      <c r="A32" s="1">
        <v>32.0</v>
      </c>
      <c r="B32" s="3" t="s">
        <v>33</v>
      </c>
      <c r="C32" s="3" t="str">
        <f>IFERROR(__xludf.DUMMYFUNCTION("GOOGLETRANSLATE(B32,""id"",""en"")"),"['COK', 'Play', 'Game', 'Dead', 'NGK', 'Very', 'Emotion', 'Ampe', 'Dead', 'Display', 'Anjg', 'Indihome']")</f>
        <v>['COK', 'Play', 'Game', 'Dead', 'NGK', 'Very', 'Emotion', 'Ampe', 'Dead', 'Display', 'Anjg', 'Indihome']</v>
      </c>
      <c r="D32" s="3">
        <v>1.0</v>
      </c>
    </row>
    <row r="33" ht="15.75" customHeight="1">
      <c r="A33" s="1">
        <v>33.0</v>
      </c>
      <c r="B33" s="3" t="s">
        <v>34</v>
      </c>
      <c r="C33" s="3" t="str">
        <f>IFERROR(__xludf.DUMMYFUNCTION("GOOGLETRANSLATE(B33,""id"",""en"")"),"['update', 'newest', 'okay']")</f>
        <v>['update', 'newest', 'okay']</v>
      </c>
      <c r="D33" s="3">
        <v>4.0</v>
      </c>
    </row>
    <row r="34" ht="15.75" customHeight="1">
      <c r="A34" s="1">
        <v>34.0</v>
      </c>
      <c r="B34" s="3" t="s">
        <v>35</v>
      </c>
      <c r="C34" s="3" t="str">
        <f>IFERROR(__xludf.DUMMYFUNCTION("GOOGLETRANSLATE(B34,""id"",""en"")"),"['difficult', 'login', 'Hadeh', 'wifi', 'home', 'error', 'pay', 'use']")</f>
        <v>['difficult', 'login', 'Hadeh', 'wifi', 'home', 'error', 'pay', 'use']</v>
      </c>
      <c r="D34" s="3">
        <v>1.0</v>
      </c>
    </row>
    <row r="35" ht="15.75" customHeight="1">
      <c r="A35" s="1">
        <v>35.0</v>
      </c>
      <c r="B35" s="3" t="s">
        <v>36</v>
      </c>
      <c r="C35" s="3" t="str">
        <f>IFERROR(__xludf.DUMMYFUNCTION("GOOGLETRANSLATE(B35,""id"",""en"")"),"['Herrate', 'love', 'Indihome', 'help', 'activity', 'work', 'hope', 'indihome', 'committed', 'satisfying', 'customer', 'speed', ' stability ',' connection ',' internet ',' try ',' provider ',' tetep ',' indihome ',' best ',' dihati ',' thank ',' love ',' "&amp;"indihome ',' hope ' , 'Ingredients', ""]")</f>
        <v>['Herrate', 'love', 'Indihome', 'help', 'activity', 'work', 'hope', 'indihome', 'committed', 'satisfying', 'customer', 'speed', ' stability ',' connection ',' internet ',' try ',' provider ',' tetep ',' indihome ',' best ',' dihati ',' thank ',' love ',' indihome ',' hope ' , 'Ingredients', "]</v>
      </c>
      <c r="D35" s="3">
        <v>5.0</v>
      </c>
    </row>
    <row r="36" ht="15.75" customHeight="1">
      <c r="A36" s="1">
        <v>36.0</v>
      </c>
      <c r="B36" s="3" t="s">
        <v>37</v>
      </c>
      <c r="C36" s="3" t="str">
        <f>IFERROR(__xludf.DUMMYFUNCTION("GOOGLETRANSLATE(B36,""id"",""en"")"),"['Mantulllll']")</f>
        <v>['Mantulllll']</v>
      </c>
      <c r="D36" s="3">
        <v>5.0</v>
      </c>
    </row>
    <row r="37" ht="15.75" customHeight="1">
      <c r="A37" s="1">
        <v>38.0</v>
      </c>
      <c r="B37" s="3" t="s">
        <v>38</v>
      </c>
      <c r="C37" s="3" t="str">
        <f>IFERROR(__xludf.DUMMYFUNCTION("GOOGLETRANSLATE(B37,""id"",""en"")"),"['pulp', 'problematic', 'package', 'mbs', 'lag', 'play', 'game', ""]")</f>
        <v>['pulp', 'problematic', 'package', 'mbs', 'lag', 'play', 'game', "]</v>
      </c>
      <c r="D37" s="3">
        <v>1.0</v>
      </c>
    </row>
    <row r="38" ht="15.75" customHeight="1">
      <c r="A38" s="1">
        <v>39.0</v>
      </c>
      <c r="B38" s="3" t="s">
        <v>39</v>
      </c>
      <c r="C38" s="3" t="str">
        <f>IFERROR(__xludf.DUMMYFUNCTION("GOOGLETRANSLATE(B38,""id"",""en"")"),"['The application', 'good', 'informative', '']")</f>
        <v>['The application', 'good', 'informative', '']</v>
      </c>
      <c r="D38" s="3">
        <v>5.0</v>
      </c>
    </row>
    <row r="39" ht="15.75" customHeight="1">
      <c r="A39" s="1">
        <v>40.0</v>
      </c>
      <c r="B39" s="3" t="s">
        <v>40</v>
      </c>
      <c r="C39" s="3" t="str">
        <f>IFERROR(__xludf.DUMMYFUNCTION("GOOGLETRANSLATE(B39,""id"",""en"")"),"['', 'UDH', 'serving', 'Indihome', 'response', 'service', 'fast', 'responsive', 'hope', ""]")</f>
        <v>['', 'UDH', 'serving', 'Indihome', 'response', 'service', 'fast', 'responsive', 'hope', "]</v>
      </c>
      <c r="D39" s="3">
        <v>5.0</v>
      </c>
    </row>
    <row r="40" ht="15.75" customHeight="1">
      <c r="A40" s="1">
        <v>42.0</v>
      </c>
      <c r="B40" s="3" t="s">
        <v>41</v>
      </c>
      <c r="C40" s="3" t="str">
        <f>IFERROR(__xludf.DUMMYFUNCTION("GOOGLETRANSLATE(B40,""id"",""en"")"),"['Slow', 'response']")</f>
        <v>['Slow', 'response']</v>
      </c>
      <c r="D40" s="3">
        <v>1.0</v>
      </c>
    </row>
    <row r="41" ht="15.75" customHeight="1">
      <c r="A41" s="1">
        <v>43.0</v>
      </c>
      <c r="B41" s="3" t="s">
        <v>42</v>
      </c>
      <c r="C41" s="3" t="str">
        <f>IFERROR(__xludf.DUMMYFUNCTION("GOOGLETRANSLATE(B41,""id"",""en"")"),"['Mantulsss']")</f>
        <v>['Mantulsss']</v>
      </c>
      <c r="D41" s="3">
        <v>5.0</v>
      </c>
    </row>
    <row r="42" ht="15.75" customHeight="1">
      <c r="A42" s="1">
        <v>44.0</v>
      </c>
      <c r="B42" s="3" t="s">
        <v>43</v>
      </c>
      <c r="C42" s="3" t="str">
        <f>IFERROR(__xludf.DUMMYFUNCTION("GOOGLETRANSLATE(B42,""id"",""en"")"),"['Severe', 'Leet', 'really']")</f>
        <v>['Severe', 'Leet', 'really']</v>
      </c>
      <c r="D42" s="3">
        <v>1.0</v>
      </c>
    </row>
    <row r="43" ht="15.75" customHeight="1">
      <c r="A43" s="1">
        <v>45.0</v>
      </c>
      <c r="B43" s="3" t="s">
        <v>44</v>
      </c>
      <c r="C43" s="3" t="str">
        <f>IFERROR(__xludf.DUMMYFUNCTION("GOOGLETRANSLATE(B43,""id"",""en"")"),"['Thank you', 'Telkom', 'Internet', 'Stable', 'Activities', 'Web', 'Normal', '']")</f>
        <v>['Thank you', 'Telkom', 'Internet', 'Stable', 'Activities', 'Web', 'Normal', '']</v>
      </c>
      <c r="D43" s="3">
        <v>5.0</v>
      </c>
    </row>
    <row r="44" ht="15.75" customHeight="1">
      <c r="A44" s="1">
        <v>46.0</v>
      </c>
      <c r="B44" s="3" t="s">
        <v>45</v>
      </c>
      <c r="C44" s="3" t="str">
        <f>IFERROR(__xludf.DUMMYFUNCTION("GOOGLETRANSLATE(B44,""id"",""en"")"),"['Good', 'really', 'wrong', 'bang', 'sad', '']")</f>
        <v>['Good', 'really', 'wrong', 'bang', 'sad', '']</v>
      </c>
      <c r="D44" s="3">
        <v>2.0</v>
      </c>
    </row>
    <row r="45" ht="15.75" customHeight="1">
      <c r="A45" s="1">
        <v>47.0</v>
      </c>
      <c r="B45" s="3" t="s">
        <v>46</v>
      </c>
      <c r="C45" s="3" t="str">
        <f>IFERROR(__xludf.DUMMYFUNCTION("GOOGLETRANSLATE(B45,""id"",""en"")"),"['Recommended']")</f>
        <v>['Recommended']</v>
      </c>
      <c r="D45" s="3">
        <v>1.0</v>
      </c>
    </row>
    <row r="46" ht="15.75" customHeight="1">
      <c r="A46" s="1">
        <v>48.0</v>
      </c>
      <c r="B46" s="3" t="s">
        <v>47</v>
      </c>
      <c r="C46" s="3" t="str">
        <f>IFERROR(__xludf.DUMMYFUNCTION("GOOGLETRANSLATE(B46,""id"",""en"")"),"['love', 'star', 'already', 'improve', 'tambahi', 'star', 'abstinence', 'spirit', '']")</f>
        <v>['love', 'star', 'already', 'improve', 'tambahi', 'star', 'abstinence', 'spirit', '']</v>
      </c>
      <c r="D46" s="3">
        <v>1.0</v>
      </c>
    </row>
    <row r="47" ht="15.75" customHeight="1">
      <c r="A47" s="1">
        <v>49.0</v>
      </c>
      <c r="B47" s="3" t="s">
        <v>48</v>
      </c>
      <c r="C47" s="3" t="str">
        <f>IFERROR(__xludf.DUMMYFUNCTION("GOOGLETRANSLATE(B47,""id"",""en"")"),"['connection', 'rotten']")</f>
        <v>['connection', 'rotten']</v>
      </c>
      <c r="D47" s="3">
        <v>1.0</v>
      </c>
    </row>
    <row r="48" ht="15.75" customHeight="1">
      <c r="A48" s="1">
        <v>50.0</v>
      </c>
      <c r="B48" s="3" t="s">
        <v>49</v>
      </c>
      <c r="C48" s="3" t="str">
        <f>IFERROR(__xludf.DUMMYFUNCTION("GOOGLETRANSLATE(B48,""id"",""en"")"),"['stingy']")</f>
        <v>['stingy']</v>
      </c>
      <c r="D48" s="3">
        <v>1.0</v>
      </c>
    </row>
    <row r="49" ht="15.75" customHeight="1">
      <c r="A49" s="1">
        <v>51.0</v>
      </c>
      <c r="B49" s="3" t="s">
        <v>50</v>
      </c>
      <c r="C49" s="3" t="str">
        <f>IFERROR(__xludf.DUMMYFUNCTION("GOOGLETRANSLATE(B49,""id"",""en"")"),"['oath', 'regret', 'really', 'use', 'indihome', 'already', 'slow', 'report', 'stop', 'subscribe', 'get', 'fine', ' Pay ',' bln ',' kmrn ',' deposit ',' money ',' ought ',' already ',' got ',' pandemic ',' gini ',' want ',' economical ',' strangled ' , 'pa"&amp;"irs',' school ',' child ',' slow ',' tip ',' buy ',' package ',' continued ',' skrg ',' broke ',' hit ',' bill ',' Thinking ',' Deh ',' Install ', ""]")</f>
        <v>['oath', 'regret', 'really', 'use', 'indihome', 'already', 'slow', 'report', 'stop', 'subscribe', 'get', 'fine', ' Pay ',' bln ',' kmrn ',' deposit ',' money ',' ought ',' already ',' got ',' pandemic ',' gini ',' want ',' economical ',' strangled ' , 'pairs',' school ',' child ',' slow ',' tip ',' buy ',' package ',' continued ',' skrg ',' broke ',' hit ',' bill ',' Thinking ',' Deh ',' Install ', "]</v>
      </c>
      <c r="D49" s="3">
        <v>1.0</v>
      </c>
    </row>
    <row r="50" ht="15.75" customHeight="1">
      <c r="A50" s="1">
        <v>52.0</v>
      </c>
      <c r="B50" s="3" t="s">
        <v>51</v>
      </c>
      <c r="C50" s="3" t="str">
        <f>IFERROR(__xludf.DUMMYFUNCTION("GOOGLETRANSLATE(B50,""id"",""en"")"),"['Ticket', 'complaint', 'Nggk', 'already', 'grha', 'red', 'white', 'said', 'Wait', 'call', 'call', 'center', ' technicians', 'nggk', 'promise', 'clock', 'until', 'clock', 'jga', 'please', 'service', 'fix', 'annoying']")</f>
        <v>['Ticket', 'complaint', 'Nggk', 'already', 'grha', 'red', 'white', 'said', 'Wait', 'call', 'call', 'center', ' technicians', 'nggk', 'promise', 'clock', 'until', 'clock', 'jga', 'please', 'service', 'fix', 'annoying']</v>
      </c>
      <c r="D50" s="3">
        <v>1.0</v>
      </c>
    </row>
    <row r="51" ht="15.75" customHeight="1">
      <c r="A51" s="1">
        <v>53.0</v>
      </c>
      <c r="B51" s="3" t="s">
        <v>52</v>
      </c>
      <c r="C51" s="3" t="str">
        <f>IFERROR(__xludf.DUMMYFUNCTION("GOOGLETRANSLATE(B51,""id"",""en"")"),"['application', 'version', 'Indihome', 'heavy', 'heavy', 'additional', 'features', 'features', 'good', ""]")</f>
        <v>['application', 'version', 'Indihome', 'heavy', 'heavy', 'additional', 'features', 'features', 'good', "]</v>
      </c>
      <c r="D51" s="3">
        <v>5.0</v>
      </c>
    </row>
    <row r="52" ht="15.75" customHeight="1">
      <c r="A52" s="1">
        <v>54.0</v>
      </c>
      <c r="B52" s="3" t="s">
        <v>53</v>
      </c>
      <c r="C52" s="3" t="str">
        <f>IFERROR(__xludf.DUMMYFUNCTION("GOOGLETRANSLATE(B52,""id"",""en"")"),"['Feel', 'Use', 'Apps',' Update ',' Current ',' Update ',' Latest ',' Apps', 'Error', 'Force', 'Stop', 'Loading', ' Please ',' Fix ',' See ',' Development ',' Change ',' Bintang ',' Thank you ']")</f>
        <v>['Feel', 'Use', 'Apps',' Update ',' Current ',' Update ',' Latest ',' Apps', 'Error', 'Force', 'Stop', 'Loading', ' Please ',' Fix ',' See ',' Development ',' Change ',' Bintang ',' Thank you ']</v>
      </c>
      <c r="D52" s="3">
        <v>2.0</v>
      </c>
    </row>
    <row r="53" ht="15.75" customHeight="1">
      <c r="A53" s="1">
        <v>55.0</v>
      </c>
      <c r="B53" s="3" t="s">
        <v>54</v>
      </c>
      <c r="C53" s="3" t="str">
        <f>IFERROR(__xludf.DUMMYFUNCTION("GOOGLETRANSLATE(B53,""id"",""en"")"),"['Bug', 'presset', '']")</f>
        <v>['Bug', 'presset', '']</v>
      </c>
      <c r="D53" s="3">
        <v>1.0</v>
      </c>
    </row>
    <row r="54" ht="15.75" customHeight="1">
      <c r="A54" s="1">
        <v>56.0</v>
      </c>
      <c r="B54" s="3" t="s">
        <v>55</v>
      </c>
      <c r="C54" s="3" t="str">
        <f>IFERROR(__xludf.DUMMYFUNCTION("GOOGLETRANSLATE(B54,""id"",""en"")"),"['Ngelek', 'Yoo']")</f>
        <v>['Ngelek', 'Yoo']</v>
      </c>
      <c r="D54" s="3">
        <v>1.0</v>
      </c>
    </row>
    <row r="55" ht="15.75" customHeight="1">
      <c r="A55" s="1">
        <v>57.0</v>
      </c>
      <c r="B55" s="3" t="s">
        <v>56</v>
      </c>
      <c r="C55" s="3" t="str">
        <f>IFERROR(__xludf.DUMMYFUNCTION("GOOGLETRANSLATE(B55,""id"",""en"")"),"['Good', 'really', 'look', 'user', 'experience', 'best', 'sukak', 'deh']")</f>
        <v>['Good', 'really', 'look', 'user', 'experience', 'best', 'sukak', 'deh']</v>
      </c>
      <c r="D55" s="3">
        <v>5.0</v>
      </c>
    </row>
    <row r="56" ht="15.75" customHeight="1">
      <c r="A56" s="1">
        <v>59.0</v>
      </c>
      <c r="B56" s="3" t="s">
        <v>57</v>
      </c>
      <c r="C56" s="3" t="str">
        <f>IFERROR(__xludf.DUMMYFUNCTION("GOOGLETRANSLATE(B56,""id"",""en"")"),"['application', 'good', 'sometimes', 'obstacles', 'center']")</f>
        <v>['application', 'good', 'sometimes', 'obstacles', 'center']</v>
      </c>
      <c r="D56" s="3">
        <v>5.0</v>
      </c>
    </row>
    <row r="57" ht="15.75" customHeight="1">
      <c r="A57" s="1">
        <v>60.0</v>
      </c>
      <c r="B57" s="3" t="s">
        <v>58</v>
      </c>
      <c r="C57" s="3" t="str">
        <f>IFERROR(__xludf.DUMMYFUNCTION("GOOGLETRANSLATE(B57,""id"",""en"")"),"['Please', 'Sorry', 'Update', 'Loading', 'Cepet', 'Repaired', 'Thank you']")</f>
        <v>['Please', 'Sorry', 'Update', 'Loading', 'Cepet', 'Repaired', 'Thank you']</v>
      </c>
      <c r="D57" s="3">
        <v>1.0</v>
      </c>
    </row>
    <row r="58" ht="15.75" customHeight="1">
      <c r="A58" s="1">
        <v>61.0</v>
      </c>
      <c r="B58" s="3" t="s">
        <v>59</v>
      </c>
      <c r="C58" s="3" t="str">
        <f>IFERROR(__xludf.DUMMYFUNCTION("GOOGLETRANSLATE(B58,""id"",""en"")"),"['Application', 'difficult']")</f>
        <v>['Application', 'difficult']</v>
      </c>
      <c r="D58" s="3">
        <v>1.0</v>
      </c>
    </row>
    <row r="59" ht="15.75" customHeight="1">
      <c r="A59" s="1">
        <v>62.0</v>
      </c>
      <c r="B59" s="3" t="s">
        <v>60</v>
      </c>
      <c r="C59" s="3" t="str">
        <f>IFERROR(__xludf.DUMMYFUNCTION("GOOGLETRANSLATE(B59,""id"",""en"")"),"['good']")</f>
        <v>['good']</v>
      </c>
      <c r="D59" s="3">
        <v>5.0</v>
      </c>
    </row>
    <row r="60" ht="15.75" customHeight="1">
      <c r="A60" s="1">
        <v>63.0</v>
      </c>
      <c r="B60" s="3" t="s">
        <v>61</v>
      </c>
      <c r="C60" s="3" t="str">
        <f>IFERROR(__xludf.DUMMYFUNCTION("GOOGLETRANSLATE(B60,""id"",""en"")"),"['Provider', 'internet', 'city', 'Bengkulu', 'already', 'moved', 'heart', 'pairs',' paid ',' rb ',' disorder ',' sorry ',' It's the ',' consumer ',' late ',' pay ',' get ',' fine ', ""]")</f>
        <v>['Provider', 'internet', 'city', 'Bengkulu', 'already', 'moved', 'heart', 'pairs',' paid ',' rb ',' disorder ',' sorry ',' It's the ',' consumer ',' late ',' pay ',' get ',' fine ', "]</v>
      </c>
      <c r="D60" s="3">
        <v>1.0</v>
      </c>
    </row>
    <row r="61" ht="15.75" customHeight="1">
      <c r="A61" s="1">
        <v>64.0</v>
      </c>
      <c r="B61" s="3" t="s">
        <v>62</v>
      </c>
      <c r="C61" s="3" t="str">
        <f>IFERROR(__xludf.DUMMYFUNCTION("GOOGLETRANSLATE(B61,""id"",""en"")"),"['times', 'application', 'access', 'normal', 'install', 'run', 'normal', 'the application']")</f>
        <v>['times', 'application', 'access', 'normal', 'install', 'run', 'normal', 'the application']</v>
      </c>
      <c r="D61" s="3">
        <v>5.0</v>
      </c>
    </row>
    <row r="62" ht="15.75" customHeight="1">
      <c r="A62" s="1">
        <v>65.0</v>
      </c>
      <c r="B62" s="3" t="s">
        <v>63</v>
      </c>
      <c r="C62" s="3" t="str">
        <f>IFERROR(__xludf.DUMMYFUNCTION("GOOGLETRANSLATE(B62,""id"",""en"")"),"['The application', 'ugly', 'good', 'repair', 'ndak']")</f>
        <v>['The application', 'ugly', 'good', 'repair', 'ndak']</v>
      </c>
      <c r="D62" s="3">
        <v>1.0</v>
      </c>
    </row>
    <row r="63" ht="15.75" customHeight="1">
      <c r="A63" s="1">
        <v>66.0</v>
      </c>
      <c r="B63" s="3" t="s">
        <v>64</v>
      </c>
      <c r="C63" s="3" t="str">
        <f>IFERROR(__xludf.DUMMYFUNCTION("GOOGLETRANSLATE(B63,""id"",""en"")"),"['update', 'application', 'newest', 'slow', 'chance', 'campaign', 'indihome', 'internet', 'fast', 'access',' application ',' ']")</f>
        <v>['update', 'application', 'newest', 'slow', 'chance', 'campaign', 'indihome', 'internet', 'fast', 'access',' application ',' ']</v>
      </c>
      <c r="D63" s="3">
        <v>1.0</v>
      </c>
    </row>
    <row r="64" ht="15.75" customHeight="1">
      <c r="A64" s="1">
        <v>68.0</v>
      </c>
      <c r="B64" s="3" t="s">
        <v>65</v>
      </c>
      <c r="C64" s="3" t="str">
        <f>IFERROR(__xludf.DUMMYFUNCTION("GOOGLETRANSLATE(B64,""id"",""en"")"),"['Get', 'Notif', 'the opportunity', 'balance', 'Linkaja', 'Daei', 'aspects',' Display ',' fresh ',' aspects', 'reporting', 'constrained', ' Load ',' version ',' BTW ',' Lottery ',' Winner ',' ']")</f>
        <v>['Get', 'Notif', 'the opportunity', 'balance', 'Linkaja', 'Daei', 'aspects',' Display ',' fresh ',' aspects', 'reporting', 'constrained', ' Load ',' version ',' BTW ',' Lottery ',' Winner ',' ']</v>
      </c>
      <c r="D64" s="3">
        <v>3.0</v>
      </c>
    </row>
    <row r="65" ht="15.75" customHeight="1">
      <c r="A65" s="1">
        <v>69.0</v>
      </c>
      <c r="B65" s="3" t="s">
        <v>66</v>
      </c>
      <c r="C65" s="3" t="str">
        <f>IFERROR(__xludf.DUMMYFUNCTION("GOOGLETRANSLATE(B65,""id"",""en"")"),"['Good', 'Learning', 'Online', 'Child', 'Home', 'Internenity', 'Sateeng']")</f>
        <v>['Good', 'Learning', 'Online', 'Child', 'Home', 'Internenity', 'Sateeng']</v>
      </c>
      <c r="D65" s="3">
        <v>5.0</v>
      </c>
    </row>
    <row r="66" ht="15.75" customHeight="1">
      <c r="A66" s="1">
        <v>71.0</v>
      </c>
      <c r="B66" s="3" t="s">
        <v>67</v>
      </c>
      <c r="C66" s="3" t="str">
        <f>IFERROR(__xludf.DUMMYFUNCTION("GOOGLETRANSLATE(B66,""id"",""en"")"),"['The application', 'slow', 'rare', 'access', 'Please', 'Fix']")</f>
        <v>['The application', 'slow', 'rare', 'access', 'Please', 'Fix']</v>
      </c>
      <c r="D66" s="3">
        <v>1.0</v>
      </c>
    </row>
    <row r="67" ht="15.75" customHeight="1">
      <c r="A67" s="1">
        <v>72.0</v>
      </c>
      <c r="B67" s="3" t="s">
        <v>68</v>
      </c>
      <c r="C67" s="3" t="str">
        <f>IFERROR(__xludf.DUMMYFUNCTION("GOOGLETRANSLATE(B67,""id"",""en"")"),"['Application', 'slow', 'difficult', 'Ferifikasi', 'Wrong', 'according to', 'sent', ""]")</f>
        <v>['Application', 'slow', 'difficult', 'Ferifikasi', 'Wrong', 'according to', 'sent', "]</v>
      </c>
      <c r="D67" s="3">
        <v>1.0</v>
      </c>
    </row>
    <row r="68" ht="15.75" customHeight="1">
      <c r="A68" s="1">
        <v>73.0</v>
      </c>
      <c r="B68" s="3" t="s">
        <v>69</v>
      </c>
      <c r="C68" s="3" t="str">
        <f>IFERROR(__xludf.DUMMYFUNCTION("GOOGLETRANSLATE(B68,""id"",""en"")"),"['complain', 'a week', 'broke', 'internet', 'Ampe', 'every time', 'broke', 'clock', 'loss',' complain ',' GIMAN ',' That's', ' Deh ']")</f>
        <v>['complain', 'a week', 'broke', 'internet', 'Ampe', 'every time', 'broke', 'clock', 'loss',' complain ',' GIMAN ',' That's', ' Deh ']</v>
      </c>
      <c r="D68" s="3">
        <v>1.0</v>
      </c>
    </row>
    <row r="69" ht="15.75" customHeight="1">
      <c r="A69" s="1">
        <v>74.0</v>
      </c>
      <c r="B69" s="3" t="s">
        <v>70</v>
      </c>
      <c r="C69" s="3" t="str">
        <f>IFERROR(__xludf.DUMMYFUNCTION("GOOGLETRANSLATE(B69,""id"",""en"")"),"['apk', 'gajelas', 'renew', 'difficult', 'koplak']")</f>
        <v>['apk', 'gajelas', 'renew', 'difficult', 'koplak']</v>
      </c>
      <c r="D69" s="3">
        <v>1.0</v>
      </c>
    </row>
    <row r="70" ht="15.75" customHeight="1">
      <c r="A70" s="1">
        <v>75.0</v>
      </c>
      <c r="B70" s="3" t="s">
        <v>71</v>
      </c>
      <c r="C70" s="3" t="str">
        <f>IFERROR(__xludf.DUMMYFUNCTION("GOOGLETRANSLATE(B70,""id"",""en"")"),"['Network', 'satisfying', 'like', 'broke', 'then', 'service', 'telkom', 'area', 'good', 'please', 'note', 'satisfaction', ' Customers', 'boss']")</f>
        <v>['Network', 'satisfying', 'like', 'broke', 'then', 'service', 'telkom', 'area', 'good', 'please', 'note', 'satisfaction', ' Customers', 'boss']</v>
      </c>
      <c r="D70" s="3">
        <v>1.0</v>
      </c>
    </row>
    <row r="71" ht="15.75" customHeight="1">
      <c r="A71" s="1">
        <v>76.0</v>
      </c>
      <c r="B71" s="3" t="s">
        <v>72</v>
      </c>
      <c r="C71" s="3" t="str">
        <f>IFERROR(__xludf.DUMMYFUNCTION("GOOGLETRANSLATE(B71,""id"",""en"")"),"['Good', 'Friendly']")</f>
        <v>['Good', 'Friendly']</v>
      </c>
      <c r="D71" s="3">
        <v>5.0</v>
      </c>
    </row>
    <row r="72" ht="15.75" customHeight="1">
      <c r="A72" s="1">
        <v>77.0</v>
      </c>
      <c r="B72" s="3" t="s">
        <v>73</v>
      </c>
      <c r="C72" s="3" t="str">
        <f>IFERROR(__xludf.DUMMYFUNCTION("GOOGLETRANSLATE(B72,""id"",""en"")"),"['September', 'Error', 'Network', 'Internet', 'Speedy', 'Region', 'Helvetia', 'Helvetia', 'Block', 'Kel', 'Helvetia', 'Kec', ' Medan ',' Helvetia ',' please ',' network ',' internet ',' alternating ',' broken ', ""]")</f>
        <v>['September', 'Error', 'Network', 'Internet', 'Speedy', 'Region', 'Helvetia', 'Helvetia', 'Block', 'Kel', 'Helvetia', 'Kec', ' Medan ',' Helvetia ',' please ',' network ',' internet ',' alternating ',' broken ', "]</v>
      </c>
      <c r="D72" s="3">
        <v>2.0</v>
      </c>
    </row>
    <row r="73" ht="15.75" customHeight="1">
      <c r="A73" s="1">
        <v>78.0</v>
      </c>
      <c r="B73" s="3" t="s">
        <v>74</v>
      </c>
      <c r="C73" s="3" t="str">
        <f>IFERROR(__xludf.DUMMYFUNCTION("GOOGLETRANSLATE(B73,""id"",""en"")"),"['already', 'download', 'help', '']")</f>
        <v>['already', 'download', 'help', '']</v>
      </c>
      <c r="D73" s="3">
        <v>1.0</v>
      </c>
    </row>
    <row r="74" ht="15.75" customHeight="1">
      <c r="A74" s="1">
        <v>79.0</v>
      </c>
      <c r="B74" s="3" t="s">
        <v>75</v>
      </c>
      <c r="C74" s="3" t="str">
        <f>IFERROR(__xludf.DUMMYFUNCTION("GOOGLETRANSLATE(B74,""id"",""en"")"),"['Leet', 'really', 'application', 'Login', 'old', 'nyaaa', 'forgiveness']")</f>
        <v>['Leet', 'really', 'application', 'Login', 'old', 'nyaaa', 'forgiveness']</v>
      </c>
      <c r="D74" s="3">
        <v>1.0</v>
      </c>
    </row>
    <row r="75" ht="15.75" customHeight="1">
      <c r="A75" s="1">
        <v>80.0</v>
      </c>
      <c r="B75" s="3" t="s">
        <v>76</v>
      </c>
      <c r="C75" s="3" t="str">
        <f>IFERROR(__xludf.DUMMYFUNCTION("GOOGLETRANSLATE(B75,""id"",""en"")"),"['The name', 'bad', 'network', 'class', 'BUMN', 'KEK', 'GINI', 'WORTH', '']")</f>
        <v>['The name', 'bad', 'network', 'class', 'BUMN', 'KEK', 'GINI', 'WORTH', '']</v>
      </c>
      <c r="D75" s="3">
        <v>1.0</v>
      </c>
    </row>
    <row r="76" ht="15.75" customHeight="1">
      <c r="A76" s="1">
        <v>81.0</v>
      </c>
      <c r="B76" s="3" t="s">
        <v>77</v>
      </c>
      <c r="C76" s="3" t="str">
        <f>IFERROR(__xludf.DUMMYFUNCTION("GOOGLETRANSLATE(B76,""id"",""en"")"),"['Application', 'Cool', 'Help']")</f>
        <v>['Application', 'Cool', 'Help']</v>
      </c>
      <c r="D76" s="3">
        <v>5.0</v>
      </c>
    </row>
    <row r="77" ht="15.75" customHeight="1">
      <c r="A77" s="1">
        <v>82.0</v>
      </c>
      <c r="B77" s="3" t="s">
        <v>78</v>
      </c>
      <c r="C77" s="3" t="str">
        <f>IFERROR(__xludf.DUMMYFUNCTION("GOOGLETRANSLATE(B77,""id"",""en"")"),"['Service', 'sanagt', 'friendly', 'fast', 'responsive', 'thank', 'love']")</f>
        <v>['Service', 'sanagt', 'friendly', 'fast', 'responsive', 'thank', 'love']</v>
      </c>
      <c r="D77" s="3">
        <v>5.0</v>
      </c>
    </row>
    <row r="78" ht="15.75" customHeight="1">
      <c r="A78" s="1">
        <v>83.0</v>
      </c>
      <c r="B78" s="3" t="s">
        <v>79</v>
      </c>
      <c r="C78" s="3" t="str">
        <f>IFERROR(__xludf.DUMMYFUNCTION("GOOGLETRANSLATE(B78,""id"",""en"")"),"['Good', 'App']")</f>
        <v>['Good', 'App']</v>
      </c>
      <c r="D78" s="3">
        <v>5.0</v>
      </c>
    </row>
    <row r="79" ht="15.75" customHeight="1">
      <c r="A79" s="1">
        <v>84.0</v>
      </c>
      <c r="B79" s="3" t="s">
        <v>80</v>
      </c>
      <c r="C79" s="3" t="str">
        <f>IFERROR(__xludf.DUMMYFUNCTION("GOOGLETRANSLATE(B79,""id"",""en"")"),"['best', 'indihome']")</f>
        <v>['best', 'indihome']</v>
      </c>
      <c r="D79" s="3">
        <v>5.0</v>
      </c>
    </row>
    <row r="80" ht="15.75" customHeight="1">
      <c r="A80" s="1">
        <v>85.0</v>
      </c>
      <c r="B80" s="3" t="s">
        <v>81</v>
      </c>
      <c r="C80" s="3" t="str">
        <f>IFERROR(__xludf.DUMMYFUNCTION("GOOGLETRANSLATE(B80,""id"",""en"")"),"['service', 'bad', 'klomplain', 'finished', 'finished', 'application', 'bug', 'Bener', '']")</f>
        <v>['service', 'bad', 'klomplain', 'finished', 'finished', 'application', 'bug', 'Bener', '']</v>
      </c>
      <c r="D80" s="3">
        <v>1.0</v>
      </c>
    </row>
    <row r="81" ht="15.75" customHeight="1">
      <c r="A81" s="1">
        <v>86.0</v>
      </c>
      <c r="B81" s="3" t="s">
        <v>82</v>
      </c>
      <c r="C81" s="3" t="str">
        <f>IFERROR(__xludf.DUMMYFUNCTION("GOOGLETRANSLATE(B81,""id"",""en"")"),"['user', 'Friendly']")</f>
        <v>['user', 'Friendly']</v>
      </c>
      <c r="D81" s="3">
        <v>5.0</v>
      </c>
    </row>
    <row r="82" ht="15.75" customHeight="1">
      <c r="A82" s="1">
        <v>88.0</v>
      </c>
      <c r="B82" s="3" t="s">
        <v>83</v>
      </c>
      <c r="C82" s="3" t="str">
        <f>IFERROR(__xludf.DUMMYFUNCTION("GOOGLETRANSLATE(B82,""id"",""en"")"),"['Bad', 'bill', 'late', 'bullovkir', 'used', 'bill', 'paid', '']")</f>
        <v>['Bad', 'bill', 'late', 'bullovkir', 'used', 'bill', 'paid', '']</v>
      </c>
      <c r="D82" s="3">
        <v>1.0</v>
      </c>
    </row>
    <row r="83" ht="15.75" customHeight="1">
      <c r="A83" s="1">
        <v>89.0</v>
      </c>
      <c r="B83" s="3" t="s">
        <v>84</v>
      </c>
      <c r="C83" s="3" t="str">
        <f>IFERROR(__xludf.DUMMYFUNCTION("GOOGLETRANSLATE(B83,""id"",""en"")"),"['Pay', 'expensive', 'signal', 'garbage']")</f>
        <v>['Pay', 'expensive', 'signal', 'garbage']</v>
      </c>
      <c r="D83" s="3">
        <v>1.0</v>
      </c>
    </row>
    <row r="84" ht="15.75" customHeight="1">
      <c r="A84" s="1">
        <v>90.0</v>
      </c>
      <c r="B84" s="3" t="s">
        <v>85</v>
      </c>
      <c r="C84" s="3" t="str">
        <f>IFERROR(__xludf.DUMMYFUNCTION("GOOGLETRANSLATE(B84,""id"",""en"")"),"['On', 'after', 'all day', 'off', 'skrng', 'dead', 'loss',' blink ',' kampreeeeettt ',' calm ',' indihomenomenyeeet ',' sentul ',' Area ',' puckkkkkkkkkkk ']")</f>
        <v>['On', 'after', 'all day', 'off', 'skrng', 'dead', 'loss',' blink ',' kampreeeeettt ',' calm ',' indihomenomenyeeet ',' sentul ',' Area ',' puckkkkkkkkkkk ']</v>
      </c>
      <c r="D84" s="3">
        <v>1.0</v>
      </c>
    </row>
    <row r="85" ht="15.75" customHeight="1">
      <c r="A85" s="1">
        <v>91.0</v>
      </c>
      <c r="B85" s="3" t="s">
        <v>86</v>
      </c>
      <c r="C85" s="3" t="str">
        <f>IFERROR(__xludf.DUMMYFUNCTION("GOOGLETRANSLATE(B85,""id"",""en"")"),"['application', 'myindihome', 'please', 'speed', 'repair']")</f>
        <v>['application', 'myindihome', 'please', 'speed', 'repair']</v>
      </c>
      <c r="D85" s="3">
        <v>5.0</v>
      </c>
    </row>
    <row r="86" ht="15.75" customHeight="1">
      <c r="A86" s="1">
        <v>92.0</v>
      </c>
      <c r="B86" s="3" t="s">
        <v>87</v>
      </c>
      <c r="C86" s="3" t="str">
        <f>IFERROR(__xludf.DUMMYFUNCTION("GOOGLETRANSLATE(B86,""id"",""en"")"),"['application', 'useful', 'click', 'service', 'complaint', 'internet', 'obstacle', 'signal', 'stable', 'type', 'complaint', 'appears',' Session ',' Out ',' ask ',' Indita ',' answer ',' sorry ',' indita ',' learn ',' understand ',' sentence ',' indita ','"&amp;" petrified ',' please ' , 'Select', 'menu', 'road', 'app', 'promo', 'see', 'bill', 'Please', 'noticed', 'complaint', 'indihome', 'solution', ' ']")</f>
        <v>['application', 'useful', 'click', 'service', 'complaint', 'internet', 'obstacle', 'signal', 'stable', 'type', 'complaint', 'appears',' Session ',' Out ',' ask ',' Indita ',' answer ',' sorry ',' indita ',' learn ',' understand ',' sentence ',' indita ',' petrified ',' please ' , 'Select', 'menu', 'road', 'app', 'promo', 'see', 'bill', 'Please', 'noticed', 'complaint', 'indihome', 'solution', ' ']</v>
      </c>
      <c r="D86" s="3">
        <v>4.0</v>
      </c>
    </row>
    <row r="87" ht="15.75" customHeight="1">
      <c r="A87" s="1">
        <v>93.0</v>
      </c>
      <c r="B87" s="3" t="s">
        <v>88</v>
      </c>
      <c r="C87" s="3" t="str">
        <f>IFERROR(__xludf.DUMMYFUNCTION("GOOGLETRANSLATE(B87,""id"",""en"")"),"['Indihome', 'no "",' changed ']")</f>
        <v>['Indihome', 'no ",' changed ']</v>
      </c>
      <c r="D87" s="3">
        <v>1.0</v>
      </c>
    </row>
    <row r="88" ht="15.75" customHeight="1">
      <c r="A88" s="1">
        <v>94.0</v>
      </c>
      <c r="B88" s="3" t="s">
        <v>89</v>
      </c>
      <c r="C88" s="3" t="str">
        <f>IFERROR(__xludf.DUMMYFUNCTION("GOOGLETRANSLATE(B88,""id"",""en"")"),"['steady', 'application', 'chek', 'usage', 'bill', 'indihome', 'thank', 'love', 'indihome', 'forward', 'success', ""]")</f>
        <v>['steady', 'application', 'chek', 'usage', 'bill', 'indihome', 'thank', 'love', 'indihome', 'forward', 'success', "]</v>
      </c>
      <c r="D88" s="3">
        <v>5.0</v>
      </c>
    </row>
    <row r="89" ht="15.75" customHeight="1">
      <c r="A89" s="1">
        <v>95.0</v>
      </c>
      <c r="B89" s="3" t="s">
        <v>90</v>
      </c>
      <c r="C89" s="3" t="str">
        <f>IFERROR(__xludf.DUMMYFUNCTION("GOOGLETRANSLATE(B89,""id"",""en"")"),"['Indihome', 'Sangad', 'FAST', 'Current', 'Jaya', 'Success', 'Indihome', 'Jaya', 'Jaya', 'Jaya', ""]")</f>
        <v>['Indihome', 'Sangad', 'FAST', 'Current', 'Jaya', 'Success', 'Indihome', 'Jaya', 'Jaya', 'Jaya', "]</v>
      </c>
      <c r="D89" s="3">
        <v>5.0</v>
      </c>
    </row>
    <row r="90" ht="15.75" customHeight="1">
      <c r="A90" s="1">
        <v>96.0</v>
      </c>
      <c r="B90" s="3" t="s">
        <v>91</v>
      </c>
      <c r="C90" s="3" t="str">
        <f>IFERROR(__xludf.DUMMYFUNCTION("GOOGLETRANSLATE(B90,""id"",""en"")"),"['SNAGAT', 'MMBNTU', 'Service', ""]")</f>
        <v>['SNAGAT', 'MMBNTU', 'Service', "]</v>
      </c>
      <c r="D90" s="3">
        <v>5.0</v>
      </c>
    </row>
    <row r="91" ht="15.75" customHeight="1">
      <c r="A91" s="1">
        <v>97.0</v>
      </c>
      <c r="B91" s="3" t="s">
        <v>92</v>
      </c>
      <c r="C91" s="3" t="str">
        <f>IFERROR(__xludf.DUMMYFUNCTION("GOOGLETRANSLATE(B91,""id"",""en"")"),"['already', 'make', 'indihome', 'cool', 'really', 'pay', 'bill', 'application', 'easy']")</f>
        <v>['already', 'make', 'indihome', 'cool', 'really', 'pay', 'bill', 'application', 'easy']</v>
      </c>
      <c r="D91" s="3">
        <v>5.0</v>
      </c>
    </row>
    <row r="92" ht="15.75" customHeight="1">
      <c r="A92" s="1">
        <v>99.0</v>
      </c>
      <c r="B92" s="3" t="s">
        <v>93</v>
      </c>
      <c r="C92" s="3" t="str">
        <f>IFERROR(__xludf.DUMMYFUNCTION("GOOGLETRANSLATE(B92,""id"",""en"")"),"['Enhanced', 'Service', 'Repair']")</f>
        <v>['Enhanced', 'Service', 'Repair']</v>
      </c>
      <c r="D92" s="3">
        <v>5.0</v>
      </c>
    </row>
    <row r="93" ht="15.75" customHeight="1">
      <c r="A93" s="1">
        <v>100.0</v>
      </c>
      <c r="B93" s="3" t="s">
        <v>94</v>
      </c>
      <c r="C93" s="3" t="str">
        <f>IFERROR(__xludf.DUMMYFUNCTION("GOOGLETRANSLATE(B93,""id"",""en"")"),"['application', 'defects', 'update', 'report', 'internet', 'internet', 'slow', 'reported', 'internet', 'indihome', 'defect']")</f>
        <v>['application', 'defects', 'update', 'report', 'internet', 'internet', 'slow', 'reported', 'internet', 'indihome', 'defect']</v>
      </c>
      <c r="D93" s="3">
        <v>1.0</v>
      </c>
    </row>
    <row r="94" ht="15.75" customHeight="1">
      <c r="A94" s="1">
        <v>101.0</v>
      </c>
      <c r="B94" s="3" t="s">
        <v>95</v>
      </c>
      <c r="C94" s="3" t="str">
        <f>IFERROR(__xludf.DUMMYFUNCTION("GOOGLETRANSLATE(B94,""id"",""en"")"),"['Disruption', 'Direct', 'Response']")</f>
        <v>['Disruption', 'Direct', 'Response']</v>
      </c>
      <c r="D94" s="3">
        <v>5.0</v>
      </c>
    </row>
    <row r="95" ht="15.75" customHeight="1">
      <c r="A95" s="1">
        <v>102.0</v>
      </c>
      <c r="B95" s="3" t="s">
        <v>96</v>
      </c>
      <c r="C95" s="3" t="str">
        <f>IFERROR(__xludf.DUMMYFUNCTION("GOOGLETRANSLATE(B95,""id"",""en"")"),"['steady', 'signal', 'stable', 'smooth', 'Jaya', ""]")</f>
        <v>['steady', 'signal', 'stable', 'smooth', 'Jaya', "]</v>
      </c>
      <c r="D95" s="3">
        <v>5.0</v>
      </c>
    </row>
    <row r="96" ht="15.75" customHeight="1">
      <c r="A96" s="1">
        <v>103.0</v>
      </c>
      <c r="B96" s="3" t="s">
        <v>97</v>
      </c>
      <c r="C96" s="3" t="str">
        <f>IFERROR(__xludf.DUMMYFUNCTION("GOOGLETRANSLATE(B96,""id"",""en"")"),"['signal', 'ilang', 'feeling', 'late', 'pay', 'bill', 'deh', 'beg', 'sis', 'signal', 'repair']")</f>
        <v>['signal', 'ilang', 'feeling', 'late', 'pay', 'bill', 'deh', 'beg', 'sis', 'signal', 'repair']</v>
      </c>
      <c r="D96" s="3">
        <v>1.0</v>
      </c>
    </row>
    <row r="97" ht="15.75" customHeight="1">
      <c r="A97" s="1">
        <v>105.0</v>
      </c>
      <c r="B97" s="3" t="s">
        <v>98</v>
      </c>
      <c r="C97" s="3" t="str">
        <f>IFERROR(__xludf.DUMMYFUNCTION("GOOGLETRANSLATE(B97,""id"",""en"")"),"['Application', 'Helping', 'AIKI', 'NICE', '']")</f>
        <v>['Application', 'Helping', 'AIKI', 'NICE', '']</v>
      </c>
      <c r="D97" s="3">
        <v>5.0</v>
      </c>
    </row>
    <row r="98" ht="15.75" customHeight="1">
      <c r="A98" s="1">
        <v>106.0</v>
      </c>
      <c r="B98" s="3" t="s">
        <v>99</v>
      </c>
      <c r="C98" s="3" t="str">
        <f>IFERROR(__xludf.DUMMYFUNCTION("GOOGLETRANSLATE(B98,""id"",""en"")"),"['best', '']")</f>
        <v>['best', '']</v>
      </c>
      <c r="D98" s="3">
        <v>5.0</v>
      </c>
    </row>
    <row r="99" ht="15.75" customHeight="1">
      <c r="A99" s="1">
        <v>107.0</v>
      </c>
      <c r="B99" s="3" t="s">
        <v>100</v>
      </c>
      <c r="C99" s="3" t="str">
        <f>IFERROR(__xludf.DUMMYFUNCTION("GOOGLETRANSLATE(B99,""id"",""en"")"),"['', 'application', 'makes it easy', 'monitor', 'user', 'surfing', 'pay', 'bill', 'dsb', 'good', 'for', 'You', 'indihome ',' ']")</f>
        <v>['', 'application', 'makes it easy', 'monitor', 'user', 'surfing', 'pay', 'bill', 'dsb', 'good', 'for', 'You', 'indihome ',' ']</v>
      </c>
      <c r="D99" s="3">
        <v>5.0</v>
      </c>
    </row>
    <row r="100" ht="15.75" customHeight="1">
      <c r="A100" s="1">
        <v>108.0</v>
      </c>
      <c r="B100" s="3" t="s">
        <v>101</v>
      </c>
      <c r="C100" s="3" t="str">
        <f>IFERROR(__xludf.DUMMYFUNCTION("GOOGLETRANSLATE(B100,""id"",""en"")"),"['entry', 'application', 'connection', 'broke', 'service', 'bad']")</f>
        <v>['entry', 'application', 'connection', 'broke', 'service', 'bad']</v>
      </c>
      <c r="D100" s="3">
        <v>1.0</v>
      </c>
    </row>
    <row r="101" ht="15.75" customHeight="1">
      <c r="A101" s="1">
        <v>109.0</v>
      </c>
      <c r="B101" s="3" t="s">
        <v>102</v>
      </c>
      <c r="C101" s="3" t="str">
        <f>IFERROR(__xludf.DUMMYFUNCTION("GOOGLETRANSLATE(B101,""id"",""en"")"),"['update', 'slow', 'ngak', 'understand', 'kayak', '']")</f>
        <v>['update', 'slow', 'ngak', 'understand', 'kayak', '']</v>
      </c>
      <c r="D101" s="3">
        <v>1.0</v>
      </c>
    </row>
    <row r="102" ht="15.75" customHeight="1">
      <c r="A102" s="1">
        <v>111.0</v>
      </c>
      <c r="B102" s="3" t="s">
        <v>103</v>
      </c>
      <c r="C102" s="3" t="str">
        <f>IFERROR(__xludf.DUMMYFUNCTION("GOOGLETRANSLATE(B102,""id"",""en"")"),"['Trimakasii', 'Indihome', 'application', 'interesting', 'features', 'good', 'help', 'it's easy', 'use it', ""]")</f>
        <v>['Trimakasii', 'Indihome', 'application', 'interesting', 'features', 'good', 'help', 'it's easy', 'use it', "]</v>
      </c>
      <c r="D102" s="3">
        <v>5.0</v>
      </c>
    </row>
    <row r="103" ht="15.75" customHeight="1">
      <c r="A103" s="1">
        <v>112.0</v>
      </c>
      <c r="B103" s="3" t="s">
        <v>104</v>
      </c>
      <c r="C103" s="3" t="str">
        <f>IFERROR(__xludf.DUMMYFUNCTION("GOOGLETRANSLATE(B103,""id"",""en"")"),"['Cool', 'really', 'indihome', 'slow']")</f>
        <v>['Cool', 'really', 'indihome', 'slow']</v>
      </c>
      <c r="D103" s="3">
        <v>5.0</v>
      </c>
    </row>
    <row r="104" ht="15.75" customHeight="1">
      <c r="A104" s="1">
        <v>113.0</v>
      </c>
      <c r="B104" s="3" t="s">
        <v>105</v>
      </c>
      <c r="C104" s="3" t="str">
        <f>IFERROR(__xludf.DUMMYFUNCTION("GOOGLETRANSLATE(B104,""id"",""en"")"),"['Satisfying', 'Sometimes', 'Constraints', 'The Network', '']")</f>
        <v>['Satisfying', 'Sometimes', 'Constraints', 'The Network', '']</v>
      </c>
      <c r="D104" s="3">
        <v>5.0</v>
      </c>
    </row>
    <row r="105" ht="15.75" customHeight="1">
      <c r="A105" s="1">
        <v>114.0</v>
      </c>
      <c r="B105" s="3" t="s">
        <v>106</v>
      </c>
      <c r="C105" s="3" t="str">
        <f>IFERROR(__xludf.DUMMYFUNCTION("GOOGLETRANSLATE(B105,""id"",""en"")"),"['Hopefully', 'Performance', 'Service', 'Enhanced', 'Customer', 'Comfortable', 'Quality']")</f>
        <v>['Hopefully', 'Performance', 'Service', 'Enhanced', 'Customer', 'Comfortable', 'Quality']</v>
      </c>
      <c r="D105" s="3">
        <v>5.0</v>
      </c>
    </row>
    <row r="106" ht="15.75" customHeight="1">
      <c r="A106" s="1">
        <v>115.0</v>
      </c>
      <c r="B106" s="3" t="s">
        <v>107</v>
      </c>
      <c r="C106" s="3" t="str">
        <f>IFERROR(__xludf.DUMMYFUNCTION("GOOGLETRANSLATE(B106,""id"",""en"")"),"['Indihome', 'home', 'good', 'slow', 'kenceng', 'success', '']")</f>
        <v>['Indihome', 'home', 'good', 'slow', 'kenceng', 'success', '']</v>
      </c>
      <c r="D106" s="3">
        <v>5.0</v>
      </c>
    </row>
    <row r="107" ht="15.75" customHeight="1">
      <c r="A107" s="1">
        <v>116.0</v>
      </c>
      <c r="B107" s="3" t="s">
        <v>108</v>
      </c>
      <c r="C107" s="3" t="str">
        <f>IFERROR(__xludf.DUMMYFUNCTION("GOOGLETRANSLATE(B107,""id"",""en"")"),"['already', 'masang', 'blum', 'felt', 'internet', 'indihome', 'bill', 'hurry', 'send', 'complaint', 'pelangan', 'hhhmmmn', ' Banting ',' modem ',' complaint ',' NEVERSIN ',' Ryesel ',' Ryesel ',' Indihome ',' Disappointed ',' Indihommeee ', ""]")</f>
        <v>['already', 'masang', 'blum', 'felt', 'internet', 'indihome', 'bill', 'hurry', 'send', 'complaint', 'pelangan', 'hhhmmmn', ' Banting ',' modem ',' complaint ',' NEVERSIN ',' Ryesel ',' Ryesel ',' Indihome ',' Disappointed ',' Indihommeee ', "]</v>
      </c>
      <c r="D107" s="3">
        <v>1.0</v>
      </c>
    </row>
    <row r="108" ht="15.75" customHeight="1">
      <c r="A108" s="1">
        <v>117.0</v>
      </c>
      <c r="B108" s="3" t="s">
        <v>109</v>
      </c>
      <c r="C108" s="3" t="str">
        <f>IFERROR(__xludf.DUMMYFUNCTION("GOOGLETRANSLATE(B108,""id"",""en"")"),"['satisfying', 'Enhanced', 'Call', 'Service', 'Thank "",' Kasih ']")</f>
        <v>['satisfying', 'Enhanced', 'Call', 'Service', 'Thank ",' Kasih ']</v>
      </c>
      <c r="D108" s="3">
        <v>5.0</v>
      </c>
    </row>
    <row r="109" ht="15.75" customHeight="1">
      <c r="A109" s="1">
        <v>118.0</v>
      </c>
      <c r="B109" s="3" t="s">
        <v>110</v>
      </c>
      <c r="C109" s="3" t="str">
        <f>IFERROR(__xludf.DUMMYFUNCTION("GOOGLETRANSLATE(B109,""id"",""en"")"),"['Application', 'user', 'friendly', ""]")</f>
        <v>['Application', 'user', 'friendly', "]</v>
      </c>
      <c r="D109" s="3">
        <v>5.0</v>
      </c>
    </row>
    <row r="110" ht="15.75" customHeight="1">
      <c r="A110" s="1">
        <v>119.0</v>
      </c>
      <c r="B110" s="3" t="s">
        <v>111</v>
      </c>
      <c r="C110" s="3" t="str">
        <f>IFERROR(__xludf.DUMMYFUNCTION("GOOGLETRANSLATE(B110,""id"",""en"")"),"['The application', 'Cool', 'really', 'user', 'friendly', 'easy', 'useful', 'Tuker', 'Points', '']")</f>
        <v>['The application', 'Cool', 'really', 'user', 'friendly', 'easy', 'useful', 'Tuker', 'Points', '']</v>
      </c>
      <c r="D110" s="3">
        <v>5.0</v>
      </c>
    </row>
    <row r="111" ht="15.75" customHeight="1">
      <c r="A111" s="1">
        <v>120.0</v>
      </c>
      <c r="B111" s="3" t="s">
        <v>112</v>
      </c>
      <c r="C111" s="3" t="str">
        <f>IFERROR(__xludf.DUMMYFUNCTION("GOOGLETRANSLATE(B111,""id"",""en"")"),"['', 'competitors',' Indihome ',' loyal ',' Indihome ',' Karna ',' Indihome ',' Where ',' complaints', 'patient', 'thinking', 'Jalan', 'came out ',' Heart ',' Just ']")</f>
        <v>['', 'competitors',' Indihome ',' loyal ',' Indihome ',' Karna ',' Indihome ',' Where ',' complaints', 'patient', 'thinking', 'Jalan', 'came out ',' Heart ',' Just ']</v>
      </c>
      <c r="D111" s="3">
        <v>5.0</v>
      </c>
    </row>
    <row r="112" ht="15.75" customHeight="1">
      <c r="A112" s="1">
        <v>121.0</v>
      </c>
      <c r="B112" s="3" t="s">
        <v>113</v>
      </c>
      <c r="C112" s="3" t="str">
        <f>IFERROR(__xludf.DUMMYFUNCTION("GOOGLETRANSLATE(B112,""id"",""en"")"),"['The application', 'Cool', 'Helping', 'Payment', 'Bill', 'Telkomsel']")</f>
        <v>['The application', 'Cool', 'Helping', 'Payment', 'Bill', 'Telkomsel']</v>
      </c>
      <c r="D112" s="3">
        <v>5.0</v>
      </c>
    </row>
    <row r="113" ht="15.75" customHeight="1">
      <c r="A113" s="1">
        <v>122.0</v>
      </c>
      <c r="B113" s="3" t="s">
        <v>114</v>
      </c>
      <c r="C113" s="3" t="str">
        <f>IFERROR(__xludf.DUMMYFUNCTION("GOOGLETRANSLATE(B113,""id"",""en"")"),"['open', 'indihome', 'slow', 'network', 'full', 'ok', 'the application', 'easy']")</f>
        <v>['open', 'indihome', 'slow', 'network', 'full', 'ok', 'the application', 'easy']</v>
      </c>
      <c r="D113" s="3">
        <v>4.0</v>
      </c>
    </row>
    <row r="114" ht="15.75" customHeight="1">
      <c r="A114" s="1">
        <v>123.0</v>
      </c>
      <c r="B114" s="3" t="s">
        <v>115</v>
      </c>
      <c r="C114" s="3" t="str">
        <f>IFERROR(__xludf.DUMMYFUNCTION("GOOGLETRANSLATE(B114,""id"",""en"")"),"['Disorders', 'Mulu', '']")</f>
        <v>['Disorders', 'Mulu', '']</v>
      </c>
      <c r="D114" s="3">
        <v>1.0</v>
      </c>
    </row>
    <row r="115" ht="15.75" customHeight="1">
      <c r="A115" s="1">
        <v>124.0</v>
      </c>
      <c r="B115" s="3" t="s">
        <v>116</v>
      </c>
      <c r="C115" s="3" t="str">
        <f>IFERROR(__xludf.DUMMYFUNCTION("GOOGLETRANSLATE(B115,""id"",""en"")"),"['Help', 'children', 'bills', 'stay', 'type', 'home']")</f>
        <v>['Help', 'children', 'bills', 'stay', 'type', 'home']</v>
      </c>
      <c r="D115" s="3">
        <v>5.0</v>
      </c>
    </row>
    <row r="116" ht="15.75" customHeight="1">
      <c r="A116" s="1">
        <v>125.0</v>
      </c>
      <c r="B116" s="3" t="s">
        <v>117</v>
      </c>
      <c r="C116" s="3" t="str">
        <f>IFERROR(__xludf.DUMMYFUNCTION("GOOGLETRANSLATE(B116,""id"",""en"")"),"['jellypolan', 'APK', 'update']")</f>
        <v>['jellypolan', 'APK', 'update']</v>
      </c>
      <c r="D116" s="3">
        <v>5.0</v>
      </c>
    </row>
    <row r="117" ht="15.75" customHeight="1">
      <c r="A117" s="1">
        <v>126.0</v>
      </c>
      <c r="B117" s="3" t="s">
        <v>118</v>
      </c>
      <c r="C117" s="3" t="str">
        <f>IFERROR(__xludf.DUMMYFUNCTION("GOOGLETRANSLATE(B117,""id"",""en"")"),"['Kerenn', 'really', 'Kulon', 'smooth', 'Design', 'App', 'festive', 'really', 'bored', 'bukain', 'app', 'heheheh', ' Thx ',' Indihome ',' ']")</f>
        <v>['Kerenn', 'really', 'Kulon', 'smooth', 'Design', 'App', 'festive', 'really', 'bored', 'bukain', 'app', 'heheheh', ' Thx ',' Indihome ',' ']</v>
      </c>
      <c r="D117" s="3">
        <v>5.0</v>
      </c>
    </row>
    <row r="118" ht="15.75" customHeight="1">
      <c r="A118" s="1">
        <v>127.0</v>
      </c>
      <c r="B118" s="3" t="s">
        <v>119</v>
      </c>
      <c r="C118" s="3" t="str">
        <f>IFERROR(__xludf.DUMMYFUNCTION("GOOGLETRANSLATE(B118,""id"",""en"")"),"['', 'times',' complaint ',' related ',' Indihome ',' wifi ',' seamless', 'finished', 'account', 'related', 'email', 'account', 'relations ',' know ',' call ',' free ',' pulse ',' complaint ',' complaint ',' repeat ',' complete ',' detrimental ',' custome"&amp;"r ']")</f>
        <v>['', 'times',' complaint ',' related ',' Indihome ',' wifi ',' seamless', 'finished', 'account', 'related', 'email', 'account', 'relations ',' know ',' call ',' free ',' pulse ',' complaint ',' complaint ',' repeat ',' complete ',' detrimental ',' customer ']</v>
      </c>
      <c r="D118" s="3">
        <v>2.0</v>
      </c>
    </row>
    <row r="119" ht="15.75" customHeight="1">
      <c r="A119" s="1">
        <v>128.0</v>
      </c>
      <c r="B119" s="3" t="s">
        <v>120</v>
      </c>
      <c r="C119" s="3" t="str">
        <f>IFERROR(__xludf.DUMMYFUNCTION("GOOGLETRANSLATE(B119,""id"",""en"")"),"['Overall', 'service', 'good', 'really', 'exciting', 'tuker', 'point', 'wuiihhhh', '']")</f>
        <v>['Overall', 'service', 'good', 'really', 'exciting', 'tuker', 'point', 'wuiihhhh', '']</v>
      </c>
      <c r="D119" s="3">
        <v>5.0</v>
      </c>
    </row>
    <row r="120" ht="15.75" customHeight="1">
      <c r="A120" s="1">
        <v>132.0</v>
      </c>
      <c r="B120" s="3" t="s">
        <v>121</v>
      </c>
      <c r="C120" s="3" t="str">
        <f>IFERROR(__xludf.DUMMYFUNCTION("GOOGLETRANSLATE(B120,""id"",""en"")"),"['Main', 'game', 'ngeleg', 'really', 'trud', 'nge']")</f>
        <v>['Main', 'game', 'ngeleg', 'really', 'trud', 'nge']</v>
      </c>
      <c r="D120" s="3">
        <v>1.0</v>
      </c>
    </row>
    <row r="121" ht="15.75" customHeight="1">
      <c r="A121" s="1">
        <v>133.0</v>
      </c>
      <c r="B121" s="3" t="s">
        <v>122</v>
      </c>
      <c r="C121" s="3" t="str">
        <f>IFERROR(__xludf.DUMMYFUNCTION("GOOGLETRANSLATE(B121,""id"",""en"")"),"['disorder', 'disorder', 'minimal', 'basically', 'service']")</f>
        <v>['disorder', 'disorder', 'minimal', 'basically', 'service']</v>
      </c>
      <c r="D121" s="3">
        <v>1.0</v>
      </c>
    </row>
    <row r="122" ht="15.75" customHeight="1">
      <c r="A122" s="1">
        <v>134.0</v>
      </c>
      <c r="B122" s="3" t="s">
        <v>123</v>
      </c>
      <c r="C122" s="3" t="str">
        <f>IFERROR(__xludf.DUMMYFUNCTION("GOOGLETRANSLATE(B122,""id"",""en"")"),"['promo', 'lottery', 'just', 'sweetener', 'doang', '']")</f>
        <v>['promo', 'lottery', 'just', 'sweetener', 'doang', '']</v>
      </c>
      <c r="D122" s="3">
        <v>3.0</v>
      </c>
    </row>
    <row r="123" ht="15.75" customHeight="1">
      <c r="A123" s="1">
        <v>135.0</v>
      </c>
      <c r="B123" s="3" t="s">
        <v>124</v>
      </c>
      <c r="C123" s="3" t="str">
        <f>IFERROR(__xludf.DUMMYFUNCTION("GOOGLETRANSLATE(B123,""id"",""en"")"),"['Please', 'NetFlix', 'Downloaded', 'Playstore', 'Direct', 'STB', 'Install', 'Application', 'PlayStore', 'UDH', 'JDI', ' Netflix ',' nihh ']")</f>
        <v>['Please', 'NetFlix', 'Downloaded', 'Playstore', 'Direct', 'STB', 'Install', 'Application', 'PlayStore', 'UDH', 'JDI', ' Netflix ',' nihh ']</v>
      </c>
      <c r="D123" s="3">
        <v>1.0</v>
      </c>
    </row>
    <row r="124" ht="15.75" customHeight="1">
      <c r="A124" s="1">
        <v>136.0</v>
      </c>
      <c r="B124" s="3" t="s">
        <v>125</v>
      </c>
      <c r="C124" s="3" t="str">
        <f>IFERROR(__xludf.DUMMYFUNCTION("GOOGLETRANSLATE(B124,""id"",""en"")"),"['here', 'update', 'poor', 'udh', 'times',' submit ',' report ',' related ',' application ',' log ',' please ',' admin ',' Support ',' accelerated ',' repairs', 'application', 'need', '']")</f>
        <v>['here', 'update', 'poor', 'udh', 'times',' submit ',' report ',' related ',' application ',' log ',' please ',' admin ',' Support ',' accelerated ',' repairs', 'application', 'need', '']</v>
      </c>
      <c r="D124" s="3">
        <v>1.0</v>
      </c>
    </row>
    <row r="125" ht="15.75" customHeight="1">
      <c r="A125" s="1">
        <v>137.0</v>
      </c>
      <c r="B125" s="3" t="s">
        <v>126</v>
      </c>
      <c r="C125" s="3" t="str">
        <f>IFERROR(__xludf.DUMMYFUNCTION("GOOGLETRANSLATE(B125,""id"",""en"")"),"['Knp', 'signal', 'wifi', 'Morning', 'Lost', 'no', 'work', ""]")</f>
        <v>['Knp', 'signal', 'wifi', 'Morning', 'Lost', 'no', 'work', "]</v>
      </c>
      <c r="D125" s="3">
        <v>2.0</v>
      </c>
    </row>
    <row r="126" ht="15.75" customHeight="1">
      <c r="A126" s="1">
        <v>138.0</v>
      </c>
      <c r="B126" s="3" t="s">
        <v>127</v>
      </c>
      <c r="C126" s="3" t="str">
        <f>IFERROR(__xludf.DUMMYFUNCTION("GOOGLETRANSLATE(B126,""id"",""en"")"),"['mkasih']")</f>
        <v>['mkasih']</v>
      </c>
      <c r="D126" s="3">
        <v>5.0</v>
      </c>
    </row>
    <row r="127" ht="15.75" customHeight="1">
      <c r="A127" s="1">
        <v>139.0</v>
      </c>
      <c r="B127" s="3" t="s">
        <v>128</v>
      </c>
      <c r="C127" s="3" t="str">
        <f>IFERROR(__xludf.DUMMYFUNCTION("GOOGLETRANSLATE(B127,""id"",""en"")"),"['already', 'expensive', 'rotten', 'signal', 'send', 'proof', 'payment', 'no', 'dictation', 'internet', 'diputus',' told ',' Pay ',' Provider ',' garbage ',' point ',' proof ',' point ',' see ']")</f>
        <v>['already', 'expensive', 'rotten', 'signal', 'send', 'proof', 'payment', 'no', 'dictation', 'internet', 'diputus',' told ',' Pay ',' Provider ',' garbage ',' point ',' proof ',' point ',' see ']</v>
      </c>
      <c r="D127" s="3">
        <v>1.0</v>
      </c>
    </row>
    <row r="128" ht="15.75" customHeight="1">
      <c r="A128" s="1">
        <v>140.0</v>
      </c>
      <c r="B128" s="3" t="s">
        <v>129</v>
      </c>
      <c r="C128" s="3" t="str">
        <f>IFERROR(__xludf.DUMMYFUNCTION("GOOGLETRANSLATE(B128,""id"",""en"")"),"['application', 'bad', 'heavy', 'Close', 'already', 'version', 'try', 'clear', 'cahce', 'no', 'open']")</f>
        <v>['application', 'bad', 'heavy', 'Close', 'already', 'version', 'try', 'clear', 'cahce', 'no', 'open']</v>
      </c>
      <c r="D128" s="3">
        <v>1.0</v>
      </c>
    </row>
    <row r="129" ht="15.75" customHeight="1">
      <c r="A129" s="1">
        <v>142.0</v>
      </c>
      <c r="B129" s="3" t="s">
        <v>130</v>
      </c>
      <c r="C129" s="3" t="str">
        <f>IFERROR(__xludf.DUMMYFUNCTION("GOOGLETRANSLATE(B129,""id"",""en"")"),"['quality', 'application', 'performance', 'internet', 'satisfying', 'stay', 'please', 'service', 'customer', 'enhanced', 'me', 'trivial', ' Need ',' solution ',' signal ',' turn off ',' telephone ',' tapii ',' outside ',' all ',' thank you ',' work ',' go"&amp;"od ',' ']")</f>
        <v>['quality', 'application', 'performance', 'internet', 'satisfying', 'stay', 'please', 'service', 'customer', 'enhanced', 'me', 'trivial', ' Need ',' solution ',' signal ',' turn off ',' telephone ',' tapii ',' outside ',' all ',' thank you ',' work ',' good ',' ']</v>
      </c>
      <c r="D129" s="3">
        <v>5.0</v>
      </c>
    </row>
    <row r="130" ht="15.75" customHeight="1">
      <c r="A130" s="1">
        <v>143.0</v>
      </c>
      <c r="B130" s="3" t="s">
        <v>131</v>
      </c>
      <c r="C130" s="3" t="str">
        <f>IFERROR(__xludf.DUMMYFUNCTION("GOOGLETRANSLATE(B130,""id"",""en"")"),"['Help', 'Check', 'Bill', 'Change', 'Data', '']")</f>
        <v>['Help', 'Check', 'Bill', 'Change', 'Data', '']</v>
      </c>
      <c r="D130" s="3">
        <v>5.0</v>
      </c>
    </row>
    <row r="131" ht="15.75" customHeight="1">
      <c r="A131" s="1">
        <v>144.0</v>
      </c>
      <c r="B131" s="3" t="s">
        <v>132</v>
      </c>
      <c r="C131" s="3" t="str">
        <f>IFERROR(__xludf.DUMMYFUNCTION("GOOGLETRANSLATE(B131,""id"",""en"")"),"['Cool', 'really', 'makes it easier', 'Tangahan', 'detail', 'office', 'recommended', 'really', 'deh', 'application']")</f>
        <v>['Cool', 'really', 'makes it easier', 'Tangahan', 'detail', 'office', 'recommended', 'really', 'deh', 'application']</v>
      </c>
      <c r="D131" s="3">
        <v>5.0</v>
      </c>
    </row>
    <row r="132" ht="15.75" customHeight="1">
      <c r="A132" s="1">
        <v>145.0</v>
      </c>
      <c r="B132" s="3" t="s">
        <v>133</v>
      </c>
      <c r="C132" s="3" t="str">
        <f>IFERROR(__xludf.DUMMYFUNCTION("GOOGLETRANSLATE(B132,""id"",""en"")"),"['Tawarin', 'Package', 'Mbps', 'Price', 'Rb', 'Thank "",' Bid ',' Sales ',' Merketing ',' A month ',' Use ',' Check ',' Speed ​​',' Test ',' Kenpa ',' just ',' Mbps', 'Please', 'Check', 'Donk']")</f>
        <v>['Tawarin', 'Package', 'Mbps', 'Price', 'Rb', 'Thank ",' Bid ',' Sales ',' Merketing ',' A month ',' Use ',' Check ',' Speed ​​',' Test ',' Kenpa ',' just ',' Mbps', 'Please', 'Check', 'Donk']</v>
      </c>
      <c r="D132" s="3">
        <v>1.0</v>
      </c>
    </row>
    <row r="133" ht="15.75" customHeight="1">
      <c r="A133" s="1">
        <v>146.0</v>
      </c>
      <c r="B133" s="3" t="s">
        <v>134</v>
      </c>
      <c r="C133" s="3" t="str">
        <f>IFERROR(__xludf.DUMMYFUNCTION("GOOGLETRANSLATE(B133,""id"",""en"")"),"['Mantab', 'really']")</f>
        <v>['Mantab', 'really']</v>
      </c>
      <c r="D133" s="3">
        <v>5.0</v>
      </c>
    </row>
    <row r="134" ht="15.75" customHeight="1">
      <c r="A134" s="1">
        <v>147.0</v>
      </c>
      <c r="B134" s="3" t="s">
        <v>135</v>
      </c>
      <c r="C134" s="3" t="str">
        <f>IFERROR(__xludf.DUMMYFUNCTION("GOOGLETRANSLATE(B134,""id"",""en"")"),"['Apart from', 'Problems',' Diallami ',' Indihome ',' Speed ​​',' a month ',' raised ',' Mbps', 'btw', 'thank', 'love', 'indihome', ' Hopefully ',' Problems', 'Resolved', '']")</f>
        <v>['Apart from', 'Problems',' Diallami ',' Indihome ',' Speed ​​',' a month ',' raised ',' Mbps', 'btw', 'thank', 'love', 'indihome', ' Hopefully ',' Problems', 'Resolved', '']</v>
      </c>
      <c r="D134" s="3">
        <v>5.0</v>
      </c>
    </row>
    <row r="135" ht="15.75" customHeight="1">
      <c r="A135" s="1">
        <v>148.0</v>
      </c>
      <c r="B135" s="3" t="s">
        <v>136</v>
      </c>
      <c r="C135" s="3" t="str">
        <f>IFERROR(__xludf.DUMMYFUNCTION("GOOGLETRANSLATE(B135,""id"",""en"")"),"['list']")</f>
        <v>['list']</v>
      </c>
      <c r="D135" s="3">
        <v>3.0</v>
      </c>
    </row>
    <row r="136" ht="15.75" customHeight="1">
      <c r="A136" s="1">
        <v>149.0</v>
      </c>
      <c r="B136" s="3" t="s">
        <v>137</v>
      </c>
      <c r="C136" s="3" t="str">
        <f>IFERROR(__xludf.DUMMYFUNCTION("GOOGLETRANSLATE(B136,""id"",""en"")"),"['woy', 'wifi', 'slow', 'Dajjal', 'smg', 'dajjal', 'amiiin']")</f>
        <v>['woy', 'wifi', 'slow', 'Dajjal', 'smg', 'dajjal', 'amiiin']</v>
      </c>
      <c r="D136" s="3">
        <v>1.0</v>
      </c>
    </row>
    <row r="137" ht="15.75" customHeight="1">
      <c r="A137" s="1">
        <v>150.0</v>
      </c>
      <c r="B137" s="3" t="s">
        <v>138</v>
      </c>
      <c r="C137" s="3" t="str">
        <f>IFERROR(__xludf.DUMMYFUNCTION("GOOGLETRANSLATE(B137,""id"",""en"")"),"['Cool', 'Tuker', 'Points', 'See', 'Bill', 'SCR', 'Details', 'User', 'Friendly', 'Certain']")</f>
        <v>['Cool', 'Tuker', 'Points', 'See', 'Bill', 'SCR', 'Details', 'User', 'Friendly', 'Certain']</v>
      </c>
      <c r="D137" s="3">
        <v>5.0</v>
      </c>
    </row>
    <row r="138" ht="15.75" customHeight="1">
      <c r="A138" s="1">
        <v>151.0</v>
      </c>
      <c r="B138" s="3" t="s">
        <v>139</v>
      </c>
      <c r="C138" s="3" t="str">
        <f>IFERROR(__xludf.DUMMYFUNCTION("GOOGLETRANSLATE(B138,""id"",""en"")"),"['The application', 'Cool', 'really', 'help', ""]")</f>
        <v>['The application', 'Cool', 'really', 'help', "]</v>
      </c>
      <c r="D138" s="3">
        <v>5.0</v>
      </c>
    </row>
    <row r="139" ht="15.75" customHeight="1">
      <c r="A139" s="1">
        <v>152.0</v>
      </c>
      <c r="B139" s="3" t="s">
        <v>140</v>
      </c>
      <c r="C139" s="3" t="str">
        <f>IFERROR(__xludf.DUMMYFUNCTION("GOOGLETRANSLATE(B139,""id"",""en"")"),"['Gymna', 'Indihome', 'little', 'signal', 'lost', 'work', 'severe', 'really', 'klk', 'mass', 'pay', 'tell' CPT ',' Tolerance ',' Kyk ',' Gini ',' home ',' Kalimantan ',' Sampit ',' Tidar ',' Network ',' get ',' Drizzle ',' Direct ',' Lost ' , 'klk', 'udh'"&amp;", 'normal', 'love', 'star', '']")</f>
        <v>['Gymna', 'Indihome', 'little', 'signal', 'lost', 'work', 'severe', 'really', 'klk', 'mass', 'pay', 'tell' CPT ',' Tolerance ',' Kyk ',' Gini ',' home ',' Kalimantan ',' Sampit ',' Tidar ',' Network ',' get ',' Drizzle ',' Direct ',' Lost ' , 'klk', 'udh', 'normal', 'love', 'star', '']</v>
      </c>
      <c r="D139" s="3">
        <v>1.0</v>
      </c>
    </row>
    <row r="140" ht="15.75" customHeight="1">
      <c r="A140" s="1">
        <v>153.0</v>
      </c>
      <c r="B140" s="3" t="s">
        <v>141</v>
      </c>
      <c r="C140" s="3" t="str">
        <f>IFERROR(__xludf.DUMMYFUNCTION("GOOGLETRANSLATE(B140,""id"",""en"")"),"['Process', 'report']")</f>
        <v>['Process', 'report']</v>
      </c>
      <c r="D140" s="3">
        <v>2.0</v>
      </c>
    </row>
    <row r="141" ht="15.75" customHeight="1">
      <c r="A141" s="1">
        <v>154.0</v>
      </c>
      <c r="B141" s="3" t="s">
        <v>142</v>
      </c>
      <c r="C141" s="3" t="str">
        <f>IFERROR(__xludf.DUMMYFUNCTION("GOOGLETRANSLATE(B141,""id"",""en"")"),"['Worth', 'really', 'Download', 'Gabakal', 'Raying', '']")</f>
        <v>['Worth', 'really', 'Download', 'Gabakal', 'Raying', '']</v>
      </c>
      <c r="D141" s="3">
        <v>5.0</v>
      </c>
    </row>
    <row r="142" ht="15.75" customHeight="1">
      <c r="A142" s="1">
        <v>155.0</v>
      </c>
      <c r="B142" s="3" t="s">
        <v>143</v>
      </c>
      <c r="C142" s="3" t="str">
        <f>IFERROR(__xludf.DUMMYFUNCTION("GOOGLETRANSLATE(B142,""id"",""en"")"),"['Application', 'Cool', 'Make Easy', 'User', 'Indihome', 'Service', 'Good', 'Hopefully', 'In the future', 'triumpha', ""]")</f>
        <v>['Application', 'Cool', 'Make Easy', 'User', 'Indihome', 'Service', 'Good', 'Hopefully', 'In the future', 'triumpha', "]</v>
      </c>
      <c r="D142" s="3">
        <v>5.0</v>
      </c>
    </row>
    <row r="143" ht="15.75" customHeight="1">
      <c r="A143" s="1">
        <v>156.0</v>
      </c>
      <c r="B143" s="3" t="s">
        <v>144</v>
      </c>
      <c r="C143" s="3" t="str">
        <f>IFERROR(__xludf.DUMMYFUNCTION("GOOGLETRANSLATE(B143,""id"",""en"")"),"['Cool', 'already', 'Support', 'Fingerprint', '']")</f>
        <v>['Cool', 'already', 'Support', 'Fingerprint', '']</v>
      </c>
      <c r="D143" s="3">
        <v>5.0</v>
      </c>
    </row>
    <row r="144" ht="15.75" customHeight="1">
      <c r="A144" s="1">
        <v>157.0</v>
      </c>
      <c r="B144" s="3" t="s">
        <v>145</v>
      </c>
      <c r="C144" s="3" t="str">
        <f>IFERROR(__xludf.DUMMYFUNCTION("GOOGLETRANSLATE(B144,""id"",""en"")"),"['report', 'disruption', 'restart', 'modem', 'restart', 'overcome', 'disorder']")</f>
        <v>['report', 'disruption', 'restart', 'modem', 'restart', 'overcome', 'disorder']</v>
      </c>
      <c r="D144" s="3">
        <v>2.0</v>
      </c>
    </row>
    <row r="145" ht="15.75" customHeight="1">
      <c r="A145" s="1">
        <v>158.0</v>
      </c>
      <c r="B145" s="3" t="s">
        <v>146</v>
      </c>
      <c r="C145" s="3" t="str">
        <f>IFERROR(__xludf.DUMMYFUNCTION("GOOGLETRANSLATE(B145,""id"",""en"")"),"['Login', 'gymna', 'check', 'bill', '']")</f>
        <v>['Login', 'gymna', 'check', 'bill', '']</v>
      </c>
      <c r="D145" s="3">
        <v>1.0</v>
      </c>
    </row>
    <row r="146" ht="15.75" customHeight="1">
      <c r="A146" s="1">
        <v>159.0</v>
      </c>
      <c r="B146" s="3" t="s">
        <v>147</v>
      </c>
      <c r="C146" s="3" t="str">
        <f>IFERROR(__xludf.DUMMYFUNCTION("GOOGLETRANSLATE(B146,""id"",""en"")"),"['Leg', 'Telkom', 'GMNA', 'Gush', 'company', 'Customer', 'Satisfied']")</f>
        <v>['Leg', 'Telkom', 'GMNA', 'Gush', 'company', 'Customer', 'Satisfied']</v>
      </c>
      <c r="D146" s="3">
        <v>1.0</v>
      </c>
    </row>
    <row r="147" ht="15.75" customHeight="1">
      <c r="A147" s="1">
        <v>161.0</v>
      </c>
      <c r="B147" s="3" t="s">
        <v>148</v>
      </c>
      <c r="C147" s="3" t="str">
        <f>IFERROR(__xludf.DUMMYFUNCTION("GOOGLETRANSLATE(B147,""id"",""en"")"),"['', 'Entering', 'number', 'Customer', '']")</f>
        <v>['', 'Entering', 'number', 'Customer', '']</v>
      </c>
      <c r="D147" s="3">
        <v>1.0</v>
      </c>
    </row>
    <row r="148" ht="15.75" customHeight="1">
      <c r="A148" s="1">
        <v>162.0</v>
      </c>
      <c r="B148" s="3" t="s">
        <v>149</v>
      </c>
      <c r="C148" s="3" t="str">
        <f>IFERROR(__xludf.DUMMYFUNCTION("GOOGLETRANSLATE(B148,""id"",""en"")"),"['Please', 'YouTube', 'repaired']")</f>
        <v>['Please', 'YouTube', 'repaired']</v>
      </c>
      <c r="D148" s="3">
        <v>3.0</v>
      </c>
    </row>
    <row r="149" ht="15.75" customHeight="1">
      <c r="A149" s="1">
        <v>163.0</v>
      </c>
      <c r="B149" s="3" t="s">
        <v>150</v>
      </c>
      <c r="C149" s="3" t="str">
        <f>IFERROR(__xludf.DUMMYFUNCTION("GOOGLETRANSLATE(B149,""id"",""en"")"),"['bad']")</f>
        <v>['bad']</v>
      </c>
      <c r="D149" s="3">
        <v>1.0</v>
      </c>
    </row>
    <row r="150" ht="15.75" customHeight="1">
      <c r="A150" s="1">
        <v>164.0</v>
      </c>
      <c r="B150" s="3" t="s">
        <v>151</v>
      </c>
      <c r="C150" s="3" t="str">
        <f>IFERROR(__xludf.DUMMYFUNCTION("GOOGLETRANSLATE(B150,""id"",""en"")"),"['Disappointed', 'Disruption', 'Cutting', 'Costs',' Monthly ',' Discount ',' Late ',' Pay ',' Direct ',' Dipotus', 'Use', 'Internet', ' Subjected to ',' fine ',' ']")</f>
        <v>['Disappointed', 'Disruption', 'Cutting', 'Costs',' Monthly ',' Discount ',' Late ',' Pay ',' Direct ',' Dipotus', 'Use', 'Internet', ' Subjected to ',' fine ',' ']</v>
      </c>
      <c r="D150" s="3">
        <v>1.0</v>
      </c>
    </row>
    <row r="151" ht="15.75" customHeight="1">
      <c r="A151" s="1">
        <v>165.0</v>
      </c>
      <c r="B151" s="3" t="s">
        <v>152</v>
      </c>
      <c r="C151" s="3" t="str">
        <f>IFERROR(__xludf.DUMMYFUNCTION("GOOGLETRANSLATE(B151,""id"",""en"")"),"['Play', 'Ngelag', 'Learning', 'Ngelag', 'Strange', 'Bet', 'Make', 'Cuman', 'People', ""]")</f>
        <v>['Play', 'Ngelag', 'Learning', 'Ngelag', 'Strange', 'Bet', 'Make', 'Cuman', 'People', "]</v>
      </c>
      <c r="D151" s="3">
        <v>1.0</v>
      </c>
    </row>
    <row r="152" ht="15.75" customHeight="1">
      <c r="A152" s="1">
        <v>167.0</v>
      </c>
      <c r="B152" s="3" t="s">
        <v>153</v>
      </c>
      <c r="C152" s="3" t="str">
        <f>IFERROR(__xludf.DUMMYFUNCTION("GOOGLETRANSLATE(B152,""id"",""en"")"),"['Network', 'nyalahh']")</f>
        <v>['Network', 'nyalahh']</v>
      </c>
      <c r="D152" s="3">
        <v>1.0</v>
      </c>
    </row>
    <row r="153" ht="15.75" customHeight="1">
      <c r="A153" s="1">
        <v>168.0</v>
      </c>
      <c r="B153" s="3" t="s">
        <v>154</v>
      </c>
      <c r="C153" s="3" t="str">
        <f>IFERROR(__xludf.DUMMYFUNCTION("GOOGLETRANSLATE(B153,""id"",""en"")"),"['complaint', 'damage', 'application']")</f>
        <v>['complaint', 'damage', 'application']</v>
      </c>
      <c r="D153" s="3">
        <v>3.0</v>
      </c>
    </row>
    <row r="154" ht="15.75" customHeight="1">
      <c r="A154" s="1">
        <v>169.0</v>
      </c>
      <c r="B154" s="3" t="s">
        <v>155</v>
      </c>
      <c r="C154" s="3" t="str">
        <f>IFERROR(__xludf.DUMMYFUNCTION("GOOGLETRANSLATE(B154,""id"",""en"")"),"['ugly', 'signal', 'expensive', 'doang', 'company', 'product', 'government', 'good', 'quality', 'dilapidated', 'regret', 'indihome']")</f>
        <v>['ugly', 'signal', 'expensive', 'doang', 'company', 'product', 'government', 'good', 'quality', 'dilapidated', 'regret', 'indihome']</v>
      </c>
      <c r="D154" s="3">
        <v>1.0</v>
      </c>
    </row>
    <row r="155" ht="15.75" customHeight="1">
      <c r="A155" s="1">
        <v>170.0</v>
      </c>
      <c r="B155" s="3" t="s">
        <v>156</v>
      </c>
      <c r="C155" s="3" t="str">
        <f>IFERROR(__xludf.DUMMYFUNCTION("GOOGLETRANSLATE(B155,""id"",""en"")"),"['signal', 'intention', 'signal', 'mending', 'sell', 'cilok', 'bother', 'doang', 'kek', 'bot']")</f>
        <v>['signal', 'intention', 'signal', 'mending', 'sell', 'cilok', 'bother', 'doang', 'kek', 'bot']</v>
      </c>
      <c r="D155" s="3">
        <v>1.0</v>
      </c>
    </row>
    <row r="156" ht="15.75" customHeight="1">
      <c r="A156" s="1">
        <v>171.0</v>
      </c>
      <c r="B156" s="3" t="s">
        <v>157</v>
      </c>
      <c r="C156" s="3" t="str">
        <f>IFERROR(__xludf.DUMMYFUNCTION("GOOGLETRANSLATE(B156,""id"",""en"")"),"['min', 'network', 'indihome', 'already', 'conect', 'wifi', 'slow', 'min', 'please', 'speed', 'repair', 'network', ' Indihomen ',' min ']")</f>
        <v>['min', 'network', 'indihome', 'already', 'conect', 'wifi', 'slow', 'min', 'please', 'speed', 'repair', 'network', ' Indihomen ',' min ']</v>
      </c>
      <c r="D156" s="3">
        <v>1.0</v>
      </c>
    </row>
    <row r="157" ht="15.75" customHeight="1">
      <c r="A157" s="1">
        <v>172.0</v>
      </c>
      <c r="B157" s="3" t="s">
        <v>158</v>
      </c>
      <c r="C157" s="3" t="str">
        <f>IFERROR(__xludf.DUMMYFUNCTION("GOOGLETRANSLATE(B157,""id"",""en"")"),"['application', 'makes it easy', 'service', 'tipped', 'exacerbates',' submission ',' mounting ',' reset ',' confirm ',' thank ',' love ',' service ',' Worst ',' ']")</f>
        <v>['application', 'makes it easy', 'service', 'tipped', 'exacerbates',' submission ',' mounting ',' reset ',' confirm ',' thank ',' love ',' service ',' Worst ',' ']</v>
      </c>
      <c r="D157" s="3">
        <v>1.0</v>
      </c>
    </row>
    <row r="158" ht="15.75" customHeight="1">
      <c r="A158" s="1">
        <v>173.0</v>
      </c>
      <c r="B158" s="3" t="s">
        <v>159</v>
      </c>
      <c r="C158" s="3" t="str">
        <f>IFERROR(__xludf.DUMMYFUNCTION("GOOGLETRANSLATE(B158,""id"",""en"")"),"['Speed', 'home', 'Mbps', 'check', 'speed', 'test', 'Mbps', 'Please', 'Speed', 'according to', 'payment', 'Teimakasih']")</f>
        <v>['Speed', 'home', 'Mbps', 'check', 'speed', 'test', 'Mbps', 'Please', 'Speed', 'according to', 'payment', 'Teimakasih']</v>
      </c>
      <c r="D158" s="3">
        <v>2.0</v>
      </c>
    </row>
    <row r="159" ht="15.75" customHeight="1">
      <c r="A159" s="1">
        <v>174.0</v>
      </c>
      <c r="B159" s="3" t="s">
        <v>160</v>
      </c>
      <c r="C159" s="3" t="str">
        <f>IFERROR(__xludf.DUMMYFUNCTION("GOOGLETRANSLATE(B159,""id"",""en"")"),"['Install', 'open', 'accessed']")</f>
        <v>['Install', 'open', 'accessed']</v>
      </c>
      <c r="D159" s="3">
        <v>1.0</v>
      </c>
    </row>
    <row r="160" ht="15.75" customHeight="1">
      <c r="A160" s="1">
        <v>175.0</v>
      </c>
      <c r="B160" s="3" t="s">
        <v>161</v>
      </c>
      <c r="C160" s="3" t="str">
        <f>IFERROR(__xludf.DUMMYFUNCTION("GOOGLETRANSLATE(B160,""id"",""en"")"),"['tired', 'gini', 'open']")</f>
        <v>['tired', 'gini', 'open']</v>
      </c>
      <c r="D160" s="3">
        <v>1.0</v>
      </c>
    </row>
    <row r="161" ht="15.75" customHeight="1">
      <c r="A161" s="1">
        <v>176.0</v>
      </c>
      <c r="B161" s="3" t="s">
        <v>162</v>
      </c>
      <c r="C161" s="3" t="str">
        <f>IFERROR(__xludf.DUMMYFUNCTION("GOOGLETRANSLATE(B161,""id"",""en"")"),"['ISP', 'LAKNAT', 'World', 'Package', 'Mbps',' Monthly ',' Okay ',' Msh ',' Behind ',' Mbps', 'Beh', 'Mbps',' "", 'Severe', 'Mbps', 'WTFF', 'MENN', 'Monthly', 'Pay', 'then', 'enjoyed', 'Speed', 'Mbps', 'Udh', 'Telfon' , 'repeated', 'times',' NGasi ',' res"&amp;"ponse ',' prayer ',' hope ',' person ',' telkom ',' kasi ',' guidance ',' disappointed ',' heavy ',' ISP ',' already ',' switch ',' ISP ',' Ngani ',' star ',' Tekutuk ',' skali ']")</f>
        <v>['ISP', 'LAKNAT', 'World', 'Package', 'Mbps',' Monthly ',' Okay ',' Msh ',' Behind ',' Mbps', 'Beh', 'Mbps',' ", 'Severe', 'Mbps', 'WTFF', 'MENN', 'Monthly', 'Pay', 'then', 'enjoyed', 'Speed', 'Mbps', 'Udh', 'Telfon' , 'repeated', 'times',' NGasi ',' response ',' prayer ',' hope ',' person ',' telkom ',' kasi ',' guidance ',' disappointed ',' heavy ',' ISP ',' already ',' switch ',' ISP ',' Ngani ',' star ',' Tekutuk ',' skali ']</v>
      </c>
      <c r="D161" s="3">
        <v>1.0</v>
      </c>
    </row>
    <row r="162" ht="15.75" customHeight="1">
      <c r="A162" s="1">
        <v>177.0</v>
      </c>
      <c r="B162" s="3" t="s">
        <v>163</v>
      </c>
      <c r="C162" s="3" t="str">
        <f>IFERROR(__xludf.DUMMYFUNCTION("GOOGLETRANSLATE(B162,""id"",""en"")"),"['STB', 'Road', 'Application', 'Log', '']")</f>
        <v>['STB', 'Road', 'Application', 'Log', '']</v>
      </c>
      <c r="D162" s="3">
        <v>1.0</v>
      </c>
    </row>
    <row r="163" ht="15.75" customHeight="1">
      <c r="A163" s="1">
        <v>178.0</v>
      </c>
      <c r="B163" s="3" t="s">
        <v>164</v>
      </c>
      <c r="C163" s="3" t="str">
        <f>IFERROR(__xludf.DUMMYFUNCTION("GOOGLETRANSLATE(B163,""id"",""en"")"),"['failed', 'open', 'application']")</f>
        <v>['failed', 'open', 'application']</v>
      </c>
      <c r="D163" s="3">
        <v>1.0</v>
      </c>
    </row>
    <row r="164" ht="15.75" customHeight="1">
      <c r="A164" s="1">
        <v>180.0</v>
      </c>
      <c r="B164" s="3" t="s">
        <v>165</v>
      </c>
      <c r="C164" s="3" t="str">
        <f>IFERROR(__xludf.DUMMYFUNCTION("GOOGLETRANSLATE(B164,""id"",""en"")"),"['subscription', 'Doang', 'smooth', 'kagak', 'mulu']")</f>
        <v>['subscription', 'Doang', 'smooth', 'kagak', 'mulu']</v>
      </c>
      <c r="D164" s="3">
        <v>1.0</v>
      </c>
    </row>
    <row r="165" ht="15.75" customHeight="1">
      <c r="A165" s="1">
        <v>181.0</v>
      </c>
      <c r="B165" s="3" t="s">
        <v>166</v>
      </c>
      <c r="C165" s="3" t="str">
        <f>IFERROR(__xludf.DUMMYFUNCTION("GOOGLETRANSLATE(B165,""id"",""en"")"),"['package', 'gaming', 'please', 'repaired', 'lgi', 'lag', 'severe', 'lose', 'treach', 'account', '']")</f>
        <v>['package', 'gaming', 'please', 'repaired', 'lgi', 'lag', 'severe', 'lose', 'treach', 'account', '']</v>
      </c>
      <c r="D165" s="3">
        <v>1.0</v>
      </c>
    </row>
    <row r="166" ht="15.75" customHeight="1">
      <c r="A166" s="1">
        <v>182.0</v>
      </c>
      <c r="B166" s="3" t="s">
        <v>167</v>
      </c>
      <c r="C166" s="3" t="str">
        <f>IFERROR(__xludf.DUMMYFUNCTION("GOOGLETRANSLATE(B166,""id"",""en"")"),"['thank you']")</f>
        <v>['thank you']</v>
      </c>
      <c r="D166" s="3">
        <v>5.0</v>
      </c>
    </row>
    <row r="167" ht="15.75" customHeight="1">
      <c r="A167" s="1">
        <v>183.0</v>
      </c>
      <c r="B167" s="3" t="s">
        <v>168</v>
      </c>
      <c r="C167" s="3" t="str">
        <f>IFERROR(__xludf.DUMMYFUNCTION("GOOGLETRANSLATE(B167,""id"",""en"")"),"['Pay', 'gmna', 'connection', 'disconnected', '']")</f>
        <v>['Pay', 'gmna', 'connection', 'disconnected', '']</v>
      </c>
      <c r="D167" s="3">
        <v>1.0</v>
      </c>
    </row>
    <row r="168" ht="15.75" customHeight="1">
      <c r="A168" s="1">
        <v>184.0</v>
      </c>
      <c r="B168" s="3" t="s">
        <v>169</v>
      </c>
      <c r="C168" s="3" t="str">
        <f>IFERROR(__xludf.DUMMYFUNCTION("GOOGLETRANSLATE(B168,""id"",""en"")"),"['Application', 'pig', 'enter', 'number', 'Indihome', 'Noker', 'known', 'inet', 'connection', 'for days', 'pay', 'a week']")</f>
        <v>['Application', 'pig', 'enter', 'number', 'Indihome', 'Noker', 'known', 'inet', 'connection', 'for days', 'pay', 'a week']</v>
      </c>
      <c r="D168" s="3">
        <v>1.0</v>
      </c>
    </row>
    <row r="169" ht="15.75" customHeight="1">
      <c r="A169" s="1">
        <v>185.0</v>
      </c>
      <c r="B169" s="3" t="s">
        <v>170</v>
      </c>
      <c r="C169" s="3" t="str">
        <f>IFERROR(__xludf.DUMMYFUNCTION("GOOGLETRANSLATE(B169,""id"",""en"")"),"['Network', 'Indi']")</f>
        <v>['Network', 'Indi']</v>
      </c>
      <c r="D169" s="3">
        <v>1.0</v>
      </c>
    </row>
    <row r="170" ht="15.75" customHeight="1">
      <c r="A170" s="1">
        <v>186.0</v>
      </c>
      <c r="B170" s="3" t="s">
        <v>171</v>
      </c>
      <c r="C170" s="3" t="str">
        <f>IFERROR(__xludf.DUMMYFUNCTION("GOOGLETRANSLATE(B170,""id"",""en"")"),"['Disruption', 'Mulu', 'Indihome', 'Clown', 'Out', 'Disruption', 'Bulk', 'skrg', 'Los',' report ',' appears', 'Sorry', ' Services', 'Indihome', 'experience', 'disorder', 'location', 'disorder', 'mass',' please ',' wait ',' technician ',' improvement ',' s"&amp;"ampe ',' right ' , 'Indihome', 'clown', '']")</f>
        <v>['Disruption', 'Mulu', 'Indihome', 'Clown', 'Out', 'Disruption', 'Bulk', 'skrg', 'Los',' report ',' appears', 'Sorry', ' Services', 'Indihome', 'experience', 'disorder', 'location', 'disorder', 'mass',' please ',' wait ',' technician ',' improvement ',' sampe ',' right ' , 'Indihome', 'clown', '']</v>
      </c>
      <c r="D170" s="3">
        <v>1.0</v>
      </c>
    </row>
    <row r="171" ht="15.75" customHeight="1">
      <c r="A171" s="1">
        <v>187.0</v>
      </c>
      <c r="B171" s="3" t="s">
        <v>172</v>
      </c>
      <c r="C171" s="3" t="str">
        <f>IFERROR(__xludf.DUMMYFUNCTION("GOOGLETRANSLATE(B171,""id"",""en"")"),"['APK', 'bad', 'sell', 'turn', 'disorder', 'claim', 'report', '']")</f>
        <v>['APK', 'bad', 'sell', 'turn', 'disorder', 'claim', 'report', '']</v>
      </c>
      <c r="D171" s="3">
        <v>1.0</v>
      </c>
    </row>
    <row r="172" ht="15.75" customHeight="1">
      <c r="A172" s="1">
        <v>188.0</v>
      </c>
      <c r="B172" s="3" t="s">
        <v>173</v>
      </c>
      <c r="C172" s="3" t="str">
        <f>IFERROR(__xludf.DUMMYFUNCTION("GOOGLETRANSLATE(B172,""id"",""en"")"),"['', 'wifinya', 'slow', 'really', 'yaaa', 'pdahal', 'ssya', 'addlan', 'mbps', 'tetep', 'ajh']")</f>
        <v>['', 'wifinya', 'slow', 'really', 'yaaa', 'pdahal', 'ssya', 'addlan', 'mbps', 'tetep', 'ajh']</v>
      </c>
      <c r="D172" s="3">
        <v>1.0</v>
      </c>
    </row>
    <row r="173" ht="15.75" customHeight="1">
      <c r="A173" s="1">
        <v>189.0</v>
      </c>
      <c r="B173" s="3" t="s">
        <v>174</v>
      </c>
      <c r="C173" s="3" t="str">
        <f>IFERROR(__xludf.DUMMYFUNCTION("GOOGLETRANSLATE(B173,""id"",""en"")"),"['help', '']")</f>
        <v>['help', '']</v>
      </c>
      <c r="D173" s="3">
        <v>4.0</v>
      </c>
    </row>
    <row r="174" ht="15.75" customHeight="1">
      <c r="A174" s="1">
        <v>190.0</v>
      </c>
      <c r="B174" s="3" t="s">
        <v>175</v>
      </c>
      <c r="C174" s="3" t="str">
        <f>IFERROR(__xludf.DUMMYFUNCTION("GOOGLETRANSLATE(B174,""id"",""en"")"),"['Data', 'Insert', 'FAIL', '']")</f>
        <v>['Data', 'Insert', 'FAIL', '']</v>
      </c>
      <c r="D174" s="3">
        <v>1.0</v>
      </c>
    </row>
    <row r="175" ht="15.75" customHeight="1">
      <c r="A175" s="1">
        <v>191.0</v>
      </c>
      <c r="B175" s="3" t="s">
        <v>176</v>
      </c>
      <c r="C175" s="3" t="str">
        <f>IFERROR(__xludf.DUMMYFUNCTION("GOOGLETRANSLATE(B175,""id"",""en"")"),"['tempted', 'promo', 'indihome', 'it costs',' swollen ',' gmn ',' forward ',' work ',' stupid ',' customer ',' sori ',' stupid ',' See ',' details', 'subscription', 'Activate', 'Agreement', 'Bener', 'work', 'company', 'Government', 'Professional']")</f>
        <v>['tempted', 'promo', 'indihome', 'it costs',' swollen ',' gmn ',' forward ',' work ',' stupid ',' customer ',' sori ',' stupid ',' See ',' details', 'subscription', 'Activate', 'Agreement', 'Bener', 'work', 'company', 'Government', 'Professional']</v>
      </c>
      <c r="D175" s="3">
        <v>1.0</v>
      </c>
    </row>
    <row r="176" ht="15.75" customHeight="1">
      <c r="A176" s="1">
        <v>192.0</v>
      </c>
      <c r="B176" s="3" t="s">
        <v>177</v>
      </c>
      <c r="C176" s="3" t="str">
        <f>IFERROR(__xludf.DUMMYFUNCTION("GOOGLETRANSLATE(B176,""id"",""en"")"),"['Login', 'problematic']")</f>
        <v>['Login', 'problematic']</v>
      </c>
      <c r="D176" s="3">
        <v>1.0</v>
      </c>
    </row>
    <row r="177" ht="15.75" customHeight="1">
      <c r="A177" s="1">
        <v>193.0</v>
      </c>
      <c r="B177" s="3" t="s">
        <v>178</v>
      </c>
      <c r="C177" s="3" t="str">
        <f>IFERROR(__xludf.DUMMYFUNCTION("GOOGLETRANSLATE(B177,""id"",""en"")"),"['Knpa', 'gabisa', 'opened', 'wehh']")</f>
        <v>['Knpa', 'gabisa', 'opened', 'wehh']</v>
      </c>
      <c r="D177" s="3">
        <v>1.0</v>
      </c>
    </row>
    <row r="178" ht="15.75" customHeight="1">
      <c r="A178" s="1">
        <v>194.0</v>
      </c>
      <c r="B178" s="3" t="s">
        <v>179</v>
      </c>
      <c r="C178" s="3" t="str">
        <f>IFERROR(__xludf.DUMMYFUNCTION("GOOGLETRANSLATE(B178,""id"",""en"")"),"['Download', 'Application', 'Give', 'Assessment', 'Network', 'Bad', 'Improvement', 'Budget', 'Payment', 'Cut "",' Inikan ',' Customers', 'Pairs',' wifi ',' speed up ',' activity ',' make it difficult ',' pantes', 'branch', 'down']")</f>
        <v>['Download', 'Application', 'Give', 'Assessment', 'Network', 'Bad', 'Improvement', 'Budget', 'Payment', 'Cut ",' Inikan ',' Customers', 'Pairs',' wifi ',' speed up ',' activity ',' make it difficult ',' pantes', 'branch', 'down']</v>
      </c>
      <c r="D178" s="3">
        <v>1.0</v>
      </c>
    </row>
    <row r="179" ht="15.75" customHeight="1">
      <c r="A179" s="1">
        <v>195.0</v>
      </c>
      <c r="B179" s="3" t="s">
        <v>180</v>
      </c>
      <c r="C179" s="3" t="str">
        <f>IFERROR(__xludf.DUMMYFUNCTION("GOOGLETRANSLATE(B179,""id"",""en"")"),"['Login', 'Mulu', 'update', 'not', 'easy', 'make it difficult']")</f>
        <v>['Login', 'Mulu', 'update', 'not', 'easy', 'make it difficult']</v>
      </c>
      <c r="D179" s="3">
        <v>1.0</v>
      </c>
    </row>
    <row r="180" ht="15.75" customHeight="1">
      <c r="A180" s="1">
        <v>196.0</v>
      </c>
      <c r="B180" s="3" t="s">
        <v>181</v>
      </c>
      <c r="C180" s="3" t="str">
        <f>IFERROR(__xludf.DUMMYFUNCTION("GOOGLETRANSLATE(B180,""id"",""en"")"),"['expensive', 'quality', 'expensive']")</f>
        <v>['expensive', 'quality', 'expensive']</v>
      </c>
      <c r="D180" s="3">
        <v>1.0</v>
      </c>
    </row>
    <row r="181" ht="15.75" customHeight="1">
      <c r="A181" s="1">
        <v>197.0</v>
      </c>
      <c r="B181" s="3" t="s">
        <v>182</v>
      </c>
      <c r="C181" s="3" t="str">
        <f>IFERROR(__xludf.DUMMYFUNCTION("GOOGLETRANSLATE(B181,""id"",""en"")"),"['Please', 'Fast', 'Fixed', 'Indihome', 'Open', 'Babgettttt', 'Indihome', 'Bad']")</f>
        <v>['Please', 'Fast', 'Fixed', 'Indihome', 'Open', 'Babgettttt', 'Indihome', 'Bad']</v>
      </c>
      <c r="D181" s="3">
        <v>1.0</v>
      </c>
    </row>
    <row r="182" ht="15.75" customHeight="1">
      <c r="A182" s="1">
        <v>198.0</v>
      </c>
      <c r="B182" s="3" t="s">
        <v>183</v>
      </c>
      <c r="C182" s="3" t="str">
        <f>IFERROR(__xludf.DUMMYFUNCTION("GOOGLETRANSLATE(B182,""id"",""en"")"),"['Application', 'Error']")</f>
        <v>['Application', 'Error']</v>
      </c>
      <c r="D182" s="3">
        <v>1.0</v>
      </c>
    </row>
    <row r="183" ht="15.75" customHeight="1">
      <c r="A183" s="1">
        <v>199.0</v>
      </c>
      <c r="B183" s="3" t="s">
        <v>184</v>
      </c>
      <c r="C183" s="3" t="str">
        <f>IFERROR(__xludf.DUMMYFUNCTION("GOOGLETRANSLATE(B183,""id"",""en"")"),"['Severe', 'Disappointed', 'Very', 'Searching', 'Browser', 'Reload', 'Mulu', 'Paying', 'Tetep']")</f>
        <v>['Severe', 'Disappointed', 'Very', 'Searching', 'Browser', 'Reload', 'Mulu', 'Paying', 'Tetep']</v>
      </c>
      <c r="D183" s="3">
        <v>1.0</v>
      </c>
    </row>
    <row r="184" ht="15.75" customHeight="1">
      <c r="A184" s="1">
        <v>200.0</v>
      </c>
      <c r="B184" s="3" t="s">
        <v>185</v>
      </c>
      <c r="C184" s="3" t="str">
        <f>IFERROR(__xludf.DUMMYFUNCTION("GOOGLETRANSLATE(B184,""id"",""en"")"),"['application', 'abal', 'abal', 'difficult', 'accessible', 'severe', 'update', 'newest', 'open', 'try', 'reset', 'application', ' Nyantwr ',' closed ']")</f>
        <v>['application', 'abal', 'abal', 'difficult', 'accessible', 'severe', 'update', 'newest', 'open', 'try', 'reset', 'application', ' Nyantwr ',' closed ']</v>
      </c>
      <c r="D184" s="3">
        <v>1.0</v>
      </c>
    </row>
    <row r="185" ht="15.75" customHeight="1">
      <c r="A185" s="1">
        <v>201.0</v>
      </c>
      <c r="B185" s="3" t="s">
        <v>186</v>
      </c>
      <c r="C185" s="3" t="str">
        <f>IFERROR(__xludf.DUMMYFUNCTION("GOOGLETRANSLATE(B185,""id"",""en"")"),"['opened', 'application', 'Nge', 'crash']")</f>
        <v>['opened', 'application', 'Nge', 'crash']</v>
      </c>
      <c r="D185" s="3">
        <v>1.0</v>
      </c>
    </row>
    <row r="186" ht="15.75" customHeight="1">
      <c r="A186" s="1">
        <v>202.0</v>
      </c>
      <c r="B186" s="3" t="s">
        <v>187</v>
      </c>
      <c r="C186" s="3" t="str">
        <f>IFERROR(__xludf.DUMMYFUNCTION("GOOGLETRANSLATE(B186,""id"",""en"")"),"['Service', 'telephone', 'Sape', 'Out', 'Credit', 'Send', 'App', 'Response', 'Repair']")</f>
        <v>['Service', 'telephone', 'Sape', 'Out', 'Credit', 'Send', 'App', 'Response', 'Repair']</v>
      </c>
      <c r="D186" s="3">
        <v>1.0</v>
      </c>
    </row>
    <row r="187" ht="15.75" customHeight="1">
      <c r="A187" s="1">
        <v>203.0</v>
      </c>
      <c r="B187" s="3" t="s">
        <v>188</v>
      </c>
      <c r="C187" s="3" t="str">
        <f>IFERROR(__xludf.DUMMYFUNCTION("GOOGLETRANSLATE(B187,""id"",""en"")"),"['Service', 'Internet', 'Telkom', 'ugly', 'Disruption', 'Mulu']")</f>
        <v>['Service', 'Internet', 'Telkom', 'ugly', 'Disruption', 'Mulu']</v>
      </c>
      <c r="D187" s="3">
        <v>1.0</v>
      </c>
    </row>
    <row r="188" ht="15.75" customHeight="1">
      <c r="A188" s="1">
        <v>204.0</v>
      </c>
      <c r="B188" s="3" t="s">
        <v>189</v>
      </c>
      <c r="C188" s="3" t="str">
        <f>IFERROR(__xludf.DUMMYFUNCTION("GOOGLETRANSLATE(B188,""id"",""en"")"),"['GMNA', 'enter', 'number', 'subscription', 'number', 'subscription', 'right', 'writing', 'number', 'registered', 'valid']")</f>
        <v>['GMNA', 'enter', 'number', 'subscription', 'number', 'subscription', 'right', 'writing', 'number', 'registered', 'valid']</v>
      </c>
      <c r="D188" s="3">
        <v>1.0</v>
      </c>
    </row>
    <row r="189" ht="15.75" customHeight="1">
      <c r="A189" s="1">
        <v>205.0</v>
      </c>
      <c r="B189" s="3" t="s">
        <v>190</v>
      </c>
      <c r="C189" s="3" t="str">
        <f>IFERROR(__xludf.DUMMYFUNCTION("GOOGLETRANSLATE(B189,""id"",""en"")"),"['can', 'Login']")</f>
        <v>['can', 'Login']</v>
      </c>
      <c r="D189" s="3">
        <v>1.0</v>
      </c>
    </row>
    <row r="190" ht="15.75" customHeight="1">
      <c r="A190" s="1">
        <v>206.0</v>
      </c>
      <c r="B190" s="3" t="s">
        <v>191</v>
      </c>
      <c r="C190" s="3" t="str">
        <f>IFERROR(__xludf.DUMMYFUNCTION("GOOGLETRANSLATE(B190,""id"",""en"")"),"['APK', 'Indihome', 'Good', 'Luck', 'Helping', 'Make Easy', 'Service', 'Customer', '']")</f>
        <v>['APK', 'Indihome', 'Good', 'Luck', 'Helping', 'Make Easy', 'Service', 'Customer', '']</v>
      </c>
      <c r="D190" s="3">
        <v>4.0</v>
      </c>
    </row>
    <row r="191" ht="15.75" customHeight="1">
      <c r="A191" s="1">
        <v>207.0</v>
      </c>
      <c r="B191" s="3" t="s">
        <v>192</v>
      </c>
      <c r="C191" s="3" t="str">
        <f>IFERROR(__xludf.DUMMYFUNCTION("GOOGLETRANSLATE(B191,""id"",""en"")"),"['application', 'defective']")</f>
        <v>['application', 'defective']</v>
      </c>
      <c r="D191" s="3">
        <v>1.0</v>
      </c>
    </row>
    <row r="192" ht="15.75" customHeight="1">
      <c r="A192" s="1">
        <v>208.0</v>
      </c>
      <c r="B192" s="3" t="s">
        <v>193</v>
      </c>
      <c r="C192" s="3" t="str">
        <f>IFERROR(__xludf.DUMMYFUNCTION("GOOGLETRANSLATE(B192,""id"",""en"")"),"['turn', 'late', 'little', 'bill', 'already', 'rich', 'Minjem', 'Duiit', 'millions',' turn ',' network ',' slow ',' Response ',' here ',' ']")</f>
        <v>['turn', 'late', 'little', 'bill', 'already', 'rich', 'Minjem', 'Duiit', 'millions',' turn ',' network ',' slow ',' Response ',' here ',' ']</v>
      </c>
      <c r="D192" s="3">
        <v>1.0</v>
      </c>
    </row>
    <row r="193" ht="15.75" customHeight="1">
      <c r="A193" s="1">
        <v>209.0</v>
      </c>
      <c r="B193" s="3" t="s">
        <v>194</v>
      </c>
      <c r="C193" s="3" t="str">
        <f>IFERROR(__xludf.DUMMYFUNCTION("GOOGLETRANSLATE(B193,""id"",""en"")"),"['Application', 'Login']")</f>
        <v>['Application', 'Login']</v>
      </c>
      <c r="D193" s="3">
        <v>1.0</v>
      </c>
    </row>
    <row r="194" ht="15.75" customHeight="1">
      <c r="A194" s="1">
        <v>210.0</v>
      </c>
      <c r="B194" s="3" t="s">
        <v>195</v>
      </c>
      <c r="C194" s="3" t="str">
        <f>IFERROR(__xludf.DUMMYFUNCTION("GOOGLETRANSLATE(B194,""id"",""en"")"),"['Provider', 'Internet', 'Worst', '']")</f>
        <v>['Provider', 'Internet', 'Worst', '']</v>
      </c>
      <c r="D194" s="3">
        <v>1.0</v>
      </c>
    </row>
    <row r="195" ht="15.75" customHeight="1">
      <c r="A195" s="1">
        <v>211.0</v>
      </c>
      <c r="B195" s="3" t="s">
        <v>196</v>
      </c>
      <c r="C195" s="3" t="str">
        <f>IFERROR(__xludf.DUMMYFUNCTION("GOOGLETRANSLATE(B195,""id"",""en"")"),"['Please', 'Increase', 'Hard', 'Login', 'Bill', 'Difficult', 'Customer', 'Worried', 'Shocked', 'Pliss']")</f>
        <v>['Please', 'Increase', 'Hard', 'Login', 'Bill', 'Difficult', 'Customer', 'Worried', 'Shocked', 'Pliss']</v>
      </c>
      <c r="D195" s="3">
        <v>5.0</v>
      </c>
    </row>
    <row r="196" ht="15.75" customHeight="1">
      <c r="A196" s="1">
        <v>212.0</v>
      </c>
      <c r="B196" s="3" t="s">
        <v>197</v>
      </c>
      <c r="C196" s="3" t="str">
        <f>IFERROR(__xludf.DUMMYFUNCTION("GOOGLETRANSLATE(B196,""id"",""en"")"),"['slow', 'bgttttttt', 'the application', 'udh', 'complain', 'byk', 'person', 'repair', '']")</f>
        <v>['slow', 'bgttttttt', 'the application', 'udh', 'complain', 'byk', 'person', 'repair', '']</v>
      </c>
      <c r="D196" s="3">
        <v>1.0</v>
      </c>
    </row>
    <row r="197" ht="15.75" customHeight="1">
      <c r="A197" s="1">
        <v>213.0</v>
      </c>
      <c r="B197" s="3" t="s">
        <v>198</v>
      </c>
      <c r="C197" s="3" t="str">
        <f>IFERROR(__xludf.DUMMYFUNCTION("GOOGLETRANSLATE(B197,""id"",""en"")"),"['', 'Log', 'embarrassing', 'BUMN', 'INDIHOME', 'RESET', 'FUP', '']")</f>
        <v>['', 'Log', 'embarrassing', 'BUMN', 'INDIHOME', 'RESET', 'FUP', '']</v>
      </c>
      <c r="D197" s="3">
        <v>1.0</v>
      </c>
    </row>
    <row r="198" ht="15.75" customHeight="1">
      <c r="A198" s="1">
        <v>214.0</v>
      </c>
      <c r="B198" s="3" t="s">
        <v>199</v>
      </c>
      <c r="C198" s="3" t="str">
        <f>IFERROR(__xludf.DUMMYFUNCTION("GOOGLETRANSLATE(B198,""id"",""en"")"),"['signal', 'anjg', 'per month', 'down', 'signal', 'signal', 'people', 'cituh', 'healthy', 'ngelwak', 'bang', ""]")</f>
        <v>['signal', 'anjg', 'per month', 'down', 'signal', 'signal', 'people', 'cituh', 'healthy', 'ngelwak', 'bang', "]</v>
      </c>
      <c r="D198" s="3">
        <v>1.0</v>
      </c>
    </row>
    <row r="199" ht="15.75" customHeight="1">
      <c r="A199" s="1">
        <v>215.0</v>
      </c>
      <c r="B199" s="3" t="s">
        <v>200</v>
      </c>
      <c r="C199" s="3" t="str">
        <f>IFERROR(__xludf.DUMMYFUNCTION("GOOGLETRANSLATE(B199,""id"",""en"")"),"['Internet', 'access', 'hesitation', 'frequency', 'call', 'call', 'center', 'gini', 'stop', 'subscription', 'indihome']")</f>
        <v>['Internet', 'access', 'hesitation', 'frequency', 'call', 'call', 'center', 'gini', 'stop', 'subscription', 'indihome']</v>
      </c>
      <c r="D199" s="3">
        <v>1.0</v>
      </c>
    </row>
    <row r="200" ht="15.75" customHeight="1">
      <c r="A200" s="1">
        <v>216.0</v>
      </c>
      <c r="B200" s="3" t="s">
        <v>201</v>
      </c>
      <c r="C200" s="3" t="str">
        <f>IFERROR(__xludf.DUMMYFUNCTION("GOOGLETRANSLATE(B200,""id"",""en"")"),"['Application', 'Teremot', 'Install']")</f>
        <v>['Application', 'Teremot', 'Install']</v>
      </c>
      <c r="D200" s="3">
        <v>1.0</v>
      </c>
    </row>
    <row r="201" ht="15.75" customHeight="1">
      <c r="A201" s="1">
        <v>217.0</v>
      </c>
      <c r="B201" s="3" t="s">
        <v>202</v>
      </c>
      <c r="C201" s="3" t="str">
        <f>IFERROR(__xludf.DUMMYFUNCTION("GOOGLETRANSLATE(B201,""id"",""en"")"),"['Uninstall', 'Ajaaaa', 'Login', 'Many', 'Times', 'Application', '']")</f>
        <v>['Uninstall', 'Ajaaaa', 'Login', 'Many', 'Times', 'Application', '']</v>
      </c>
      <c r="D201" s="3">
        <v>1.0</v>
      </c>
    </row>
    <row r="202" ht="15.75" customHeight="1">
      <c r="A202" s="1">
        <v>218.0</v>
      </c>
      <c r="B202" s="3" t="s">
        <v>203</v>
      </c>
      <c r="C202" s="3" t="str">
        <f>IFERROR(__xludf.DUMMYFUNCTION("GOOGLETRANSLATE(B202,""id"",""en"")"),"['', 'enter', 'intention', 'application', 'sie', 'oii']")</f>
        <v>['', 'enter', 'intention', 'application', 'sie', 'oii']</v>
      </c>
      <c r="D202" s="3">
        <v>1.0</v>
      </c>
    </row>
    <row r="203" ht="15.75" customHeight="1">
      <c r="A203" s="1">
        <v>219.0</v>
      </c>
      <c r="B203" s="3" t="s">
        <v>204</v>
      </c>
      <c r="C203" s="3" t="str">
        <f>IFERROR(__xludf.DUMMYFUNCTION("GOOGLETRANSLATE(B203,""id"",""en"")"),"['Please', 'Love', 'Features', 'Disconnect', 'Subscriptions', 'Kasian', 'Costumer', 'DTNG', 'TELKOM', 'LGI', 'Pandemic']")</f>
        <v>['Please', 'Love', 'Features', 'Disconnect', 'Subscriptions', 'Kasian', 'Costumer', 'DTNG', 'TELKOM', 'LGI', 'Pandemic']</v>
      </c>
      <c r="D203" s="3">
        <v>1.0</v>
      </c>
    </row>
    <row r="204" ht="15.75" customHeight="1">
      <c r="A204" s="1">
        <v>220.0</v>
      </c>
      <c r="B204" s="3" t="s">
        <v>205</v>
      </c>
      <c r="C204" s="3" t="str">
        <f>IFERROR(__xludf.DUMMYFUNCTION("GOOGLETRANSLATE(B204,""id"",""en"")"),"['Login', 'difficult', 'really', 'males']")</f>
        <v>['Login', 'difficult', 'really', 'males']</v>
      </c>
      <c r="D204" s="3">
        <v>1.0</v>
      </c>
    </row>
    <row r="205" ht="15.75" customHeight="1">
      <c r="A205" s="1">
        <v>221.0</v>
      </c>
      <c r="B205" s="3" t="s">
        <v>206</v>
      </c>
      <c r="C205" s="3" t="str">
        <f>IFERROR(__xludf.DUMMYFUNCTION("GOOGLETRANSLATE(B205,""id"",""en"")"),"['completion', 'usage', 'comfortable']")</f>
        <v>['completion', 'usage', 'comfortable']</v>
      </c>
      <c r="D205" s="3">
        <v>1.0</v>
      </c>
    </row>
    <row r="206" ht="15.75" customHeight="1">
      <c r="A206" s="1">
        <v>222.0</v>
      </c>
      <c r="B206" s="3" t="s">
        <v>207</v>
      </c>
      <c r="C206" s="3" t="str">
        <f>IFERROR(__xludf.DUMMYFUNCTION("GOOGLETRANSLATE(B206,""id"",""en"")"),"['Application', 'Loading', 'Snail']")</f>
        <v>['Application', 'Loading', 'Snail']</v>
      </c>
      <c r="D206" s="3">
        <v>1.0</v>
      </c>
    </row>
    <row r="207" ht="15.75" customHeight="1">
      <c r="A207" s="1">
        <v>223.0</v>
      </c>
      <c r="B207" s="3" t="s">
        <v>208</v>
      </c>
      <c r="C207" s="3" t="str">
        <f>IFERROR(__xludf.DUMMYFUNCTION("GOOGLETRANSLATE(B207,""id"",""en"")"),"['login']")</f>
        <v>['login']</v>
      </c>
      <c r="D207" s="3">
        <v>1.0</v>
      </c>
    </row>
    <row r="208" ht="15.75" customHeight="1">
      <c r="A208" s="1">
        <v>225.0</v>
      </c>
      <c r="B208" s="3" t="s">
        <v>209</v>
      </c>
      <c r="C208" s="3" t="str">
        <f>IFERROR(__xludf.DUMMYFUNCTION("GOOGLETRANSLATE(B208,""id"",""en"")"),"['Login', 'difficult']")</f>
        <v>['Login', 'difficult']</v>
      </c>
      <c r="D208" s="3">
        <v>3.0</v>
      </c>
    </row>
    <row r="209" ht="15.75" customHeight="1">
      <c r="A209" s="1">
        <v>226.0</v>
      </c>
      <c r="B209" s="3" t="s">
        <v>210</v>
      </c>
      <c r="C209" s="3" t="str">
        <f>IFERROR(__xludf.DUMMYFUNCTION("GOOGLETRANSLATE(B209,""id"",""en"")"),"['Network', 'bad', 'price', 'mahallllllllllllllllllllllllllllllllll,' price ',' suits', 'quality', 'rain', 'open', 'youtube']")</f>
        <v>['Network', 'bad', 'price', 'mahallllllllllllllllllllllllllllllllll,' price ',' suits', 'quality', 'rain', 'open', 'youtube']</v>
      </c>
      <c r="D209" s="3">
        <v>1.0</v>
      </c>
    </row>
    <row r="210" ht="15.75" customHeight="1">
      <c r="A210" s="1">
        <v>227.0</v>
      </c>
      <c r="B210" s="3" t="s">
        <v>211</v>
      </c>
      <c r="C210" s="3" t="str">
        <f>IFERROR(__xludf.DUMMYFUNCTION("GOOGLETRANSLATE(B210,""id"",""en"")"),"['Service', 'Bad', 'obstacle', 'Solution', 'Nuyuruh', 'Pay', 'Tagihin', 'UDH', 'Pay', 'Bill', 'Handle', 'Constraints',' ISOLIR ',' Pay ',' Bad ',' Service ']")</f>
        <v>['Service', 'Bad', 'obstacle', 'Solution', 'Nuyuruh', 'Pay', 'Tagihin', 'UDH', 'Pay', 'Bill', 'Handle', 'Constraints',' ISOLIR ',' Pay ',' Bad ',' Service ']</v>
      </c>
      <c r="D210" s="3">
        <v>1.0</v>
      </c>
    </row>
    <row r="211" ht="15.75" customHeight="1">
      <c r="A211" s="1">
        <v>228.0</v>
      </c>
      <c r="B211" s="3" t="s">
        <v>212</v>
      </c>
      <c r="C211" s="3" t="str">
        <f>IFERROR(__xludf.DUMMYFUNCTION("GOOGLETRANSLATE(B211,""id"",""en"")"),"['Network', 'bapuk', 'wanted', 'replace', 'propaider', 'state', 'no', 'network']")</f>
        <v>['Network', 'bapuk', 'wanted', 'replace', 'propaider', 'state', 'no', 'network']</v>
      </c>
      <c r="D211" s="3">
        <v>1.0</v>
      </c>
    </row>
    <row r="212" ht="15.75" customHeight="1">
      <c r="A212" s="1">
        <v>229.0</v>
      </c>
      <c r="B212" s="3" t="s">
        <v>213</v>
      </c>
      <c r="C212" s="3" t="str">
        <f>IFERROR(__xludf.DUMMYFUNCTION("GOOGLETRANSLATE(B212,""id"",""en"")"),"['Out', 'Pay', 'BSA', 'Network', 'Taiiii']")</f>
        <v>['Out', 'Pay', 'BSA', 'Network', 'Taiiii']</v>
      </c>
      <c r="D212" s="3">
        <v>2.0</v>
      </c>
    </row>
    <row r="213" ht="15.75" customHeight="1">
      <c r="A213" s="1">
        <v>230.0</v>
      </c>
      <c r="B213" s="3" t="s">
        <v>214</v>
      </c>
      <c r="C213" s="3" t="str">
        <f>IFERROR(__xludf.DUMMYFUNCTION("GOOGLETRANSLATE(B213,""id"",""en"")"),"['Service', 'bad']")</f>
        <v>['Service', 'bad']</v>
      </c>
      <c r="D213" s="3">
        <v>1.0</v>
      </c>
    </row>
    <row r="214" ht="15.75" customHeight="1">
      <c r="A214" s="1">
        <v>232.0</v>
      </c>
      <c r="B214" s="3" t="s">
        <v>215</v>
      </c>
      <c r="C214" s="3" t="str">
        <f>IFERROR(__xludf.DUMMYFUNCTION("GOOGLETRANSLATE(B214,""id"",""en"")"),"['Open', 'APK', 'Lemoooot', '']")</f>
        <v>['Open', 'APK', 'Lemoooot', '']</v>
      </c>
      <c r="D214" s="3">
        <v>1.0</v>
      </c>
    </row>
    <row r="215" ht="15.75" customHeight="1">
      <c r="A215" s="1">
        <v>233.0</v>
      </c>
      <c r="B215" s="3" t="s">
        <v>216</v>
      </c>
      <c r="C215" s="3" t="str">
        <f>IFERROR(__xludf.DUMMYFUNCTION("GOOGLETRANSLATE(B215,""id"",""en"")"),"['difficult', 'login']")</f>
        <v>['difficult', 'login']</v>
      </c>
      <c r="D215" s="3">
        <v>1.0</v>
      </c>
    </row>
    <row r="216" ht="15.75" customHeight="1">
      <c r="A216" s="1">
        <v>234.0</v>
      </c>
      <c r="B216" s="3" t="s">
        <v>217</v>
      </c>
      <c r="C216" s="3" t="str">
        <f>IFERROR(__xludf.DUMMYFUNCTION("GOOGLETRANSLATE(B216,""id"",""en"")"),"['HLO', 'Indihome', 'please', 'repaired', 'wifi', 'rada', 'no', 'delicious', 'wifinya']")</f>
        <v>['HLO', 'Indihome', 'please', 'repaired', 'wifi', 'rada', 'no', 'delicious', 'wifinya']</v>
      </c>
      <c r="D216" s="3">
        <v>5.0</v>
      </c>
    </row>
    <row r="217" ht="15.75" customHeight="1">
      <c r="A217" s="1">
        <v>235.0</v>
      </c>
      <c r="B217" s="3" t="s">
        <v>218</v>
      </c>
      <c r="C217" s="3" t="str">
        <f>IFERROR(__xludf.DUMMYFUNCTION("GOOGLETRANSLATE(B217,""id"",""en"")"),"['Very', 'Internet', 'accessed', 'Pay', 'late', 'complaint', 'a week', 'sometimes',' a week ',' times', 'problematic', 'indihome', ' Neighbors', 'troubled', 'problematic', 'Soon', 'run out', 'Betmolah', 'Sometimes',' a day ',' gabisa ',' access', 'loss']")</f>
        <v>['Very', 'Internet', 'accessed', 'Pay', 'late', 'complaint', 'a week', 'sometimes',' a week ',' times', 'problematic', 'indihome', ' Neighbors', 'troubled', 'problematic', 'Soon', 'run out', 'Betmolah', 'Sometimes',' a day ',' gabisa ',' access', 'loss']</v>
      </c>
      <c r="D217" s="3">
        <v>1.0</v>
      </c>
    </row>
    <row r="218" ht="15.75" customHeight="1">
      <c r="A218" s="1">
        <v>236.0</v>
      </c>
      <c r="B218" s="3" t="s">
        <v>219</v>
      </c>
      <c r="C218" s="3" t="str">
        <f>IFERROR(__xludf.DUMMYFUNCTION("GOOGLETRANSLATE(B218,""id"",""en"")"),"['The application', 'slow', '']")</f>
        <v>['The application', 'slow', '']</v>
      </c>
      <c r="D218" s="3">
        <v>1.0</v>
      </c>
    </row>
    <row r="219" ht="15.75" customHeight="1">
      <c r="A219" s="1">
        <v>237.0</v>
      </c>
      <c r="B219" s="3" t="s">
        <v>220</v>
      </c>
      <c r="C219" s="3" t="str">
        <f>IFERROR(__xludf.DUMMYFUNCTION("GOOGLETRANSLATE(B219,""id"",""en"")"),"['service', 'repair', 'fast', 'person', 'technician', 'hahahah']")</f>
        <v>['service', 'repair', 'fast', 'person', 'technician', 'hahahah']</v>
      </c>
      <c r="D219" s="3">
        <v>5.0</v>
      </c>
    </row>
    <row r="220" ht="15.75" customHeight="1">
      <c r="A220" s="1">
        <v>238.0</v>
      </c>
      <c r="B220" s="3" t="s">
        <v>221</v>
      </c>
      <c r="C220" s="3" t="str">
        <f>IFERROR(__xludf.DUMMYFUNCTION("GOOGLETRANSLATE(B220,""id"",""en"")"),"['The application', 'Good', 'Delete', 'Login', 'Register', 'Application', 'Urus', 'OTW', 'Move', 'Gezzzz']")</f>
        <v>['The application', 'Good', 'Delete', 'Login', 'Register', 'Application', 'Urus', 'OTW', 'Move', 'Gezzzz']</v>
      </c>
      <c r="D220" s="3">
        <v>1.0</v>
      </c>
    </row>
    <row r="221" ht="15.75" customHeight="1">
      <c r="A221" s="1">
        <v>239.0</v>
      </c>
      <c r="B221" s="3" t="s">
        <v>222</v>
      </c>
      <c r="C221" s="3" t="str">
        <f>IFERROR(__xludf.DUMMYFUNCTION("GOOGLETRANSLATE(B221,""id"",""en"")"),"['Network', 'please', 'fix', 'already', 'Lost', 'network', 'thank you']")</f>
        <v>['Network', 'please', 'fix', 'already', 'Lost', 'network', 'thank you']</v>
      </c>
      <c r="D221" s="3">
        <v>2.0</v>
      </c>
    </row>
    <row r="222" ht="15.75" customHeight="1">
      <c r="A222" s="1">
        <v>240.0</v>
      </c>
      <c r="B222" s="3" t="s">
        <v>223</v>
      </c>
      <c r="C222" s="3" t="str">
        <f>IFERROR(__xludf.DUMMYFUNCTION("GOOGLETRANSLATE(B222,""id"",""en"")"),"['Applikasai', 'Myindihome', 'Open', 'Piye', 'Maneh', ""]")</f>
        <v>['Applikasai', 'Myindihome', 'Open', 'Piye', 'Maneh', "]</v>
      </c>
      <c r="D222" s="3">
        <v>1.0</v>
      </c>
    </row>
    <row r="223" ht="15.75" customHeight="1">
      <c r="A223" s="1">
        <v>241.0</v>
      </c>
      <c r="B223" s="3" t="s">
        <v>224</v>
      </c>
      <c r="C223" s="3" t="str">
        <f>IFERROR(__xludf.DUMMYFUNCTION("GOOGLETRANSLATE(B223,""id"",""en"")"),"['service']")</f>
        <v>['service']</v>
      </c>
      <c r="D223" s="3">
        <v>5.0</v>
      </c>
    </row>
    <row r="224" ht="15.75" customHeight="1">
      <c r="A224" s="1">
        <v>242.0</v>
      </c>
      <c r="B224" s="3" t="s">
        <v>225</v>
      </c>
      <c r="C224" s="3" t="str">
        <f>IFERROR(__xludf.DUMMYFUNCTION("GOOGLETRANSLATE(B224,""id"",""en"")"),"['Hang']")</f>
        <v>['Hang']</v>
      </c>
      <c r="D224" s="3">
        <v>1.0</v>
      </c>
    </row>
    <row r="225" ht="15.75" customHeight="1">
      <c r="A225" s="1">
        <v>243.0</v>
      </c>
      <c r="B225" s="3" t="s">
        <v>226</v>
      </c>
      <c r="C225" s="3" t="str">
        <f>IFERROR(__xludf.DUMMYFUNCTION("GOOGLETRANSLATE(B225,""id"",""en"")"),"['Force', 'Close', 'Application', 'Opened', '']")</f>
        <v>['Force', 'Close', 'Application', 'Opened', '']</v>
      </c>
      <c r="D225" s="3">
        <v>3.0</v>
      </c>
    </row>
    <row r="226" ht="15.75" customHeight="1">
      <c r="A226" s="1">
        <v>244.0</v>
      </c>
      <c r="B226" s="3" t="s">
        <v>227</v>
      </c>
      <c r="C226" s="3" t="str">
        <f>IFERROR(__xludf.DUMMYFUNCTION("GOOGLETRANSLATE(B226,""id"",""en"")"),"['Application', 'Teremot', 'Gue', 'Network', 'Stable', 'Like', 'Error', 'Complete']")</f>
        <v>['Application', 'Teremot', 'Gue', 'Network', 'Stable', 'Like', 'Error', 'Complete']</v>
      </c>
      <c r="D226" s="3">
        <v>1.0</v>
      </c>
    </row>
    <row r="227" ht="15.75" customHeight="1">
      <c r="A227" s="1">
        <v>245.0</v>
      </c>
      <c r="B227" s="3" t="s">
        <v>228</v>
      </c>
      <c r="C227" s="3" t="str">
        <f>IFERROR(__xludf.DUMMYFUNCTION("GOOGLETRANSLATE(B227,""id"",""en"")"),"['Login', '']")</f>
        <v>['Login', '']</v>
      </c>
      <c r="D227" s="3">
        <v>1.0</v>
      </c>
    </row>
    <row r="228" ht="15.75" customHeight="1">
      <c r="A228" s="1">
        <v>246.0</v>
      </c>
      <c r="B228" s="3" t="s">
        <v>229</v>
      </c>
      <c r="C228" s="3" t="str">
        <f>IFERROR(__xludf.DUMMYFUNCTION("GOOGLETRANSLATE(B228,""id"",""en"")"),"['Compensation', 'Disruption', 'Network', 'Yesterday', '']")</f>
        <v>['Compensation', 'Disruption', 'Network', 'Yesterday', '']</v>
      </c>
      <c r="D228" s="3">
        <v>1.0</v>
      </c>
    </row>
    <row r="229" ht="15.75" customHeight="1">
      <c r="A229" s="1">
        <v>247.0</v>
      </c>
      <c r="B229" s="3" t="s">
        <v>230</v>
      </c>
      <c r="C229" s="3" t="str">
        <f>IFERROR(__xludf.DUMMYFUNCTION("GOOGLETRANSLATE(B229,""id"",""en"")"),"['information', 'informative', 'help', 'customer', 'indihome', 'response', 'TRHDP', 'complaints',' application ',' fast ',' thank ',' love ',' The service is']")</f>
        <v>['information', 'informative', 'help', 'customer', 'indihome', 'response', 'TRHDP', 'complaints',' application ',' fast ',' thank ',' love ',' The service is']</v>
      </c>
      <c r="D229" s="3">
        <v>5.0</v>
      </c>
    </row>
    <row r="230" ht="15.75" customHeight="1">
      <c r="A230" s="1">
        <v>248.0</v>
      </c>
      <c r="B230" s="3" t="s">
        <v>231</v>
      </c>
      <c r="C230" s="3" t="str">
        <f>IFERROR(__xludf.DUMMYFUNCTION("GOOGLETRANSLATE(B230,""id"",""en"")"),"['Macet', 'The application']")</f>
        <v>['Macet', 'The application']</v>
      </c>
      <c r="D230" s="3">
        <v>3.0</v>
      </c>
    </row>
    <row r="231" ht="15.75" customHeight="1">
      <c r="A231" s="1">
        <v>249.0</v>
      </c>
      <c r="B231" s="3" t="s">
        <v>232</v>
      </c>
      <c r="C231" s="3" t="str">
        <f>IFERROR(__xludf.DUMMYFUNCTION("GOOGLETRANSLATE(B231,""id"",""en"")"),"['Nanyany', 'min', 'network', 'wifi', 'home', 'slow', 'please', 'yamin', 'fix', ""]")</f>
        <v>['Nanyany', 'min', 'network', 'wifi', 'home', 'slow', 'please', 'yamin', 'fix', "]</v>
      </c>
      <c r="D231" s="3">
        <v>4.0</v>
      </c>
    </row>
    <row r="232" ht="15.75" customHeight="1">
      <c r="A232" s="1">
        <v>250.0</v>
      </c>
      <c r="B232" s="3" t="s">
        <v>233</v>
      </c>
      <c r="C232" s="3" t="str">
        <f>IFERROR(__xludf.DUMMYFUNCTION("GOOGLETRANSLATE(B232,""id"",""en"")"),"['application', 'useful', 'check', 'bill']")</f>
        <v>['application', 'useful', 'check', 'bill']</v>
      </c>
      <c r="D232" s="3">
        <v>5.0</v>
      </c>
    </row>
    <row r="233" ht="15.75" customHeight="1">
      <c r="A233" s="1">
        <v>251.0</v>
      </c>
      <c r="B233" s="3" t="s">
        <v>234</v>
      </c>
      <c r="C233" s="3" t="str">
        <f>IFERROR(__xludf.DUMMYFUNCTION("GOOGLETRANSLATE(B233,""id"",""en"")"),"['Easy', 'digits', 'plots']")</f>
        <v>['Easy', 'digits', 'plots']</v>
      </c>
      <c r="D233" s="3">
        <v>5.0</v>
      </c>
    </row>
    <row r="234" ht="15.75" customHeight="1">
      <c r="A234" s="1">
        <v>252.0</v>
      </c>
      <c r="B234" s="3" t="s">
        <v>235</v>
      </c>
      <c r="C234" s="3" t="str">
        <f>IFERROR(__xludf.DUMMYFUNCTION("GOOGLETRANSLATE(B234,""id"",""en"")"),"['It's easy for', 'customers']")</f>
        <v>['It's easy for', 'customers']</v>
      </c>
      <c r="D234" s="3">
        <v>5.0</v>
      </c>
    </row>
    <row r="235" ht="15.75" customHeight="1">
      <c r="A235" s="1">
        <v>253.0</v>
      </c>
      <c r="B235" s="3" t="s">
        <v>236</v>
      </c>
      <c r="C235" s="3" t="str">
        <f>IFERROR(__xludf.DUMMYFUNCTION("GOOGLETRANSLATE(B235,""id"",""en"")"),"['msh', 'Wait', 'news', 'slot', 'empty', '']")</f>
        <v>['msh', 'Wait', 'news', 'slot', 'empty', '']</v>
      </c>
      <c r="D235" s="3">
        <v>1.0</v>
      </c>
    </row>
    <row r="236" ht="15.75" customHeight="1">
      <c r="A236" s="1">
        <v>254.0</v>
      </c>
      <c r="B236" s="3" t="s">
        <v>237</v>
      </c>
      <c r="C236" s="3" t="str">
        <f>IFERROR(__xludf.DUMMYFUNCTION("GOOGLETRANSLATE(B236,""id"",""en"")"),"['Change', 'email', 'already', 'BBRAPA', 'TIME', 'TTP', '']")</f>
        <v>['Change', 'email', 'already', 'BBRAPA', 'TIME', 'TTP', '']</v>
      </c>
      <c r="D236" s="3">
        <v>1.0</v>
      </c>
    </row>
    <row r="237" ht="15.75" customHeight="1">
      <c r="A237" s="1">
        <v>255.0</v>
      </c>
      <c r="B237" s="3" t="s">
        <v>238</v>
      </c>
      <c r="C237" s="3" t="str">
        <f>IFERROR(__xludf.DUMMYFUNCTION("GOOGLETRANSLATE(B237,""id"",""en"")"),"['company', 'class',' Indihome ',' Select ',' Application ',' Class', 'Teri', 'Open', 'Application', 'Hang', 'Pantes',' Rating ',' ugly ',' complaints', 'handling', '']")</f>
        <v>['company', 'class',' Indihome ',' Select ',' Application ',' Class', 'Teri', 'Open', 'Application', 'Hang', 'Pantes',' Rating ',' ugly ',' complaints', 'handling', '']</v>
      </c>
      <c r="D237" s="3">
        <v>1.0</v>
      </c>
    </row>
    <row r="238" ht="15.75" customHeight="1">
      <c r="A238" s="1">
        <v>256.0</v>
      </c>
      <c r="B238" s="3" t="s">
        <v>239</v>
      </c>
      <c r="C238" s="3" t="str">
        <f>IFERROR(__xludf.DUMMYFUNCTION("GOOGLETRANSLATE(B238,""id"",""en"")"),"['', '']")</f>
        <v>['', '']</v>
      </c>
      <c r="D238" s="3">
        <v>5.0</v>
      </c>
    </row>
    <row r="239" ht="15.75" customHeight="1">
      <c r="A239" s="1">
        <v>257.0</v>
      </c>
      <c r="B239" s="3" t="s">
        <v>240</v>
      </c>
      <c r="C239" s="3" t="str">
        <f>IFERROR(__xludf.DUMMYFUNCTION("GOOGLETRANSLATE(B239,""id"",""en"")"),"['Leet', 'like', 'disorder']")</f>
        <v>['Leet', 'like', 'disorder']</v>
      </c>
      <c r="D239" s="3">
        <v>1.0</v>
      </c>
    </row>
    <row r="240" ht="15.75" customHeight="1">
      <c r="A240" s="1">
        <v>259.0</v>
      </c>
      <c r="B240" s="3" t="s">
        <v>241</v>
      </c>
      <c r="C240" s="3" t="str">
        <f>IFERROR(__xludf.DUMMYFUNCTION("GOOGLETRANSLATE(B240,""id"",""en"")"),"['Abis', 'upgrade', 'open', 'the application', '']")</f>
        <v>['Abis', 'upgrade', 'open', 'the application', '']</v>
      </c>
      <c r="D240" s="3">
        <v>1.0</v>
      </c>
    </row>
    <row r="241" ht="15.75" customHeight="1">
      <c r="A241" s="1">
        <v>260.0</v>
      </c>
      <c r="B241" s="3" t="s">
        <v>242</v>
      </c>
      <c r="C241" s="3" t="str">
        <f>IFERROR(__xludf.DUMMYFUNCTION("GOOGLETRANSLATE(B241,""id"",""en"")"),"['Exchange', 'Points', 'Application', 'Ta', 'Auoto', 'Uninstall', '']")</f>
        <v>['Exchange', 'Points', 'Application', 'Ta', 'Auoto', 'Uninstall', '']</v>
      </c>
      <c r="D241" s="3">
        <v>1.0</v>
      </c>
    </row>
    <row r="242" ht="15.75" customHeight="1">
      <c r="A242" s="1">
        <v>261.0</v>
      </c>
      <c r="B242" s="3" t="s">
        <v>243</v>
      </c>
      <c r="C242" s="3" t="str">
        <f>IFERROR(__xludf.DUMMYFUNCTION("GOOGLETRANSLATE(B242,""id"",""en"")"),"['fast', 'difix', 'right', 'connection', 'problematic', 'Mulu', '']")</f>
        <v>['fast', 'difix', 'right', 'connection', 'problematic', 'Mulu', '']</v>
      </c>
      <c r="D242" s="3">
        <v>1.0</v>
      </c>
    </row>
    <row r="243" ht="15.75" customHeight="1">
      <c r="A243" s="1">
        <v>262.0</v>
      </c>
      <c r="B243" s="3" t="s">
        <v>244</v>
      </c>
      <c r="C243" s="3" t="str">
        <f>IFERROR(__xludf.DUMMYFUNCTION("GOOGLETRANSLATE(B243,""id"",""en"")"),"['Bad', 'Indihome']")</f>
        <v>['Bad', 'Indihome']</v>
      </c>
      <c r="D243" s="3">
        <v>1.0</v>
      </c>
    </row>
    <row r="244" ht="15.75" customHeight="1">
      <c r="A244" s="1">
        <v>263.0</v>
      </c>
      <c r="B244" s="3" t="s">
        <v>245</v>
      </c>
      <c r="C244" s="3" t="str">
        <f>IFERROR(__xludf.DUMMYFUNCTION("GOOGLETRANSLATE(B244,""id"",""en"")"),"['Update', 'opened', 'The application']")</f>
        <v>['Update', 'opened', 'The application']</v>
      </c>
      <c r="D244" s="3">
        <v>1.0</v>
      </c>
    </row>
    <row r="245" ht="15.75" customHeight="1">
      <c r="A245" s="1">
        <v>264.0</v>
      </c>
      <c r="B245" s="3" t="s">
        <v>246</v>
      </c>
      <c r="C245" s="3" t="str">
        <f>IFERROR(__xludf.DUMMYFUNCTION("GOOGLETRANSLATE(B245,""id"",""en"")"),"['Severe', 'service', 'chat', 'via', 'email', 'infokan', 'number', 'change', 'times',' reply ',' update ',' email ',' replied ',' continuation ',' hub ',' severe ',' solution ',' faced ',' ']")</f>
        <v>['Severe', 'service', 'chat', 'via', 'email', 'infokan', 'number', 'change', 'times',' reply ',' update ',' email ',' replied ',' continuation ',' hub ',' severe ',' solution ',' faced ',' ']</v>
      </c>
      <c r="D245" s="3">
        <v>1.0</v>
      </c>
    </row>
    <row r="246" ht="15.75" customHeight="1">
      <c r="A246" s="1">
        <v>265.0</v>
      </c>
      <c r="B246" s="3" t="s">
        <v>247</v>
      </c>
      <c r="C246" s="3" t="str">
        <f>IFERROR(__xludf.DUMMYFUNCTION("GOOGLETRANSLATE(B246,""id"",""en"")"),"['Upgrade', 'Speed', 'Plasa', 'Upload', 'KTP', 'Selfi', 'Ask', 'Via', 'Phone', 'Submit', 'Via', 'Indihomecare', ' Ask ',' Via ',' Plasa ',' Telkom ',' FAIL ']")</f>
        <v>['Upgrade', 'Speed', 'Plasa', 'Upload', 'KTP', 'Selfi', 'Ask', 'Via', 'Phone', 'Submit', 'Via', 'Indihomecare', ' Ask ',' Via ',' Plasa ',' Telkom ',' FAIL ']</v>
      </c>
      <c r="D246" s="3">
        <v>1.0</v>
      </c>
    </row>
    <row r="247" ht="15.75" customHeight="1">
      <c r="A247" s="1">
        <v>266.0</v>
      </c>
      <c r="B247" s="3" t="s">
        <v>248</v>
      </c>
      <c r="C247" s="3" t="str">
        <f>IFERROR(__xludf.DUMMYFUNCTION("GOOGLETRANSLATE(B247,""id"",""en"")"),"['entry', 'application', 'Try', 'Many', 'Slalu', 'appears',' Slalu ',' Sorry ',' number ',' input ',' know ',' System ',' ']")</f>
        <v>['entry', 'application', 'Try', 'Many', 'Slalu', 'appears',' Slalu ',' Sorry ',' number ',' input ',' know ',' System ',' ']</v>
      </c>
      <c r="D247" s="3">
        <v>1.0</v>
      </c>
    </row>
    <row r="248" ht="15.75" customHeight="1">
      <c r="A248" s="1">
        <v>267.0</v>
      </c>
      <c r="B248" s="3" t="s">
        <v>249</v>
      </c>
      <c r="C248" s="3" t="str">
        <f>IFERROR(__xludf.DUMMYFUNCTION("GOOGLETRANSLATE(B248,""id"",""en"")"),"['', 'Tawarin', 'wifi', 'seamless', 'ngactive']")</f>
        <v>['', 'Tawarin', 'wifi', 'seamless', 'ngactive']</v>
      </c>
      <c r="D248" s="3">
        <v>5.0</v>
      </c>
    </row>
    <row r="249" ht="15.75" customHeight="1">
      <c r="A249" s="1">
        <v>268.0</v>
      </c>
      <c r="B249" s="3" t="s">
        <v>250</v>
      </c>
      <c r="C249" s="3" t="str">
        <f>IFERROR(__xludf.DUMMYFUNCTION("GOOGLETRANSLATE(B249,""id"",""en"")"),"['Function']")</f>
        <v>['Function']</v>
      </c>
      <c r="D249" s="3">
        <v>1.0</v>
      </c>
    </row>
    <row r="250" ht="15.75" customHeight="1">
      <c r="A250" s="1">
        <v>269.0</v>
      </c>
      <c r="B250" s="3" t="s">
        <v>251</v>
      </c>
      <c r="C250" s="3" t="str">
        <f>IFERROR(__xludf.DUMMYFUNCTION("GOOGLETRANSLATE(B250,""id"",""en"")"),"['application', 'facilitates', 'related', 'indihome']")</f>
        <v>['application', 'facilitates', 'related', 'indihome']</v>
      </c>
      <c r="D250" s="3">
        <v>5.0</v>
      </c>
    </row>
    <row r="251" ht="15.75" customHeight="1">
      <c r="A251" s="1">
        <v>270.0</v>
      </c>
      <c r="B251" s="3" t="s">
        <v>252</v>
      </c>
      <c r="C251" s="3" t="str">
        <f>IFERROR(__xludf.DUMMYFUNCTION("GOOGLETRANSLATE(B251,""id"",""en"")"),"['application', 'difficult', 'access']")</f>
        <v>['application', 'difficult', 'access']</v>
      </c>
      <c r="D251" s="3">
        <v>1.0</v>
      </c>
    </row>
    <row r="252" ht="15.75" customHeight="1">
      <c r="A252" s="1">
        <v>271.0</v>
      </c>
      <c r="B252" s="3" t="s">
        <v>253</v>
      </c>
      <c r="C252" s="3" t="str">
        <f>IFERROR(__xludf.DUMMYFUNCTION("GOOGLETRANSLATE(B252,""id"",""en"")"),"['Download', 'Need', 'Mnt', 'Please', 'Accelerate', 'Repair']")</f>
        <v>['Download', 'Need', 'Mnt', 'Please', 'Accelerate', 'Repair']</v>
      </c>
      <c r="D252" s="3">
        <v>1.0</v>
      </c>
    </row>
    <row r="253" ht="15.75" customHeight="1">
      <c r="A253" s="1">
        <v>272.0</v>
      </c>
      <c r="B253" s="3" t="s">
        <v>254</v>
      </c>
      <c r="C253" s="3" t="str">
        <f>IFERROR(__xludf.DUMMYFUNCTION("GOOGLETRANSLATE(B253,""id"",""en"")"),"['', 'Login']")</f>
        <v>['', 'Login']</v>
      </c>
      <c r="D253" s="3">
        <v>1.0</v>
      </c>
    </row>
    <row r="254" ht="15.75" customHeight="1">
      <c r="A254" s="1">
        <v>273.0</v>
      </c>
      <c r="B254" s="3" t="s">
        <v>255</v>
      </c>
      <c r="C254" s="3" t="str">
        <f>IFERROR(__xludf.DUMMYFUNCTION("GOOGLETRANSLATE(B254,""id"",""en"")"),"['very', 'good']")</f>
        <v>['very', 'good']</v>
      </c>
      <c r="D254" s="3">
        <v>5.0</v>
      </c>
    </row>
    <row r="255" ht="15.75" customHeight="1">
      <c r="A255" s="1">
        <v>274.0</v>
      </c>
      <c r="B255" s="3" t="s">
        <v>256</v>
      </c>
      <c r="C255" s="3" t="str">
        <f>IFERROR(__xludf.DUMMYFUNCTION("GOOGLETRANSLATE(B255,""id"",""en"")"),"['service', 'satisfying', 'package', 'upgrade', 'confirm', 'record', 'call', 'given', 'putuuuuuus', '']")</f>
        <v>['service', 'satisfying', 'package', 'upgrade', 'confirm', 'record', 'call', 'given', 'putuuuuuus', '']</v>
      </c>
      <c r="D255" s="3">
        <v>1.0</v>
      </c>
    </row>
    <row r="256" ht="15.75" customHeight="1">
      <c r="A256" s="1">
        <v>276.0</v>
      </c>
      <c r="B256" s="3" t="s">
        <v>257</v>
      </c>
      <c r="C256" s="3" t="str">
        <f>IFERROR(__xludf.DUMMYFUNCTION("GOOGLETRANSLATE(B256,""id"",""en"")"),"['hope', 'in the future', 'point', 'internet', 'Indonesia', 'remote', 'village', 'accessed']")</f>
        <v>['hope', 'in the future', 'point', 'internet', 'Indonesia', 'remote', 'village', 'accessed']</v>
      </c>
      <c r="D256" s="3">
        <v>5.0</v>
      </c>
    </row>
    <row r="257" ht="15.75" customHeight="1">
      <c r="A257" s="1">
        <v>277.0</v>
      </c>
      <c r="B257" s="3" t="s">
        <v>258</v>
      </c>
      <c r="C257" s="3" t="str">
        <f>IFERROR(__xludf.DUMMYFUNCTION("GOOGLETRANSLATE(B257,""id"",""en"")"),"['Out', 'update', 'open', 'forceclose']")</f>
        <v>['Out', 'update', 'open', 'forceclose']</v>
      </c>
      <c r="D257" s="3">
        <v>1.0</v>
      </c>
    </row>
    <row r="258" ht="15.75" customHeight="1">
      <c r="A258" s="1">
        <v>279.0</v>
      </c>
      <c r="B258" s="3" t="s">
        <v>259</v>
      </c>
      <c r="C258" s="3" t="str">
        <f>IFERROR(__xludf.DUMMYFUNCTION("GOOGLETRANSLATE(B258,""id"",""en"")"),"['Package', 'Data', 'Move', 'Indihone', '']")</f>
        <v>['Package', 'Data', 'Move', 'Indihone', '']</v>
      </c>
      <c r="D258" s="3">
        <v>5.0</v>
      </c>
    </row>
    <row r="259" ht="15.75" customHeight="1">
      <c r="A259" s="1">
        <v>280.0</v>
      </c>
      <c r="B259" s="3" t="s">
        <v>260</v>
      </c>
      <c r="C259" s="3" t="str">
        <f>IFERROR(__xludf.DUMMYFUNCTION("GOOGLETRANSLATE(B259,""id"",""en"")"),"['Siii', 'zero', 'gtu', 'star', 'plslah', 'network', 'death', 'king', 'bgtttt', 'gueeee', '']")</f>
        <v>['Siii', 'zero', 'gtu', 'star', 'plslah', 'network', 'death', 'king', 'bgtttt', 'gueeee', '']</v>
      </c>
      <c r="D259" s="3">
        <v>1.0</v>
      </c>
    </row>
    <row r="260" ht="15.75" customHeight="1">
      <c r="A260" s="1">
        <v>281.0</v>
      </c>
      <c r="B260" s="3" t="s">
        <v>261</v>
      </c>
      <c r="C260" s="3" t="str">
        <f>IFERROR(__xludf.DUMMYFUNCTION("GOOGLETRANSLATE(B260,""id"",""en"")"),"['patient', 'min', 'hope', 'improvement', 'fast', 'keep', 'strong']")</f>
        <v>['patient', 'min', 'hope', 'improvement', 'fast', 'keep', 'strong']</v>
      </c>
      <c r="D260" s="3">
        <v>1.0</v>
      </c>
    </row>
    <row r="261" ht="15.75" customHeight="1">
      <c r="A261" s="1">
        <v>282.0</v>
      </c>
      <c r="B261" s="3" t="s">
        <v>262</v>
      </c>
      <c r="C261" s="3" t="str">
        <f>IFERROR(__xludf.DUMMYFUNCTION("GOOGLETRANSLATE(B261,""id"",""en"")"),"['Application', 'mentally']")</f>
        <v>['Application', 'mentally']</v>
      </c>
      <c r="D261" s="3">
        <v>1.0</v>
      </c>
    </row>
    <row r="262" ht="15.75" customHeight="1">
      <c r="A262" s="1">
        <v>283.0</v>
      </c>
      <c r="B262" s="3" t="s">
        <v>263</v>
      </c>
      <c r="C262" s="3" t="str">
        <f>IFERROR(__xludf.DUMMYFUNCTION("GOOGLETRANSLATE(B262,""id"",""en"")"),"['UDH', 'Ampe', 'UDH', 'Get', 'Number', 'Ticket', 'Served', 'Technician', 'Indihome', 'Want', 'Change', 'Disappointed', ' The service is', '']")</f>
        <v>['UDH', 'Ampe', 'UDH', 'Get', 'Number', 'Ticket', 'Served', 'Technician', 'Indihome', 'Want', 'Change', 'Disappointed', ' The service is', '']</v>
      </c>
      <c r="D262" s="3">
        <v>1.0</v>
      </c>
    </row>
    <row r="263" ht="15.75" customHeight="1">
      <c r="A263" s="1">
        <v>284.0</v>
      </c>
      <c r="B263" s="3" t="s">
        <v>264</v>
      </c>
      <c r="C263" s="3" t="str">
        <f>IFERROR(__xludf.DUMMYFUNCTION("GOOGLETRANSLATE(B263,""id"",""en"")"),"['Ngellag', 'Loading']")</f>
        <v>['Ngellag', 'Loading']</v>
      </c>
      <c r="D263" s="3">
        <v>1.0</v>
      </c>
    </row>
    <row r="264" ht="15.75" customHeight="1">
      <c r="A264" s="1">
        <v>285.0</v>
      </c>
      <c r="B264" s="3" t="s">
        <v>265</v>
      </c>
      <c r="C264" s="3" t="str">
        <f>IFERROR(__xludf.DUMMYFUNCTION("GOOGLETRANSLATE(B264,""id"",""en"")"),"['application', 'good', 'makes easier', 'complain', 'service', 'check', 'use', 'check', 'cost', 'monthly', ""]")</f>
        <v>['application', 'good', 'makes easier', 'complain', 'service', 'check', 'use', 'check', 'cost', 'monthly', "]</v>
      </c>
      <c r="D264" s="3">
        <v>5.0</v>
      </c>
    </row>
    <row r="265" ht="15.75" customHeight="1">
      <c r="A265" s="1">
        <v>286.0</v>
      </c>
      <c r="B265" s="3" t="s">
        <v>266</v>
      </c>
      <c r="C265" s="3" t="str">
        <f>IFERROR(__xludf.DUMMYFUNCTION("GOOGLETRANSLATE(B265,""id"",""en"")"),"['application', 'help', 'registration', 'add', 'complaints', 'check', 'bill', 'status', 'bill', 'sometimes', 'down', '']")</f>
        <v>['application', 'help', 'registration', 'add', 'complaints', 'check', 'bill', 'status', 'bill', 'sometimes', 'down', '']</v>
      </c>
      <c r="D265" s="3">
        <v>4.0</v>
      </c>
    </row>
    <row r="266" ht="15.75" customHeight="1">
      <c r="A266" s="1">
        <v>287.0</v>
      </c>
      <c r="B266" s="3" t="s">
        <v>267</v>
      </c>
      <c r="C266" s="3" t="str">
        <f>IFERROR(__xludf.DUMMYFUNCTION("GOOGLETRANSLATE(B266,""id"",""en"")"),"['INDIHOME', 'HOLIDAY', 'MATEK']")</f>
        <v>['INDIHOME', 'HOLIDAY', 'MATEK']</v>
      </c>
      <c r="D266" s="3">
        <v>1.0</v>
      </c>
    </row>
    <row r="267" ht="15.75" customHeight="1">
      <c r="A267" s="1">
        <v>288.0</v>
      </c>
      <c r="B267" s="3" t="s">
        <v>268</v>
      </c>
      <c r="C267" s="3" t="str">
        <f>IFERROR(__xludf.DUMMYFUNCTION("GOOGLETRANSLATE(B267,""id"",""en"")"),"['Satisfied', 'help', 'application']")</f>
        <v>['Satisfied', 'help', 'application']</v>
      </c>
      <c r="D267" s="3">
        <v>5.0</v>
      </c>
    </row>
    <row r="268" ht="15.75" customHeight="1">
      <c r="A268" s="1">
        <v>289.0</v>
      </c>
      <c r="B268" s="3" t="s">
        <v>269</v>
      </c>
      <c r="C268" s="3" t="str">
        <f>IFERROR(__xludf.DUMMYFUNCTION("GOOGLETRANSLATE(B268,""id"",""en"")"),"['Service', 'Already', 'Normal', 'trimakasih']")</f>
        <v>['Service', 'Already', 'Normal', 'trimakasih']</v>
      </c>
      <c r="D268" s="3">
        <v>5.0</v>
      </c>
    </row>
    <row r="269" ht="15.75" customHeight="1">
      <c r="A269" s="1">
        <v>290.0</v>
      </c>
      <c r="B269" s="3" t="s">
        <v>270</v>
      </c>
      <c r="C269" s="3" t="str">
        <f>IFERROR(__xludf.DUMMYFUNCTION("GOOGLETRANSLATE(B269,""id"",""en"")"),"['made easier', 'application', 'thanks', 'indihome']")</f>
        <v>['made easier', 'application', 'thanks', 'indihome']</v>
      </c>
      <c r="D269" s="3">
        <v>5.0</v>
      </c>
    </row>
    <row r="270" ht="15.75" customHeight="1">
      <c r="A270" s="1">
        <v>291.0</v>
      </c>
      <c r="B270" s="3" t="s">
        <v>271</v>
      </c>
      <c r="C270" s="3" t="str">
        <f>IFERROR(__xludf.DUMMYFUNCTION("GOOGLETRANSLATE(B270,""id"",""en"")"),"['lag', 'parag']")</f>
        <v>['lag', 'parag']</v>
      </c>
      <c r="D270" s="3">
        <v>1.0</v>
      </c>
    </row>
    <row r="271" ht="15.75" customHeight="1">
      <c r="A271" s="1">
        <v>292.0</v>
      </c>
      <c r="B271" s="3" t="s">
        <v>272</v>
      </c>
      <c r="C271" s="3" t="str">
        <f>IFERROR(__xludf.DUMMYFUNCTION("GOOGLETRANSLATE(B271,""id"",""en"")"),"['Trusted', 'Anyway']")</f>
        <v>['Trusted', 'Anyway']</v>
      </c>
      <c r="D271" s="3">
        <v>5.0</v>
      </c>
    </row>
    <row r="272" ht="15.75" customHeight="1">
      <c r="A272" s="1">
        <v>293.0</v>
      </c>
      <c r="B272" s="3" t="s">
        <v>273</v>
      </c>
      <c r="C272" s="3" t="str">
        <f>IFERROR(__xludf.DUMMYFUNCTION("GOOGLETRANSLATE(B272,""id"",""en"")"),"['troubled', 'trouble', 'a week', 'gaada', 'compensation', 'samsek', 'service', 'company', 'plate', 'red', '']")</f>
        <v>['troubled', 'trouble', 'a week', 'gaada', 'compensation', 'samsek', 'service', 'company', 'plate', 'red', '']</v>
      </c>
      <c r="D272" s="3">
        <v>1.0</v>
      </c>
    </row>
    <row r="273" ht="15.75" customHeight="1">
      <c r="A273" s="1">
        <v>294.0</v>
      </c>
      <c r="B273" s="3" t="s">
        <v>274</v>
      </c>
      <c r="C273" s="3" t="str">
        <f>IFERROR(__xludf.DUMMYFUNCTION("GOOGLETRANSLATE(B273,""id"",""en"")"),"['Service', 'Indihome', 'disappointing', 'APK', 'Myindihome', 'Useful', 'given', 'menu', 'service', 'complaint', 'complaints',' responded ',' ']")</f>
        <v>['Service', 'Indihome', 'disappointing', 'APK', 'Myindihome', 'Useful', 'given', 'menu', 'service', 'complaint', 'complaints',' responded ',' ']</v>
      </c>
      <c r="D273" s="3">
        <v>1.0</v>
      </c>
    </row>
    <row r="274" ht="15.75" customHeight="1">
      <c r="A274" s="1">
        <v>295.0</v>
      </c>
      <c r="B274" s="3" t="s">
        <v>275</v>
      </c>
      <c r="C274" s="3" t="str">
        <f>IFERROR(__xludf.DUMMYFUNCTION("GOOGLETRANSLATE(B274,""id"",""en"")"),"['application', 'bad', 'how', 'advanced', 'try', 'lose', 'private']")</f>
        <v>['application', 'bad', 'how', 'advanced', 'try', 'lose', 'private']</v>
      </c>
      <c r="D274" s="3">
        <v>1.0</v>
      </c>
    </row>
    <row r="275" ht="15.75" customHeight="1">
      <c r="A275" s="1">
        <v>296.0</v>
      </c>
      <c r="B275" s="3" t="s">
        <v>276</v>
      </c>
      <c r="C275" s="3" t="str">
        <f>IFERROR(__xludf.DUMMYFUNCTION("GOOGLETRANSLATE(B275,""id"",""en"")"),"['Wallet', 'Myindihome', 'Gmna', 'Activate']")</f>
        <v>['Wallet', 'Myindihome', 'Gmna', 'Activate']</v>
      </c>
      <c r="D275" s="3">
        <v>4.0</v>
      </c>
    </row>
    <row r="276" ht="15.75" customHeight="1">
      <c r="A276" s="1">
        <v>299.0</v>
      </c>
      <c r="B276" s="3" t="s">
        <v>277</v>
      </c>
      <c r="C276" s="3" t="str">
        <f>IFERROR(__xludf.DUMMYFUNCTION("GOOGLETRANSLATE(B276,""id"",""en"")"),"['Submission', 'Tide', 'really', 'Fast', 'response', 'lhaa', 'Customer', '']")</f>
        <v>['Submission', 'Tide', 'really', 'Fast', 'response', 'lhaa', 'Customer', '']</v>
      </c>
      <c r="D276" s="3">
        <v>1.0</v>
      </c>
    </row>
    <row r="277" ht="15.75" customHeight="1">
      <c r="A277" s="1">
        <v>300.0</v>
      </c>
      <c r="B277" s="3" t="s">
        <v>278</v>
      </c>
      <c r="C277" s="3" t="str">
        <f>IFERROR(__xludf.DUMMYFUNCTION("GOOGLETRANSLATE(B277,""id"",""en"")"),"['Pay', 'expensive', 'quality', 'Mbps', 'already', 'signal', 'slow', 'right', 'where', 'complains', ""]")</f>
        <v>['Pay', 'expensive', 'quality', 'Mbps', 'already', 'signal', 'slow', 'right', 'where', 'complains', "]</v>
      </c>
      <c r="D277" s="3">
        <v>1.0</v>
      </c>
    </row>
    <row r="278" ht="15.75" customHeight="1">
      <c r="A278" s="1">
        <v>301.0</v>
      </c>
      <c r="B278" s="3" t="s">
        <v>279</v>
      </c>
      <c r="C278" s="3" t="str">
        <f>IFERROR(__xludf.DUMMYFUNCTION("GOOGLETRANSLATE(B278,""id"",""en"")"),"['Application', 'Bru', 'Registration', 'Direct', 'blank', 'screen', 'Signed', 'Worth', 'ugly']")</f>
        <v>['Application', 'Bru', 'Registration', 'Direct', 'blank', 'screen', 'Signed', 'Worth', 'ugly']</v>
      </c>
      <c r="D278" s="3">
        <v>1.0</v>
      </c>
    </row>
    <row r="279" ht="15.75" customHeight="1">
      <c r="A279" s="1">
        <v>302.0</v>
      </c>
      <c r="B279" s="3" t="s">
        <v>280</v>
      </c>
      <c r="C279" s="3" t="str">
        <f>IFERROR(__xludf.DUMMYFUNCTION("GOOGLETRANSLATE(B279,""id"",""en"")"),"['report', 'tok', 'ndang', 'coupled', 'cable', 'problematic', 'told', 'report', 'handy', 'told', 'research', 'modem', ' ']")</f>
        <v>['report', 'tok', 'ndang', 'coupled', 'cable', 'problematic', 'told', 'report', 'handy', 'told', 'research', 'modem', ' ']</v>
      </c>
      <c r="D279" s="3">
        <v>1.0</v>
      </c>
    </row>
    <row r="280" ht="15.75" customHeight="1">
      <c r="A280" s="1">
        <v>303.0</v>
      </c>
      <c r="B280" s="3" t="s">
        <v>281</v>
      </c>
      <c r="C280" s="3" t="str">
        <f>IFERROR(__xludf.DUMMYFUNCTION("GOOGLETRANSLATE(B280,""id"",""en"")"),"['Indohome']")</f>
        <v>['Indohome']</v>
      </c>
      <c r="D280" s="3">
        <v>5.0</v>
      </c>
    </row>
    <row r="281" ht="15.75" customHeight="1">
      <c r="A281" s="1">
        <v>304.0</v>
      </c>
      <c r="B281" s="3" t="s">
        <v>282</v>
      </c>
      <c r="C281" s="3" t="str">
        <f>IFERROR(__xludf.DUMMYFUNCTION("GOOGLETRANSLATE(B281,""id"",""en"")"),"['Ouch', 'paid', 'late', 'wifinya', 'slow', 'really', 'indihome', 'times',' artisan ',' home ',' keluahan ',' indihome ',' Utung ',' Doang ',' Pay ',' his web ',' ugly ',' good ',' just ',' week ']")</f>
        <v>['Ouch', 'paid', 'late', 'wifinya', 'slow', 'really', 'indihome', 'times',' artisan ',' home ',' keluahan ',' indihome ',' Utung ',' Doang ',' Pay ',' his web ',' ugly ',' good ',' just ',' week ']</v>
      </c>
      <c r="D281" s="3">
        <v>1.0</v>
      </c>
    </row>
    <row r="282" ht="15.75" customHeight="1">
      <c r="A282" s="1">
        <v>305.0</v>
      </c>
      <c r="B282" s="3" t="s">
        <v>283</v>
      </c>
      <c r="C282" s="3" t="str">
        <f>IFERROR(__xludf.DUMMYFUNCTION("GOOGLETRANSLATE(B282,""id"",""en"")"),"['Want', 'star', '']")</f>
        <v>['Want', 'star', '']</v>
      </c>
      <c r="D282" s="3">
        <v>1.0</v>
      </c>
    </row>
    <row r="283" ht="15.75" customHeight="1">
      <c r="A283" s="1">
        <v>306.0</v>
      </c>
      <c r="B283" s="3" t="s">
        <v>284</v>
      </c>
      <c r="C283" s="3" t="str">
        <f>IFERROR(__xludf.DUMMYFUNCTION("GOOGLETRANSLATE(B283,""id"",""en"")"),"['signal', 'Sedah']")</f>
        <v>['signal', 'Sedah']</v>
      </c>
      <c r="D283" s="3">
        <v>1.0</v>
      </c>
    </row>
    <row r="284" ht="15.75" customHeight="1">
      <c r="A284" s="1">
        <v>307.0</v>
      </c>
      <c r="B284" s="3" t="s">
        <v>285</v>
      </c>
      <c r="C284" s="3" t="str">
        <f>IFERROR(__xludf.DUMMYFUNCTION("GOOGLETRANSLATE(B284,""id"",""en"")"),"['Thank you', 'Action']")</f>
        <v>['Thank you', 'Action']</v>
      </c>
      <c r="D284" s="3">
        <v>5.0</v>
      </c>
    </row>
    <row r="285" ht="15.75" customHeight="1">
      <c r="A285" s="1">
        <v>308.0</v>
      </c>
      <c r="B285" s="3" t="s">
        <v>286</v>
      </c>
      <c r="C285" s="3" t="str">
        <f>IFERROR(__xludf.DUMMYFUNCTION("GOOGLETRANSLATE(B285,""id"",""en"")"),"['LEG', 'Bener', 'Speed', 'byte', 'turn', 'late', 'pay', 'fine', 'directly', 'broke', 'accountability', ""]")</f>
        <v>['LEG', 'Bener', 'Speed', 'byte', 'turn', 'late', 'pay', 'fine', 'directly', 'broke', 'accountability', "]</v>
      </c>
      <c r="D285" s="3">
        <v>1.0</v>
      </c>
    </row>
    <row r="286" ht="15.75" customHeight="1">
      <c r="A286" s="1">
        <v>309.0</v>
      </c>
      <c r="B286" s="3" t="s">
        <v>287</v>
      </c>
      <c r="C286" s="3" t="str">
        <f>IFERROR(__xludf.DUMMYFUNCTION("GOOGLETRANSLATE(B286,""id"",""en"")"),"['Nida', 'subscribe', 'MOLA', 'INDIHOME', 'LGI', 'Error', 'Gateway', ""]")</f>
        <v>['Nida', 'subscribe', 'MOLA', 'INDIHOME', 'LGI', 'Error', 'Gateway', "]</v>
      </c>
      <c r="D286" s="3">
        <v>1.0</v>
      </c>
    </row>
    <row r="287" ht="15.75" customHeight="1">
      <c r="A287" s="1">
        <v>310.0</v>
      </c>
      <c r="B287" s="3" t="s">
        <v>288</v>
      </c>
      <c r="C287" s="3" t="str">
        <f>IFERROR(__xludf.DUMMYFUNCTION("GOOGLETRANSLATE(B287,""id"",""en"")"),"['Please', 'Fast', 'Fix', 'Morning', 'Connection', 'Internet', 'Pay']")</f>
        <v>['Please', 'Fast', 'Fix', 'Morning', 'Connection', 'Internet', 'Pay']</v>
      </c>
      <c r="D287" s="3">
        <v>2.0</v>
      </c>
    </row>
    <row r="288" ht="15.75" customHeight="1">
      <c r="A288" s="1">
        <v>311.0</v>
      </c>
      <c r="B288" s="3" t="s">
        <v>289</v>
      </c>
      <c r="C288" s="3" t="str">
        <f>IFERROR(__xludf.DUMMYFUNCTION("GOOGLETRANSLATE(B288,""id"",""en"")"),"['', 'coment']")</f>
        <v>['', 'coment']</v>
      </c>
      <c r="D288" s="3">
        <v>1.0</v>
      </c>
    </row>
    <row r="289" ht="15.75" customHeight="1">
      <c r="A289" s="1">
        <v>312.0</v>
      </c>
      <c r="B289" s="3" t="s">
        <v>290</v>
      </c>
      <c r="C289" s="3" t="str">
        <f>IFERROR(__xludf.DUMMYFUNCTION("GOOGLETRANSLATE(B289,""id"",""en"")"),"['Subscriptions',' Mbps', 'Damaged', 'Network', 'Mbps',' Current ',' Jaya ',' Late ',' Pay ',' Test ',' Speed ​​',' Count ',' Mbps', 'Useless',' Scam ',' Indihome ']")</f>
        <v>['Subscriptions',' Mbps', 'Damaged', 'Network', 'Mbps',' Current ',' Jaya ',' Late ',' Pay ',' Test ',' Speed ​​',' Count ',' Mbps', 'Useless',' Scam ',' Indihome ']</v>
      </c>
      <c r="D289" s="3">
        <v>1.0</v>
      </c>
    </row>
    <row r="290" ht="15.75" customHeight="1">
      <c r="A290" s="1">
        <v>313.0</v>
      </c>
      <c r="B290" s="3" t="s">
        <v>291</v>
      </c>
      <c r="C290" s="3" t="str">
        <f>IFERROR(__xludf.DUMMYFUNCTION("GOOGLETRANSLATE(B290,""id"",""en"")"),"['Help', 'difficult', 'really', 'login']")</f>
        <v>['Help', 'difficult', 'really', 'login']</v>
      </c>
      <c r="D290" s="3">
        <v>1.0</v>
      </c>
    </row>
    <row r="291" ht="15.75" customHeight="1">
      <c r="A291" s="1">
        <v>314.0</v>
      </c>
      <c r="B291" s="3" t="s">
        <v>292</v>
      </c>
      <c r="C291" s="3" t="str">
        <f>IFERROR(__xludf.DUMMYFUNCTION("GOOGLETRANSLATE(B291,""id"",""en"")"),"['connection', 'internet', 'play', 'game', 'bad']")</f>
        <v>['connection', 'internet', 'play', 'game', 'bad']</v>
      </c>
      <c r="D291" s="3">
        <v>1.0</v>
      </c>
    </row>
    <row r="292" ht="15.75" customHeight="1">
      <c r="A292" s="1">
        <v>316.0</v>
      </c>
      <c r="B292" s="3" t="s">
        <v>293</v>
      </c>
      <c r="C292" s="3" t="str">
        <f>IFERROR(__xludf.DUMMYFUNCTION("GOOGLETRANSLATE(B292,""id"",""en"")"),"['', 'Malem', 'noon', 'wifiny', 'loading', 'slow', 'breaking', 'continued', 'mulu', 'wifi', 'indihomen', 'already', 'pairs ',' WiFi ',' a month ',' installed ',' install ']")</f>
        <v>['', 'Malem', 'noon', 'wifiny', 'loading', 'slow', 'breaking', 'continued', 'mulu', 'wifi', 'indihomen', 'already', 'pairs ',' WiFi ',' a month ',' installed ',' install ']</v>
      </c>
      <c r="D292" s="3">
        <v>1.0</v>
      </c>
    </row>
    <row r="293" ht="15.75" customHeight="1">
      <c r="A293" s="1">
        <v>317.0</v>
      </c>
      <c r="B293" s="3" t="s">
        <v>294</v>
      </c>
      <c r="C293" s="3" t="str">
        <f>IFERROR(__xludf.DUMMYFUNCTION("GOOGLETRANSLATE(B293,""id"",""en"")"),"['renew', ""]")</f>
        <v>['renew', "]</v>
      </c>
      <c r="D293" s="3">
        <v>1.0</v>
      </c>
    </row>
    <row r="294" ht="15.75" customHeight="1">
      <c r="A294" s="1">
        <v>318.0</v>
      </c>
      <c r="B294" s="3" t="s">
        <v>295</v>
      </c>
      <c r="C294" s="3" t="str">
        <f>IFERROR(__xludf.DUMMYFUNCTION("GOOGLETRANSLATE(B294,""id"",""en"")"),"['Myindihome', 'Mantull', 'Check', 'Bill', 'Report', 'Constraints', '']")</f>
        <v>['Myindihome', 'Mantull', 'Check', 'Bill', 'Report', 'Constraints', '']</v>
      </c>
      <c r="D294" s="3">
        <v>5.0</v>
      </c>
    </row>
    <row r="295" ht="15.75" customHeight="1">
      <c r="A295" s="1">
        <v>319.0</v>
      </c>
      <c r="B295" s="3" t="s">
        <v>296</v>
      </c>
      <c r="C295" s="3" t="str">
        <f>IFERROR(__xludf.DUMMYFUNCTION("GOOGLETRANSLATE(B295,""id"",""en"")"),"['Report', 'cable', 'break up', 'handled', 'fast', 'handling']")</f>
        <v>['Report', 'cable', 'break up', 'handled', 'fast', 'handling']</v>
      </c>
      <c r="D295" s="3">
        <v>1.0</v>
      </c>
    </row>
    <row r="296" ht="15.75" customHeight="1">
      <c r="A296" s="1">
        <v>321.0</v>
      </c>
      <c r="B296" s="3" t="s">
        <v>297</v>
      </c>
      <c r="C296" s="3" t="str">
        <f>IFERROR(__xludf.DUMMYFUNCTION("GOOGLETRANSLATE(B296,""id"",""en"")"),"['Help', 'makes it easy', 'consumer', 'thank you']")</f>
        <v>['Help', 'makes it easy', 'consumer', 'thank you']</v>
      </c>
      <c r="D296" s="3">
        <v>5.0</v>
      </c>
    </row>
    <row r="297" ht="15.75" customHeight="1">
      <c r="A297" s="1">
        <v>322.0</v>
      </c>
      <c r="B297" s="3" t="s">
        <v>298</v>
      </c>
      <c r="C297" s="3" t="str">
        <f>IFERROR(__xludf.DUMMYFUNCTION("GOOGLETRANSLATE(B297,""id"",""en"")"),"['The application', 'Cool', 'Exchange', 'Pakek', 'User', 'Friendly']")</f>
        <v>['The application', 'Cool', 'Exchange', 'Pakek', 'User', 'Friendly']</v>
      </c>
      <c r="D297" s="3">
        <v>5.0</v>
      </c>
    </row>
    <row r="298" ht="15.75" customHeight="1">
      <c r="A298" s="1">
        <v>323.0</v>
      </c>
      <c r="B298" s="3" t="s">
        <v>299</v>
      </c>
      <c r="C298" s="3" t="str">
        <f>IFERROR(__xludf.DUMMYFUNCTION("GOOGLETRANSLATE(B298,""id"",""en"")"),"['Application', 'Helpful', 'Society', 'Raying', 'Oath']")</f>
        <v>['Application', 'Helpful', 'Society', 'Raying', 'Oath']</v>
      </c>
      <c r="D298" s="3">
        <v>5.0</v>
      </c>
    </row>
    <row r="299" ht="15.75" customHeight="1">
      <c r="A299" s="1">
        <v>324.0</v>
      </c>
      <c r="B299" s="3" t="s">
        <v>300</v>
      </c>
      <c r="C299" s="3" t="str">
        <f>IFERROR(__xludf.DUMMYFUNCTION("GOOGLETRANSLATE(B299,""id"",""en"")"),"['Indihome', 'center', 'Slow', 'response', 'work', 'marketing', 'technicians', 'field', 'fast', '']")</f>
        <v>['Indihome', 'center', 'Slow', 'response', 'work', 'marketing', 'technicians', 'field', 'fast', '']</v>
      </c>
      <c r="D299" s="3">
        <v>1.0</v>
      </c>
    </row>
    <row r="300" ht="15.75" customHeight="1">
      <c r="A300" s="1">
        <v>325.0</v>
      </c>
      <c r="B300" s="3" t="s">
        <v>301</v>
      </c>
      <c r="C300" s="3" t="str">
        <f>IFERROR(__xludf.DUMMYFUNCTION("GOOGLETRANSLATE(B300,""id"",""en"")"),"['apikyikik', 'late', 'response']")</f>
        <v>['apikyikik', 'late', 'response']</v>
      </c>
      <c r="D300" s="3">
        <v>1.0</v>
      </c>
    </row>
    <row r="301" ht="15.75" customHeight="1">
      <c r="A301" s="1">
        <v>326.0</v>
      </c>
      <c r="B301" s="3" t="s">
        <v>25</v>
      </c>
      <c r="C301" s="3" t="str">
        <f>IFERROR(__xludf.DUMMYFUNCTION("GOOGLETRANSLATE(B301,""id"",""en"")"),"['okay']")</f>
        <v>['okay']</v>
      </c>
      <c r="D301" s="3">
        <v>5.0</v>
      </c>
    </row>
    <row r="302" ht="15.75" customHeight="1">
      <c r="A302" s="1">
        <v>327.0</v>
      </c>
      <c r="B302" s="3" t="s">
        <v>302</v>
      </c>
      <c r="C302" s="3" t="str">
        <f>IFERROR(__xludf.DUMMYFUNCTION("GOOGLETRANSLATE(B302,""id"",""en"")"),"['Network', 'Indihome', 'disconnected', 'that's']")</f>
        <v>['Network', 'Indihome', 'disconnected', 'that's']</v>
      </c>
      <c r="D302" s="3">
        <v>1.0</v>
      </c>
    </row>
    <row r="303" ht="15.75" customHeight="1">
      <c r="A303" s="1">
        <v>328.0</v>
      </c>
      <c r="B303" s="3" t="s">
        <v>303</v>
      </c>
      <c r="C303" s="3" t="str">
        <f>IFERROR(__xludf.DUMMYFUNCTION("GOOGLETRANSLATE(B303,""id"",""en"")"),"['signal', 'ugly', 'BYR', 'NGK', 'late', ""]")</f>
        <v>['signal', 'ugly', 'BYR', 'NGK', 'late', "]</v>
      </c>
      <c r="D303" s="3">
        <v>1.0</v>
      </c>
    </row>
    <row r="304" ht="15.75" customHeight="1">
      <c r="A304" s="1">
        <v>329.0</v>
      </c>
      <c r="B304" s="3" t="s">
        <v>304</v>
      </c>
      <c r="C304" s="3" t="str">
        <f>IFERROR(__xludf.DUMMYFUNCTION("GOOGLETRANSLATE(B304,""id"",""en"")"),"['Use', 'Application', 'Easy', '']")</f>
        <v>['Use', 'Application', 'Easy', '']</v>
      </c>
      <c r="D304" s="3">
        <v>5.0</v>
      </c>
    </row>
    <row r="305" ht="15.75" customHeight="1">
      <c r="A305" s="1">
        <v>330.0</v>
      </c>
      <c r="B305" s="3" t="s">
        <v>305</v>
      </c>
      <c r="C305" s="3" t="str">
        <f>IFERROR(__xludf.DUMMYFUNCTION("GOOGLETRANSLATE(B305,""id"",""en"")"),"['Application', 'Cool', 'Helpful', 'Customer']")</f>
        <v>['Application', 'Cool', 'Helpful', 'Customer']</v>
      </c>
      <c r="D305" s="3">
        <v>5.0</v>
      </c>
    </row>
    <row r="306" ht="15.75" customHeight="1">
      <c r="A306" s="1">
        <v>331.0</v>
      </c>
      <c r="B306" s="3" t="s">
        <v>306</v>
      </c>
      <c r="C306" s="3" t="str">
        <f>IFERROR(__xludf.DUMMYFUNCTION("GOOGLETRANSLATE(B306,""id"",""en"")"),"['difficult', 'open', 'application', 'klu', 'complaint', 'slow', 'response']")</f>
        <v>['difficult', 'open', 'application', 'klu', 'complaint', 'slow', 'response']</v>
      </c>
      <c r="D306" s="3">
        <v>1.0</v>
      </c>
    </row>
    <row r="307" ht="15.75" customHeight="1">
      <c r="A307" s="1">
        <v>332.0</v>
      </c>
      <c r="B307" s="3" t="s">
        <v>307</v>
      </c>
      <c r="C307" s="3" t="str">
        <f>IFERROR(__xludf.DUMMYFUNCTION("GOOGLETRANSLATE(B307,""id"",""en"")"),"['please', 'operator', 'brought', 'midwife', 'closest', 'suspiciously', 'born', 'mouth', 'no', 'wash', 'midwife', 'nawarin', ' Channel ',' Concert ',' What's', 'Listen', 'Offers',' Finish ',' Explanation ',' Skip ',' Need ',' Greetings', 'Thank', 'Love', "&amp;"'Discard' , 'Discard', 'directly', 'closed', 'call', 'no', 'hiring', 'employee', 'attitude', '']")</f>
        <v>['please', 'operator', 'brought', 'midwife', 'closest', 'suspiciously', 'born', 'mouth', 'no', 'wash', 'midwife', 'nawarin', ' Channel ',' Concert ',' What's', 'Listen', 'Offers',' Finish ',' Explanation ',' Skip ',' Need ',' Greetings', 'Thank', 'Love', 'Discard' , 'Discard', 'directly', 'closed', 'call', 'no', 'hiring', 'employee', 'attitude', '']</v>
      </c>
      <c r="D307" s="3">
        <v>1.0</v>
      </c>
    </row>
    <row r="308" ht="15.75" customHeight="1">
      <c r="A308" s="1">
        <v>333.0</v>
      </c>
      <c r="B308" s="3" t="s">
        <v>308</v>
      </c>
      <c r="C308" s="3" t="str">
        <f>IFERROR(__xludf.DUMMYFUNCTION("GOOGLETRANSLATE(B308,""id"",""en"")"),"['Cokkk', 'Jancukkkkk', 'Login', 'Dalem', 'APL', 'TRS', 'Remove', 'TRS', 'Login', ""]")</f>
        <v>['Cokkk', 'Jancukkkkk', 'Login', 'Dalem', 'APL', 'TRS', 'Remove', 'TRS', 'Login', "]</v>
      </c>
      <c r="D308" s="3">
        <v>1.0</v>
      </c>
    </row>
    <row r="309" ht="15.75" customHeight="1">
      <c r="A309" s="1">
        <v>334.0</v>
      </c>
      <c r="B309" s="3" t="s">
        <v>309</v>
      </c>
      <c r="C309" s="3" t="str">
        <f>IFERROR(__xludf.DUMMYFUNCTION("GOOGLETRANSLATE(B309,""id"",""en"")"),"['Pay', 'expensive', 'yes', 'per month', 'disorder', 'yes', 'already', 'beraiiamn', 'sad', ""]")</f>
        <v>['Pay', 'expensive', 'yes', 'per month', 'disorder', 'yes', 'already', 'beraiiamn', 'sad', "]</v>
      </c>
      <c r="D309" s="3">
        <v>5.0</v>
      </c>
    </row>
    <row r="310" ht="15.75" customHeight="1">
      <c r="A310" s="1">
        <v>335.0</v>
      </c>
      <c r="B310" s="3" t="s">
        <v>310</v>
      </c>
      <c r="C310" s="3" t="str">
        <f>IFERROR(__xludf.DUMMYFUNCTION("GOOGLETRANSLATE(B310,""id"",""en"")"),"['', 'Home', 'enter', 'Region', 'home', ""]")</f>
        <v>['', 'Home', 'enter', 'Region', 'home', "]</v>
      </c>
      <c r="D310" s="3">
        <v>1.0</v>
      </c>
    </row>
    <row r="311" ht="15.75" customHeight="1">
      <c r="A311" s="1">
        <v>336.0</v>
      </c>
      <c r="B311" s="3" t="s">
        <v>311</v>
      </c>
      <c r="C311" s="3" t="str">
        <f>IFERROR(__xludf.DUMMYFUNCTION("GOOGLETRANSLATE(B311,""id"",""en"")"),"['Mantep', 'really', 'Tuker', 'Points', 'CMN', 'Bill', 'SCR', 'Details', 'Good']")</f>
        <v>['Mantep', 'really', 'Tuker', 'Points', 'CMN', 'Bill', 'SCR', 'Details', 'Good']</v>
      </c>
      <c r="D311" s="3">
        <v>5.0</v>
      </c>
    </row>
    <row r="312" ht="15.75" customHeight="1">
      <c r="A312" s="1">
        <v>337.0</v>
      </c>
      <c r="B312" s="3" t="s">
        <v>312</v>
      </c>
      <c r="C312" s="3" t="str">
        <f>IFERROR(__xludf.DUMMYFUNCTION("GOOGLETRANSLATE(B312,""id"",""en"")"),"['Good', 'the application', 'makes it easy', 'customer']")</f>
        <v>['Good', 'the application', 'makes it easy', 'customer']</v>
      </c>
      <c r="D312" s="3">
        <v>5.0</v>
      </c>
    </row>
    <row r="313" ht="15.75" customHeight="1">
      <c r="A313" s="1">
        <v>338.0</v>
      </c>
      <c r="B313" s="3" t="s">
        <v>313</v>
      </c>
      <c r="C313" s="3" t="str">
        <f>IFERROR(__xludf.DUMMYFUNCTION("GOOGLETRANSLATE(B313,""id"",""en"")"),"['TOP', 'quota', 'Indihome', 'Yesterday']")</f>
        <v>['TOP', 'quota', 'Indihome', 'Yesterday']</v>
      </c>
      <c r="D313" s="3">
        <v>1.0</v>
      </c>
    </row>
    <row r="314" ht="15.75" customHeight="1">
      <c r="A314" s="1">
        <v>339.0</v>
      </c>
      <c r="B314" s="3" t="s">
        <v>314</v>
      </c>
      <c r="C314" s="3" t="str">
        <f>IFERROR(__xludf.DUMMYFUNCTION("GOOGLETRANSLATE(B314,""id"",""en"")"),"['disorder', 'already', 'clock', 'star', 'change', 'good', '']")</f>
        <v>['disorder', 'already', 'clock', 'star', 'change', 'good', '']</v>
      </c>
      <c r="D314" s="3">
        <v>4.0</v>
      </c>
    </row>
    <row r="315" ht="15.75" customHeight="1">
      <c r="A315" s="1">
        <v>340.0</v>
      </c>
      <c r="B315" s="3" t="s">
        <v>315</v>
      </c>
      <c r="C315" s="3" t="str">
        <f>IFERROR(__xludf.DUMMYFUNCTION("GOOGLETRANSLATE(B315,""id"",""en"")"),"['Ngebug', 'Register', 'Abis',' Figure ',' Biodata ',' Lgsg ',' Ngeblank ',' White ',' Try ',' Re-try ',' said ',' already ',' Used ',' Ngebug ',' Mulu ',' what ']")</f>
        <v>['Ngebug', 'Register', 'Abis',' Figure ',' Biodata ',' Lgsg ',' Ngeblank ',' White ',' Try ',' Re-try ',' said ',' already ',' Used ',' Ngebug ',' Mulu ',' what ']</v>
      </c>
      <c r="D315" s="3">
        <v>5.0</v>
      </c>
    </row>
    <row r="316" ht="15.75" customHeight="1">
      <c r="A316" s="1">
        <v>342.0</v>
      </c>
      <c r="B316" s="3" t="s">
        <v>316</v>
      </c>
      <c r="C316" s="3" t="str">
        <f>IFERROR(__xludf.DUMMYFUNCTION("GOOGLETRANSLATE(B316,""id"",""en"")"),"['happy', 'myindihome', 'user', 'friendly', 'really', 'makes it easy', 'user', 'see', 'bill', 'detail', '']")</f>
        <v>['happy', 'myindihome', 'user', 'friendly', 'really', 'makes it easy', 'user', 'see', 'bill', 'detail', '']</v>
      </c>
      <c r="D316" s="3">
        <v>5.0</v>
      </c>
    </row>
    <row r="317" ht="15.75" customHeight="1">
      <c r="A317" s="1">
        <v>343.0</v>
      </c>
      <c r="B317" s="3" t="s">
        <v>317</v>
      </c>
      <c r="C317" s="3" t="str">
        <f>IFERROR(__xludf.DUMMYFUNCTION("GOOGLETRANSLATE(B317,""id"",""en"")"),"['Good', 'spirit', 'streaming', 'Yutub', 'smooth']")</f>
        <v>['Good', 'spirit', 'streaming', 'Yutub', 'smooth']</v>
      </c>
      <c r="D317" s="3">
        <v>5.0</v>
      </c>
    </row>
    <row r="318" ht="15.75" customHeight="1">
      <c r="A318" s="1">
        <v>344.0</v>
      </c>
      <c r="B318" s="3" t="s">
        <v>318</v>
      </c>
      <c r="C318" s="3" t="str">
        <f>IFERROR(__xludf.DUMMYFUNCTION("GOOGLETRANSLATE(B318,""id"",""en"")"),"['Honest', 'Indihome', 'Lola', 'paid', 'expensive', 'confusing', 'the application', 'hope', 'Indihome', ""]")</f>
        <v>['Honest', 'Indihome', 'Lola', 'paid', 'expensive', 'confusing', 'the application', 'hope', 'Indihome', "]</v>
      </c>
      <c r="D318" s="3">
        <v>3.0</v>
      </c>
    </row>
    <row r="319" ht="15.75" customHeight="1">
      <c r="A319" s="1">
        <v>345.0</v>
      </c>
      <c r="B319" s="3" t="s">
        <v>319</v>
      </c>
      <c r="C319" s="3" t="str">
        <f>IFERROR(__xludf.DUMMYFUNCTION("GOOGLETRANSLATE(B319,""id"",""en"")"),"['Internet', 'good', 'Bangat', 'oath']")</f>
        <v>['Internet', 'good', 'Bangat', 'oath']</v>
      </c>
      <c r="D319" s="3">
        <v>5.0</v>
      </c>
    </row>
    <row r="320" ht="15.75" customHeight="1">
      <c r="A320" s="1">
        <v>346.0</v>
      </c>
      <c r="B320" s="3" t="s">
        <v>320</v>
      </c>
      <c r="C320" s="3" t="str">
        <f>IFERROR(__xludf.DUMMYFUNCTION("GOOGLETRANSLATE(B320,""id"",""en"")"),"['Cool', 'really', 'Tuker', 'Points', '']")</f>
        <v>['Cool', 'really', 'Tuker', 'Points', '']</v>
      </c>
      <c r="D320" s="3">
        <v>5.0</v>
      </c>
    </row>
    <row r="321" ht="15.75" customHeight="1">
      <c r="A321" s="1">
        <v>347.0</v>
      </c>
      <c r="B321" s="3" t="s">
        <v>321</v>
      </c>
      <c r="C321" s="3" t="str">
        <f>IFERROR(__xludf.DUMMYFUNCTION("GOOGLETRANSLATE(B321,""id"",""en"")"),"['Help', 'wfh', 'gini', 'signal', 'pretty', 'good', '']")</f>
        <v>['Help', 'wfh', 'gini', 'signal', 'pretty', 'good', '']</v>
      </c>
      <c r="D321" s="3">
        <v>5.0</v>
      </c>
    </row>
    <row r="322" ht="15.75" customHeight="1">
      <c r="A322" s="1">
        <v>348.0</v>
      </c>
      <c r="B322" s="3" t="s">
        <v>322</v>
      </c>
      <c r="C322" s="3" t="str">
        <f>IFERROR(__xludf.DUMMYFUNCTION("GOOGLETRANSLATE(B322,""id"",""en"")"),"['Failed', 'Create', 'account', 'Bad', 'Request', 'Error', ""]")</f>
        <v>['Failed', 'Create', 'account', 'Bad', 'Request', 'Error', "]</v>
      </c>
      <c r="D322" s="3">
        <v>2.0</v>
      </c>
    </row>
    <row r="323" ht="15.75" customHeight="1">
      <c r="A323" s="1">
        <v>349.0</v>
      </c>
      <c r="B323" s="3" t="s">
        <v>323</v>
      </c>
      <c r="C323" s="3" t="str">
        <f>IFERROR(__xludf.DUMMYFUNCTION("GOOGLETRANSLATE(B323,""id"",""en"")"),"['Lemot', 'really', 'monthly', 'free', 'dislodial', '']")</f>
        <v>['Lemot', 'really', 'monthly', 'free', 'dislodial', '']</v>
      </c>
      <c r="D323" s="3">
        <v>1.0</v>
      </c>
    </row>
    <row r="324" ht="15.75" customHeight="1">
      <c r="A324" s="1">
        <v>350.0</v>
      </c>
      <c r="B324" s="3" t="s">
        <v>192</v>
      </c>
      <c r="C324" s="3" t="str">
        <f>IFERROR(__xludf.DUMMYFUNCTION("GOOGLETRANSLATE(B324,""id"",""en"")"),"['application', 'defective']")</f>
        <v>['application', 'defective']</v>
      </c>
      <c r="D324" s="3">
        <v>1.0</v>
      </c>
    </row>
    <row r="325" ht="15.75" customHeight="1">
      <c r="A325" s="1">
        <v>351.0</v>
      </c>
      <c r="B325" s="3" t="s">
        <v>324</v>
      </c>
      <c r="C325" s="3" t="str">
        <f>IFERROR(__xludf.DUMMYFUNCTION("GOOGLETRANSLATE(B325,""id"",""en"")"),"['wifinya', 'cool', 'min', 'ampe', 'AFK', 'times', 'signal', 'good', 'really']")</f>
        <v>['wifinya', 'cool', 'min', 'ampe', 'AFK', 'times', 'signal', 'good', 'really']</v>
      </c>
      <c r="D325" s="3">
        <v>1.0</v>
      </c>
    </row>
    <row r="326" ht="15.75" customHeight="1">
      <c r="A326" s="1">
        <v>352.0</v>
      </c>
      <c r="B326" s="3" t="s">
        <v>325</v>
      </c>
      <c r="C326" s="3" t="str">
        <f>IFERROR(__xludf.DUMMYFUNCTION("GOOGLETRANSLATE(B326,""id"",""en"")"),"['Changing', 'Email', 'Applicationk', 'Indihome', ""]")</f>
        <v>['Changing', 'Email', 'Applicationk', 'Indihome', "]</v>
      </c>
      <c r="D326" s="3">
        <v>1.0</v>
      </c>
    </row>
    <row r="327" ht="15.75" customHeight="1">
      <c r="A327" s="1">
        <v>353.0</v>
      </c>
      <c r="B327" s="3" t="s">
        <v>326</v>
      </c>
      <c r="C327" s="3" t="str">
        <f>IFERROR(__xludf.DUMMYFUNCTION("GOOGLETRANSLATE(B327,""id"",""en"")"),"['Application', 'Helping', 'Provider', 'Indihome', 'Current', 'Play', 'Ping', 'Play', 'Ping', 'Thank you', 'Indihome', 'Continue', ' business', '']")</f>
        <v>['Application', 'Helping', 'Provider', 'Indihome', 'Current', 'Play', 'Ping', 'Play', 'Ping', 'Thank you', 'Indihome', 'Continue', ' business', '']</v>
      </c>
      <c r="D327" s="3">
        <v>5.0</v>
      </c>
    </row>
    <row r="328" ht="15.75" customHeight="1">
      <c r="A328" s="1">
        <v>354.0</v>
      </c>
      <c r="B328" s="3" t="s">
        <v>327</v>
      </c>
      <c r="C328" s="3" t="str">
        <f>IFERROR(__xludf.DUMMYFUNCTION("GOOGLETRANSLATE(B328,""id"",""en"")"),"['Good', 'Job', '']")</f>
        <v>['Good', 'Job', '']</v>
      </c>
      <c r="D328" s="3">
        <v>5.0</v>
      </c>
    </row>
    <row r="329" ht="15.75" customHeight="1">
      <c r="A329" s="1">
        <v>355.0</v>
      </c>
      <c r="B329" s="3" t="s">
        <v>328</v>
      </c>
      <c r="C329" s="3" t="str">
        <f>IFERROR(__xludf.DUMMYFUNCTION("GOOGLETRANSLATE(B329,""id"",""en"")"),"['Indihome', 'help', 'good', 'smooth', 'blessing', 'indihome', '']")</f>
        <v>['Indihome', 'help', 'good', 'smooth', 'blessing', 'indihome', '']</v>
      </c>
      <c r="D329" s="3">
        <v>5.0</v>
      </c>
    </row>
    <row r="330" ht="15.75" customHeight="1">
      <c r="A330" s="1">
        <v>356.0</v>
      </c>
      <c r="B330" s="3" t="s">
        <v>329</v>
      </c>
      <c r="C330" s="3" t="str">
        <f>IFERROR(__xludf.DUMMYFUNCTION("GOOGLETRANSLATE(B330,""id"",""en"")"),"['Wear', 'Internet', 'Indihome', 'Good', 'Rare', 'Disruption']")</f>
        <v>['Wear', 'Internet', 'Indihome', 'Good', 'Rare', 'Disruption']</v>
      </c>
      <c r="D330" s="3">
        <v>5.0</v>
      </c>
    </row>
    <row r="331" ht="15.75" customHeight="1">
      <c r="A331" s="1">
        <v>357.0</v>
      </c>
      <c r="B331" s="3" t="s">
        <v>330</v>
      </c>
      <c r="C331" s="3" t="str">
        <f>IFERROR(__xludf.DUMMYFUNCTION("GOOGLETRANSLATE(B331,""id"",""en"")"),"['Yesterday', 'Constraints', 'Network', 'smooth', 'Jaya', 'Indihome', 'fast', 'responsive', 'Thank you', 'Indihome', ""]")</f>
        <v>['Yesterday', 'Constraints', 'Network', 'smooth', 'Jaya', 'Indihome', 'fast', 'responsive', 'Thank you', 'Indihome', "]</v>
      </c>
      <c r="D331" s="3">
        <v>5.0</v>
      </c>
    </row>
    <row r="332" ht="15.75" customHeight="1">
      <c r="A332" s="1">
        <v>358.0</v>
      </c>
      <c r="B332" s="3" t="s">
        <v>331</v>
      </c>
      <c r="C332" s="3" t="str">
        <f>IFERROR(__xludf.DUMMYFUNCTION("GOOGLETRANSLATE(B332,""id"",""en"")"),"['Application', 'Help', 'Details', 'Bill', 'Details', '']")</f>
        <v>['Application', 'Help', 'Details', 'Bill', 'Details', '']</v>
      </c>
      <c r="D332" s="3">
        <v>5.0</v>
      </c>
    </row>
    <row r="333" ht="15.75" customHeight="1">
      <c r="A333" s="1">
        <v>359.0</v>
      </c>
      <c r="B333" s="3" t="s">
        <v>332</v>
      </c>
      <c r="C333" s="3" t="str">
        <f>IFERROR(__xludf.DUMMYFUNCTION("GOOGLETRANSLATE(B333,""id"",""en"")"),"['Indihome', 'internet', 'steady']")</f>
        <v>['Indihome', 'internet', 'steady']</v>
      </c>
      <c r="D333" s="3">
        <v>5.0</v>
      </c>
    </row>
    <row r="334" ht="15.75" customHeight="1">
      <c r="A334" s="1">
        <v>360.0</v>
      </c>
      <c r="B334" s="3" t="s">
        <v>333</v>
      </c>
      <c r="C334" s="3" t="str">
        <f>IFERROR(__xludf.DUMMYFUNCTION("GOOGLETRANSLATE(B334,""id"",""en"")"),"['Disruption', 'Region', 'already', 'Normal', 'smooth', 'Jaya', 'Thank you', 'Indihome', ""]")</f>
        <v>['Disruption', 'Region', 'already', 'Normal', 'smooth', 'Jaya', 'Thank you', 'Indihome', "]</v>
      </c>
      <c r="D334" s="3">
        <v>5.0</v>
      </c>
    </row>
    <row r="335" ht="15.75" customHeight="1">
      <c r="A335" s="1">
        <v>361.0</v>
      </c>
      <c r="B335" s="3" t="s">
        <v>334</v>
      </c>
      <c r="C335" s="3" t="str">
        <f>IFERROR(__xludf.DUMMYFUNCTION("GOOGLETRANSLATE(B335,""id"",""en"")"),"['Application', 'helped him', ""]")</f>
        <v>['Application', 'helped him', "]</v>
      </c>
      <c r="D335" s="3">
        <v>5.0</v>
      </c>
    </row>
    <row r="336" ht="15.75" customHeight="1">
      <c r="A336" s="1">
        <v>362.0</v>
      </c>
      <c r="B336" s="3" t="s">
        <v>335</v>
      </c>
      <c r="C336" s="3" t="str">
        <f>IFERROR(__xludf.DUMMYFUNCTION("GOOGLETRANSLATE(B336,""id"",""en"")"),"['Speed', 'Network', 'Mbps', 'Down', 'Mbps', 'BGM', '']")</f>
        <v>['Speed', 'Network', 'Mbps', 'Down', 'Mbps', 'BGM', '']</v>
      </c>
      <c r="D336" s="3">
        <v>1.0</v>
      </c>
    </row>
    <row r="337" ht="15.75" customHeight="1">
      <c r="A337" s="1">
        <v>364.0</v>
      </c>
      <c r="B337" s="3" t="s">
        <v>336</v>
      </c>
      <c r="C337" s="3" t="str">
        <f>IFERROR(__xludf.DUMMYFUNCTION("GOOGLETRANSLATE(B337,""id"",""en"")"),"['It's easy', 'service', 'IndiHome', 'complicated', 'steady', 'suggestion', 'log', 'application', 'sometimes', 'easy', 'cpt', 'repair']")</f>
        <v>['It's easy', 'service', 'IndiHome', 'complicated', 'steady', 'suggestion', 'log', 'application', 'sometimes', 'easy', 'cpt', 'repair']</v>
      </c>
      <c r="D337" s="3">
        <v>5.0</v>
      </c>
    </row>
    <row r="338" ht="15.75" customHeight="1">
      <c r="A338" s="1">
        <v>365.0</v>
      </c>
      <c r="B338" s="3" t="s">
        <v>337</v>
      </c>
      <c r="C338" s="3" t="str">
        <f>IFERROR(__xludf.DUMMYFUNCTION("GOOGLETRANSLATE(B338,""id"",""en"")"),"['mantappppppppp', 'Not bad', 'help', ""]")</f>
        <v>['mantappppppppp', 'Not bad', 'help', "]</v>
      </c>
      <c r="D338" s="3">
        <v>4.0</v>
      </c>
    </row>
    <row r="339" ht="15.75" customHeight="1">
      <c r="A339" s="1">
        <v>366.0</v>
      </c>
      <c r="B339" s="3" t="s">
        <v>338</v>
      </c>
      <c r="C339" s="3" t="str">
        <f>IFERROR(__xludf.DUMMYFUNCTION("GOOGLETRANSLATE(B339,""id"",""en"")"),"['disruption', 'canal', 'late', 'pay', 'fine', 'klu', 'gini', 'compensation', 'subscription', 'Mbps', 'Mbps', 'sometimes' Cook ',' Country ',' See ',' company ',' Kayak ',' Gini ',' Star ',' Mebuktikan ',' Klu ',' Network ',' Move ',' Sell ',' Indihome ' "&amp;", '']")</f>
        <v>['disruption', 'canal', 'late', 'pay', 'fine', 'klu', 'gini', 'compensation', 'subscription', 'Mbps', 'Mbps', 'sometimes' Cook ',' Country ',' See ',' company ',' Kayak ',' Gini ',' Star ',' Mebuktikan ',' Klu ',' Network ',' Move ',' Sell ',' Indihome ' , '']</v>
      </c>
      <c r="D339" s="3">
        <v>1.0</v>
      </c>
    </row>
    <row r="340" ht="15.75" customHeight="1">
      <c r="A340" s="1">
        <v>367.0</v>
      </c>
      <c r="B340" s="3" t="s">
        <v>339</v>
      </c>
      <c r="C340" s="3" t="str">
        <f>IFERROR(__xludf.DUMMYFUNCTION("GOOGLETRANSLATE(B340,""id"",""en"")"),"['signal', 'ugly', 'really', 'run out', 'pay', 'regret', 'subscription']")</f>
        <v>['signal', 'ugly', 'really', 'run out', 'pay', 'regret', 'subscription']</v>
      </c>
      <c r="D340" s="3">
        <v>1.0</v>
      </c>
    </row>
    <row r="341" ht="15.75" customHeight="1">
      <c r="A341" s="1">
        <v>368.0</v>
      </c>
      <c r="B341" s="3" t="s">
        <v>340</v>
      </c>
      <c r="C341" s="3" t="str">
        <f>IFERROR(__xludf.DUMMYFUNCTION("GOOGLETRANSLATE(B341,""id"",""en"")"),"['', 'difficult', 'enter']")</f>
        <v>['', 'difficult', 'enter']</v>
      </c>
      <c r="D341" s="3">
        <v>5.0</v>
      </c>
    </row>
    <row r="342" ht="15.75" customHeight="1">
      <c r="A342" s="1">
        <v>369.0</v>
      </c>
      <c r="B342" s="3" t="s">
        <v>341</v>
      </c>
      <c r="C342" s="3" t="str">
        <f>IFERROR(__xludf.DUMMYFUNCTION("GOOGLETRANSLATE(B342,""id"",""en"")"),"['Login', 'Error', '']")</f>
        <v>['Login', 'Error', '']</v>
      </c>
      <c r="D342" s="3">
        <v>1.0</v>
      </c>
    </row>
    <row r="343" ht="15.75" customHeight="1">
      <c r="A343" s="1">
        <v>370.0</v>
      </c>
      <c r="B343" s="3" t="s">
        <v>342</v>
      </c>
      <c r="C343" s="3" t="str">
        <f>IFERROR(__xludf.DUMMYFUNCTION("GOOGLETRANSLATE(B343,""id"",""en"")"),"['Indihome', 'slow', 'work', 'disturbed', 'forgiveness', 'slow', '']")</f>
        <v>['Indihome', 'slow', 'work', 'disturbed', 'forgiveness', 'slow', '']</v>
      </c>
      <c r="D343" s="3">
        <v>1.0</v>
      </c>
    </row>
    <row r="344" ht="15.75" customHeight="1">
      <c r="A344" s="1">
        <v>371.0</v>
      </c>
      <c r="B344" s="3" t="s">
        <v>343</v>
      </c>
      <c r="C344" s="3" t="str">
        <f>IFERROR(__xludf.DUMMYFUNCTION("GOOGLETRANSLATE(B344,""id"",""en"")"),"['Bugs']")</f>
        <v>['Bugs']</v>
      </c>
      <c r="D344" s="3">
        <v>1.0</v>
      </c>
    </row>
    <row r="345" ht="15.75" customHeight="1">
      <c r="A345" s="1">
        <v>372.0</v>
      </c>
      <c r="B345" s="3" t="s">
        <v>344</v>
      </c>
      <c r="C345" s="3" t="str">
        <f>IFERROR(__xludf.DUMMYFUNCTION("GOOGLETRANSLATE(B345,""id"",""en"")"),"['bad signal']")</f>
        <v>['bad signal']</v>
      </c>
      <c r="D345" s="3">
        <v>1.0</v>
      </c>
    </row>
    <row r="346" ht="15.75" customHeight="1">
      <c r="A346" s="1">
        <v>373.0</v>
      </c>
      <c r="B346" s="3" t="s">
        <v>345</v>
      </c>
      <c r="C346" s="3" t="str">
        <f>IFERROR(__xludf.DUMMYFUNCTION("GOOGLETRANSLATE(B346,""id"",""en"")"),"['Knp', 'Internet', 'SRG', 'Slow', 'Open', 'App', 'Loading', 'SLLU', 'Complaint', 'Sery', 'Drop', 'SPT', ' TLG ',' Fix ',' Trims']")</f>
        <v>['Knp', 'Internet', 'SRG', 'Slow', 'Open', 'App', 'Loading', 'SLLU', 'Complaint', 'Sery', 'Drop', 'SPT', ' TLG ',' Fix ',' Trims']</v>
      </c>
      <c r="D346" s="3">
        <v>3.0</v>
      </c>
    </row>
    <row r="347" ht="15.75" customHeight="1">
      <c r="A347" s="1">
        <v>374.0</v>
      </c>
      <c r="B347" s="3" t="s">
        <v>346</v>
      </c>
      <c r="C347" s="3" t="str">
        <f>IFERROR(__xludf.DUMMYFUNCTION("GOOGLETRANSLATE(B347,""id"",""en"")"),"['Indihome', 'Ngeleg', 'Severe', 'Disappointed', 'Indihom']")</f>
        <v>['Indihome', 'Ngeleg', 'Severe', 'Disappointed', 'Indihom']</v>
      </c>
      <c r="D347" s="3">
        <v>1.0</v>
      </c>
    </row>
    <row r="348" ht="15.75" customHeight="1">
      <c r="A348" s="1">
        <v>375.0</v>
      </c>
      <c r="B348" s="3" t="s">
        <v>347</v>
      </c>
      <c r="C348" s="3" t="str">
        <f>IFERROR(__xludf.DUMMYFUNCTION("GOOGLETRANSLATE(B348,""id"",""en"")"),"['NOT', 'Improved', 'The application', 'deteriorating', 'Login', 'Logon', 'Web', 'Difficult', 'Pay', 'Expensive', 'Sometimes',' Description ',' elements', 'get', 'tax', 'sometimes',' replace ']")</f>
        <v>['NOT', 'Improved', 'The application', 'deteriorating', 'Login', 'Logon', 'Web', 'Difficult', 'Pay', 'Expensive', 'Sometimes',' Description ',' elements', 'get', 'tax', 'sometimes',' replace ']</v>
      </c>
      <c r="D348" s="3">
        <v>1.0</v>
      </c>
    </row>
    <row r="349" ht="15.75" customHeight="1">
      <c r="A349" s="1">
        <v>377.0</v>
      </c>
      <c r="B349" s="3" t="s">
        <v>348</v>
      </c>
      <c r="C349" s="3" t="str">
        <f>IFERROR(__xludf.DUMMYFUNCTION("GOOGLETRANSLATE(B349,""id"",""en"")"),"['application', 'ginian', 'service', 'worst', 'provider', 'gini']")</f>
        <v>['application', 'ginian', 'service', 'worst', 'provider', 'gini']</v>
      </c>
      <c r="D349" s="3">
        <v>1.0</v>
      </c>
    </row>
    <row r="350" ht="15.75" customHeight="1">
      <c r="A350" s="1">
        <v>378.0</v>
      </c>
      <c r="B350" s="3" t="s">
        <v>349</v>
      </c>
      <c r="C350" s="3" t="str">
        <f>IFERROR(__xludf.DUMMYFUNCTION("GOOGLETRANSLATE(B350,""id"",""en"")"),"['signal', 'BURIK', 'rotten', 'feasible']")</f>
        <v>['signal', 'BURIK', 'rotten', 'feasible']</v>
      </c>
      <c r="D350" s="3">
        <v>1.0</v>
      </c>
    </row>
    <row r="351" ht="15.75" customHeight="1">
      <c r="A351" s="1">
        <v>379.0</v>
      </c>
      <c r="B351" s="3" t="s">
        <v>350</v>
      </c>
      <c r="C351" s="3" t="str">
        <f>IFERROR(__xludf.DUMMYFUNCTION("GOOGLETRANSLATE(B351,""id"",""en"")"),"['bad', 'service', 'indihome', 'obstacle', 'telephone', 'difficult', 'email', 'responded']")</f>
        <v>['bad', 'service', 'indihome', 'obstacle', 'telephone', 'difficult', 'email', 'responded']</v>
      </c>
      <c r="D351" s="3">
        <v>1.0</v>
      </c>
    </row>
    <row r="352" ht="15.75" customHeight="1">
      <c r="A352" s="1">
        <v>380.0</v>
      </c>
      <c r="B352" s="3" t="s">
        <v>351</v>
      </c>
      <c r="C352" s="3" t="str">
        <f>IFERROR(__xludf.DUMMYFUNCTION("GOOGLETRANSLATE(B352,""id"",""en"")"),"['update', 'good', 'use', 'quota', 'used', 'see', '']")</f>
        <v>['update', 'good', 'use', 'quota', 'used', 'see', '']</v>
      </c>
      <c r="D352" s="3">
        <v>1.0</v>
      </c>
    </row>
    <row r="353" ht="15.75" customHeight="1">
      <c r="A353" s="1">
        <v>381.0</v>
      </c>
      <c r="B353" s="3" t="s">
        <v>352</v>
      </c>
      <c r="C353" s="3" t="str">
        <f>IFERROR(__xludf.DUMMYFUNCTION("GOOGLETRANSLATE(B353,""id"",""en"")"),"['Bad', 'Since', 'Line', 'Jasuka', 'Troble', 'Complaints',' Read ',' Doank ',' PDH ',' Payment ',' Routine ',' Late ',' ']")</f>
        <v>['Bad', 'Since', 'Line', 'Jasuka', 'Troble', 'Complaints',' Read ',' Doank ',' PDH ',' Payment ',' Routine ',' Late ',' ']</v>
      </c>
      <c r="D353" s="3">
        <v>1.0</v>
      </c>
    </row>
    <row r="354" ht="15.75" customHeight="1">
      <c r="A354" s="1">
        <v>382.0</v>
      </c>
      <c r="B354" s="3" t="s">
        <v>353</v>
      </c>
      <c r="C354" s="3" t="str">
        <f>IFERROR(__xludf.DUMMYFUNCTION("GOOGLETRANSLATE(B354,""id"",""en"")"),"['Ngellag', 'Provider', 'Terbitai', 'Indihome', 'limit']")</f>
        <v>['Ngellag', 'Provider', 'Terbitai', 'Indihome', 'limit']</v>
      </c>
      <c r="D354" s="3">
        <v>1.0</v>
      </c>
    </row>
    <row r="355" ht="15.75" customHeight="1">
      <c r="A355" s="1">
        <v>383.0</v>
      </c>
      <c r="B355" s="3" t="s">
        <v>354</v>
      </c>
      <c r="C355" s="3" t="str">
        <f>IFERROR(__xludf.DUMMYFUNCTION("GOOGLETRANSLATE(B355,""id"",""en"")"),"['satisfying']")</f>
        <v>['satisfying']</v>
      </c>
      <c r="D355" s="3">
        <v>1.0</v>
      </c>
    </row>
    <row r="356" ht="15.75" customHeight="1">
      <c r="A356" s="1">
        <v>384.0</v>
      </c>
      <c r="B356" s="3" t="s">
        <v>355</v>
      </c>
      <c r="C356" s="3" t="str">
        <f>IFERROR(__xludf.DUMMYFUNCTION("GOOGLETRANSLATE(B356,""id"",""en"")"),"['application', 'bother', 'open', 'times',' log ',' out ',' login ',' fast ',' block ',' emotion ',' mending ',' switch ',' Internet ',' Biznet ']")</f>
        <v>['application', 'bother', 'open', 'times',' log ',' out ',' login ',' fast ',' block ',' emotion ',' mending ',' switch ',' Internet ',' Biznet ']</v>
      </c>
      <c r="D356" s="3">
        <v>1.0</v>
      </c>
    </row>
    <row r="357" ht="15.75" customHeight="1">
      <c r="A357" s="1">
        <v>385.0</v>
      </c>
      <c r="B357" s="3" t="s">
        <v>356</v>
      </c>
      <c r="C357" s="3" t="str">
        <f>IFERROR(__xludf.DUMMYFUNCTION("GOOGLETRANSLATE(B357,""id"",""en"")"),"['Response', 'Application', 'Slow', 'Loading']")</f>
        <v>['Response', 'Application', 'Slow', 'Loading']</v>
      </c>
      <c r="D357" s="3">
        <v>1.0</v>
      </c>
    </row>
    <row r="358" ht="15.75" customHeight="1">
      <c r="A358" s="1">
        <v>387.0</v>
      </c>
      <c r="B358" s="3" t="s">
        <v>357</v>
      </c>
      <c r="C358" s="3" t="str">
        <f>IFERROR(__xludf.DUMMYFUNCTION("GOOGLETRANSLATE(B358,""id"",""en"")"),"['', 'use', 'skrg', 'feels',' use ',' jrtingany ',' slow ',' then ',' udh ',' restr ',' udh ',' matikn ',' TPI ',' Masi ',' slow ',' reporting ']")</f>
        <v>['', 'use', 'skrg', 'feels',' use ',' jrtingany ',' slow ',' then ',' udh ',' restr ',' udh ',' matikn ',' TPI ',' Masi ',' slow ',' reporting ']</v>
      </c>
      <c r="D358" s="3">
        <v>1.0</v>
      </c>
    </row>
    <row r="359" ht="15.75" customHeight="1">
      <c r="A359" s="1">
        <v>388.0</v>
      </c>
      <c r="B359" s="3" t="s">
        <v>358</v>
      </c>
      <c r="C359" s="3" t="str">
        <f>IFERROR(__xludf.DUMMYFUNCTION("GOOGLETRANSLATE(B359,""id"",""en"")"),"['', 'Key']")</f>
        <v>['', 'Key']</v>
      </c>
      <c r="D359" s="3">
        <v>5.0</v>
      </c>
    </row>
    <row r="360" ht="15.75" customHeight="1">
      <c r="A360" s="1">
        <v>389.0</v>
      </c>
      <c r="B360" s="3" t="s">
        <v>359</v>
      </c>
      <c r="C360" s="3" t="str">
        <f>IFERROR(__xludf.DUMMYFUNCTION("GOOGLETRANSLATE(B360,""id"",""en"")"),"['wifi', 'indihome', 'ngelag', 'doang']")</f>
        <v>['wifi', 'indihome', 'ngelag', 'doang']</v>
      </c>
      <c r="D360" s="3">
        <v>1.0</v>
      </c>
    </row>
    <row r="361" ht="15.75" customHeight="1">
      <c r="A361" s="1">
        <v>390.0</v>
      </c>
      <c r="B361" s="3" t="s">
        <v>360</v>
      </c>
      <c r="C361" s="3" t="str">
        <f>IFERROR(__xludf.DUMMYFUNCTION("GOOGLETRANSLATE(B361,""id"",""en"")"),"['Ngeteleg']")</f>
        <v>['Ngeteleg']</v>
      </c>
      <c r="D361" s="3">
        <v>1.0</v>
      </c>
    </row>
    <row r="362" ht="15.75" customHeight="1">
      <c r="A362" s="1">
        <v>391.0</v>
      </c>
      <c r="B362" s="3" t="s">
        <v>361</v>
      </c>
      <c r="C362" s="3" t="str">
        <f>IFERROR(__xludf.DUMMYFUNCTION("GOOGLETRANSLATE(B362,""id"",""en"")"),"['oath', 'network', 'garbage', 'really', 'pay', 'expensive', 'sorry', 'confirm', 'blalablalabala', 'just', 'sayings',' proof ',' Real ',' Mending ',' Move ',' Provider ',' Good ',' ']")</f>
        <v>['oath', 'network', 'garbage', 'really', 'pay', 'expensive', 'sorry', 'confirm', 'blalablalabala', 'just', 'sayings',' proof ',' Real ',' Mending ',' Move ',' Provider ',' Good ',' ']</v>
      </c>
      <c r="D362" s="3">
        <v>1.0</v>
      </c>
    </row>
    <row r="363" ht="15.75" customHeight="1">
      <c r="A363" s="1">
        <v>392.0</v>
      </c>
      <c r="B363" s="3" t="s">
        <v>362</v>
      </c>
      <c r="C363" s="3" t="str">
        <f>IFERROR(__xludf.DUMMYFUNCTION("GOOGLETRANSLATE(B363,""id"",""en"")"),"['Cool', 'really', 'steady', 'Putie', 'siipppplah', ""]")</f>
        <v>['Cool', 'really', 'steady', 'Putie', 'siipppplah', "]</v>
      </c>
      <c r="D363" s="3">
        <v>1.0</v>
      </c>
    </row>
    <row r="364" ht="15.75" customHeight="1">
      <c r="A364" s="1">
        <v>393.0</v>
      </c>
      <c r="B364" s="3" t="s">
        <v>363</v>
      </c>
      <c r="C364" s="3" t="str">
        <f>IFERROR(__xludf.DUMMYFUNCTION("GOOGLETRANSLATE(B364,""id"",""en"")"),"['Use', 'Internet', 'Indihome', 'Seeing', 'trobel', 'slow', 'pay', 'late', 'network', 'slow', 'difficult']")</f>
        <v>['Use', 'Internet', 'Indihome', 'Seeing', 'trobel', 'slow', 'pay', 'late', 'network', 'slow', 'difficult']</v>
      </c>
      <c r="D364" s="3">
        <v>1.0</v>
      </c>
    </row>
    <row r="365" ht="15.75" customHeight="1">
      <c r="A365" s="1">
        <v>394.0</v>
      </c>
      <c r="B365" s="3" t="s">
        <v>364</v>
      </c>
      <c r="C365" s="3" t="str">
        <f>IFERROR(__xludf.DUMMYFUNCTION("GOOGLETRANSLATE(B365,""id"",""en"")"),"['Indihomo', 'anjg', 'wifi', 'ganguan', 'mulu', 'gblk', 'girilan', 'late', 'pay', 'because', 'disturbance', ' Have ',' Pay ',' fine ',' anjg ']")</f>
        <v>['Indihomo', 'anjg', 'wifi', 'ganguan', 'mulu', 'gblk', 'girilan', 'late', 'pay', 'because', 'disturbance', ' Have ',' Pay ',' fine ',' anjg ']</v>
      </c>
      <c r="D365" s="3">
        <v>1.0</v>
      </c>
    </row>
    <row r="366" ht="15.75" customHeight="1">
      <c r="A366" s="1">
        <v>395.0</v>
      </c>
      <c r="B366" s="3" t="s">
        <v>365</v>
      </c>
      <c r="C366" s="3" t="str">
        <f>IFERROR(__xludf.DUMMYFUNCTION("GOOGLETRANSLATE(B366,""id"",""en"")"),"['Disruption', 'Loss', 'Mulu', 'okay', 'technician', 'abal', 'parahhh']")</f>
        <v>['Disruption', 'Loss', 'Mulu', 'okay', 'technician', 'abal', 'parahhh']</v>
      </c>
      <c r="D366" s="3">
        <v>1.0</v>
      </c>
    </row>
    <row r="367" ht="15.75" customHeight="1">
      <c r="A367" s="1">
        <v>396.0</v>
      </c>
      <c r="B367" s="3" t="s">
        <v>366</v>
      </c>
      <c r="C367" s="3" t="str">
        <f>IFERROR(__xludf.DUMMYFUNCTION("GOOGLETRANSLATE(B367,""id"",""en"")"),"['Oalah', 'wifi', 'yesterday', 'error', 'then', 'donlod', 'Yutub', 'buffering', 'parahh', '']")</f>
        <v>['Oalah', 'wifi', 'yesterday', 'error', 'then', 'donlod', 'Yutub', 'buffering', 'parahh', '']</v>
      </c>
      <c r="D367" s="3">
        <v>1.0</v>
      </c>
    </row>
    <row r="368" ht="15.75" customHeight="1">
      <c r="A368" s="1">
        <v>397.0</v>
      </c>
      <c r="B368" s="3" t="s">
        <v>367</v>
      </c>
      <c r="C368" s="3" t="str">
        <f>IFERROR(__xludf.DUMMYFUNCTION("GOOGLETRANSLATE(B368,""id"",""en"")"),"['BNYK', 'Problem', 'technician', 'abal', 'abal']")</f>
        <v>['BNYK', 'Problem', 'technician', 'abal', 'abal']</v>
      </c>
      <c r="D368" s="3">
        <v>1.0</v>
      </c>
    </row>
    <row r="369" ht="15.75" customHeight="1">
      <c r="A369" s="1">
        <v>398.0</v>
      </c>
      <c r="B369" s="3" t="s">
        <v>368</v>
      </c>
      <c r="C369" s="3" t="str">
        <f>IFERROR(__xludf.DUMMYFUNCTION("GOOGLETRANSLATE(B369,""id"",""en"")"),"['Report', 'disorder', 'lights', 'Los', 'modem', 'on', 'red', 'blm', 'officer', 'fix']")</f>
        <v>['Report', 'disorder', 'lights', 'Los', 'modem', 'on', 'red', 'blm', 'officer', 'fix']</v>
      </c>
      <c r="D369" s="3">
        <v>4.0</v>
      </c>
    </row>
    <row r="370" ht="15.75" customHeight="1">
      <c r="A370" s="1">
        <v>399.0</v>
      </c>
      <c r="B370" s="3" t="s">
        <v>369</v>
      </c>
      <c r="C370" s="3" t="str">
        <f>IFERROR(__xludf.DUMMYFUNCTION("GOOGLETRANSLATE(B370,""id"",""en"")"),"['Disappointed', 'Heavy', 'UDH', 'Report', 'LBH', 'BLM', 'Handin', 'alsoaa', 'UDH', 'Daily', 'Wait', 'Gada', ' technicians', 'dtng', 'lights',' internet ',' dead ',' phone ',' report ',' meek ',' dtng ',' pnting ',' really ',' internet ',' learn ' , 'work"&amp;"', 'etc.', 'service', 'disappointing', '']")</f>
        <v>['Disappointed', 'Heavy', 'UDH', 'Report', 'LBH', 'BLM', 'Handin', 'alsoaa', 'UDH', 'Daily', 'Wait', 'Gada', ' technicians', 'dtng', 'lights',' internet ',' dead ',' phone ',' report ',' meek ',' dtng ',' pnting ',' really ',' internet ',' learn ' , 'work', 'etc.', 'service', 'disappointing', '']</v>
      </c>
      <c r="D370" s="3">
        <v>1.0</v>
      </c>
    </row>
    <row r="371" ht="15.75" customHeight="1">
      <c r="A371" s="1">
        <v>400.0</v>
      </c>
      <c r="B371" s="3" t="s">
        <v>370</v>
      </c>
      <c r="C371" s="3" t="str">
        <f>IFERROR(__xludf.DUMMYFUNCTION("GOOGLETRANSLATE(B371,""id"",""en"")"),"['Difficult', 'Login', ""]")</f>
        <v>['Difficult', 'Login', "]</v>
      </c>
      <c r="D371" s="3">
        <v>2.0</v>
      </c>
    </row>
    <row r="372" ht="15.75" customHeight="1">
      <c r="A372" s="1">
        <v>401.0</v>
      </c>
      <c r="B372" s="3" t="s">
        <v>371</v>
      </c>
      <c r="C372" s="3" t="str">
        <f>IFERROR(__xludf.DUMMYFUNCTION("GOOGLETRANSLATE(B372,""id"",""en"")"),"['week', 'Thursday', 'internet', 'bad', 'package', 'Mbps',' speed ',' rich ',' snail ',' inhibits', 'work', 'harm', ' Please ',' repaired ',' ']")</f>
        <v>['week', 'Thursday', 'internet', 'bad', 'package', 'Mbps',' speed ',' rich ',' snail ',' inhibits', 'work', 'harm', ' Please ',' repaired ',' ']</v>
      </c>
      <c r="D372" s="3">
        <v>1.0</v>
      </c>
    </row>
    <row r="373" ht="15.75" customHeight="1">
      <c r="A373" s="1">
        <v>402.0</v>
      </c>
      <c r="B373" s="3" t="s">
        <v>372</v>
      </c>
      <c r="C373" s="3" t="str">
        <f>IFERROR(__xludf.DUMMYFUNCTION("GOOGLETRANSLATE(B373,""id"",""en"")"),"['wifi', 'Indihome', 'dead', 'lights', 'red', 'please', 'fix', 'wifi', 'indihome']")</f>
        <v>['wifi', 'Indihome', 'dead', 'lights', 'red', 'please', 'fix', 'wifi', 'indihome']</v>
      </c>
      <c r="D373" s="3">
        <v>5.0</v>
      </c>
    </row>
    <row r="374" ht="15.75" customHeight="1">
      <c r="A374" s="1">
        <v>403.0</v>
      </c>
      <c r="B374" s="3" t="s">
        <v>373</v>
      </c>
      <c r="C374" s="3" t="str">
        <f>IFERROR(__xludf.DUMMYFUNCTION("GOOGLETRANSLATE(B374,""id"",""en"")"),"['verification', 'turnover', 'number', 'call', 'sms',' use ',' code ',' verification ',' it's easy ',' really ',' user ',' really ',' Wait for ',' Phone ',' Turn ',' Ngadu ',' Call ',' Center ',' Order ',' Install ',' Myindihome ',' Service ',' Registrati"&amp;"on ',' Change ',' Number ' , 'Verifikasi', 'really', 'Success', 'apps', 'makes it easy', 'user', 'please', 'changed', 'easy']")</f>
        <v>['verification', 'turnover', 'number', 'call', 'sms',' use ',' code ',' verification ',' it's easy ',' really ',' user ',' really ',' Wait for ',' Phone ',' Turn ',' Ngadu ',' Call ',' Center ',' Order ',' Install ',' Myindihome ',' Service ',' Registration ',' Change ',' Number ' , 'Verifikasi', 'really', 'Success', 'apps', 'makes it easy', 'user', 'please', 'changed', 'easy']</v>
      </c>
      <c r="D374" s="3">
        <v>1.0</v>
      </c>
    </row>
    <row r="375" ht="15.75" customHeight="1">
      <c r="A375" s="1">
        <v>404.0</v>
      </c>
      <c r="B375" s="3" t="s">
        <v>374</v>
      </c>
      <c r="C375" s="3" t="str">
        <f>IFERROR(__xludf.DUMMYFUNCTION("GOOGLETRANSLATE(B375,""id"",""en"")"),"['', 'Logon']")</f>
        <v>['', 'Logon']</v>
      </c>
      <c r="D375" s="3">
        <v>1.0</v>
      </c>
    </row>
    <row r="376" ht="15.75" customHeight="1">
      <c r="A376" s="1">
        <v>405.0</v>
      </c>
      <c r="B376" s="3" t="s">
        <v>375</v>
      </c>
      <c r="C376" s="3" t="str">
        <f>IFERROR(__xludf.DUMMYFUNCTION("GOOGLETRANSLATE(B376,""id"",""en"")"),"['Complaints', 'min', 'written', 'disorder', 'bulk', 'neighbor', 'smooth', 'complicated', 'plaza', 'telkom', 'solution']")</f>
        <v>['Complaints', 'min', 'written', 'disorder', 'bulk', 'neighbor', 'smooth', 'complicated', 'plaza', 'telkom', 'solution']</v>
      </c>
      <c r="D376" s="3">
        <v>1.0</v>
      </c>
    </row>
    <row r="377" ht="15.75" customHeight="1">
      <c r="A377" s="1">
        <v>406.0</v>
      </c>
      <c r="B377" s="3" t="s">
        <v>376</v>
      </c>
      <c r="C377" s="3" t="str">
        <f>IFERROR(__xludf.DUMMYFUNCTION("GOOGLETRANSLATE(B377,""id"",""en"")"),"['Pingin', 'stop', 'subscription', 'TH', 'Dahlah']")</f>
        <v>['Pingin', 'stop', 'subscription', 'TH', 'Dahlah']</v>
      </c>
      <c r="D377" s="3">
        <v>1.0</v>
      </c>
    </row>
    <row r="378" ht="15.75" customHeight="1">
      <c r="A378" s="1">
        <v>407.0</v>
      </c>
      <c r="B378" s="3" t="s">
        <v>377</v>
      </c>
      <c r="C378" s="3" t="str">
        <f>IFERROR(__xludf.DUMMYFUNCTION("GOOGLETRANSLATE(B378,""id"",""en"")"),"['Kapok', 'subscription']")</f>
        <v>['Kapok', 'subscription']</v>
      </c>
      <c r="D378" s="3">
        <v>1.0</v>
      </c>
    </row>
    <row r="379" ht="15.75" customHeight="1">
      <c r="A379" s="1">
        <v>408.0</v>
      </c>
      <c r="B379" s="3" t="s">
        <v>378</v>
      </c>
      <c r="C379" s="3" t="str">
        <f>IFERROR(__xludf.DUMMYFUNCTION("GOOGLETRANSLATE(B379,""id"",""en"")"),"['late', 'pay', 'fine', 'network', 'bad', 'sorry', 'repaired', 'missing', 'Sila', 'justice', 'social', 'people', ' Indonesia ',' Sad ',' advanced ',' advanced ',' my country ', ""]")</f>
        <v>['late', 'pay', 'fine', 'network', 'bad', 'sorry', 'repaired', 'missing', 'Sila', 'justice', 'social', 'people', ' Indonesia ',' Sad ',' advanced ',' advanced ',' my country ', "]</v>
      </c>
      <c r="D379" s="3">
        <v>1.0</v>
      </c>
    </row>
    <row r="380" ht="15.75" customHeight="1">
      <c r="A380" s="1">
        <v>409.0</v>
      </c>
      <c r="B380" s="3" t="s">
        <v>379</v>
      </c>
      <c r="C380" s="3" t="str">
        <f>IFERROR(__xludf.DUMMYFUNCTION("GOOGLETRANSLATE(B380,""id"",""en"")"),"['Trable', 'DichT', 'sosmed', 'response', '']")</f>
        <v>['Trable', 'DichT', 'sosmed', 'response', '']</v>
      </c>
      <c r="D380" s="3">
        <v>1.0</v>
      </c>
    </row>
    <row r="381" ht="15.75" customHeight="1">
      <c r="A381" s="1">
        <v>410.0</v>
      </c>
      <c r="B381" s="3" t="s">
        <v>380</v>
      </c>
      <c r="C381" s="3" t="str">
        <f>IFERROR(__xludf.DUMMYFUNCTION("GOOGLETRANSLATE(B381,""id"",""en"")"),"['', 'smooth', 'smooth', 'game', 'lag', 'please', 'increase', 'signal', 'indihome']")</f>
        <v>['', 'smooth', 'smooth', 'game', 'lag', 'please', 'increase', 'signal', 'indihome']</v>
      </c>
      <c r="D381" s="3">
        <v>2.0</v>
      </c>
    </row>
    <row r="382" ht="15.75" customHeight="1">
      <c r="A382" s="1">
        <v>411.0</v>
      </c>
      <c r="B382" s="3" t="s">
        <v>381</v>
      </c>
      <c r="C382" s="3" t="str">
        <f>IFERROR(__xludf.DUMMYFUNCTION("GOOGLETRANSLATE(B382,""id"",""en"")"),"['Myindihome', 'report', 'disorder', 'already', 'finished', 'already', 'Dipelfon', 'center', 'ACC', 'finished', 'belom', 'report', ' Gabisa ',' weird ']")</f>
        <v>['Myindihome', 'report', 'disorder', 'already', 'finished', 'already', 'Dipelfon', 'center', 'ACC', 'finished', 'belom', 'report', ' Gabisa ',' weird ']</v>
      </c>
      <c r="D382" s="3">
        <v>1.0</v>
      </c>
    </row>
    <row r="383" ht="15.75" customHeight="1">
      <c r="A383" s="1">
        <v>412.0</v>
      </c>
      <c r="B383" s="3" t="s">
        <v>382</v>
      </c>
      <c r="C383" s="3" t="str">
        <f>IFERROR(__xludf.DUMMYFUNCTION("GOOGLETRANSLATE(B383,""id"",""en"")"),"['Jeleeeek', 'Provider', 'garbage', 'Raying', 'Make', 'Indihome']")</f>
        <v>['Jeleeeek', 'Provider', 'garbage', 'Raying', 'Make', 'Indihome']</v>
      </c>
      <c r="D383" s="3">
        <v>1.0</v>
      </c>
    </row>
    <row r="384" ht="15.75" customHeight="1">
      <c r="A384" s="1">
        <v>413.0</v>
      </c>
      <c r="B384" s="3" t="s">
        <v>383</v>
      </c>
      <c r="C384" s="3" t="str">
        <f>IFERROR(__xludf.DUMMYFUNCTION("GOOGLETRANSLATE(B384,""id"",""en"")"),"['fast', 'fix', 'network', 'activity', 'online', 'kmi', 'jdi', 'hampered', 'understand', 'you', ""]")</f>
        <v>['fast', 'fix', 'network', 'activity', 'online', 'kmi', 'jdi', 'hampered', 'understand', 'you', "]</v>
      </c>
      <c r="D384" s="3">
        <v>1.0</v>
      </c>
    </row>
    <row r="385" ht="15.75" customHeight="1">
      <c r="A385" s="1">
        <v>414.0</v>
      </c>
      <c r="B385" s="3" t="s">
        <v>384</v>
      </c>
      <c r="C385" s="3" t="str">
        <f>IFERROR(__xludf.DUMMYFUNCTION("GOOGLETRANSLATE(B385,""id"",""en"")"),"['handling', 'repairs',' slow ',' obstacles', 'obstacles',' repairs', 'hours',' run out ',' repairs', 'care', 'slow', 'regret', ' Please, 'Services', 'Network', 'Increase', 'Bust']")</f>
        <v>['handling', 'repairs',' slow ',' obstacles', 'obstacles',' repairs', 'hours',' run out ',' repairs', 'care', 'slow', 'regret', ' Please, 'Services', 'Network', 'Increase', 'Bust']</v>
      </c>
      <c r="D385" s="3">
        <v>1.0</v>
      </c>
    </row>
    <row r="386" ht="15.75" customHeight="1">
      <c r="A386" s="1">
        <v>415.0</v>
      </c>
      <c r="B386" s="3" t="s">
        <v>385</v>
      </c>
      <c r="C386" s="3" t="str">
        <f>IFERROR(__xludf.DUMMYFUNCTION("GOOGLETRANSLATE(B386,""id"",""en"")"),"['poor']")</f>
        <v>['poor']</v>
      </c>
      <c r="D386" s="3">
        <v>2.0</v>
      </c>
    </row>
    <row r="387" ht="15.75" customHeight="1">
      <c r="A387" s="1">
        <v>416.0</v>
      </c>
      <c r="B387" s="3" t="s">
        <v>386</v>
      </c>
      <c r="C387" s="3" t="str">
        <f>IFERROR(__xludf.DUMMYFUNCTION("GOOGLETRANSLATE(B387,""id"",""en"")"),"['KNP', 'Network', 'Indihome', 'Download', 'Open', 'site', 'Blocked', 'Indihome', 'site', 'forbidden', 'klw', 'access',' Users', 'restricted', 'subscriptions',' quota ',' big ',' klw ',' dipake ',' skrg ',' access', 'internet', 'limited', 'youtube', 'sosm"&amp;"ed' , 'Doank', 'Disappointed', 'Severe', '']")</f>
        <v>['KNP', 'Network', 'Indihome', 'Download', 'Open', 'site', 'Blocked', 'Indihome', 'site', 'forbidden', 'klw', 'access',' Users', 'restricted', 'subscriptions',' quota ',' big ',' klw ',' dipake ',' skrg ',' access', 'internet', 'limited', 'youtube', 'sosmed' , 'Doank', 'Disappointed', 'Severe', '']</v>
      </c>
      <c r="D387" s="3">
        <v>1.0</v>
      </c>
    </row>
    <row r="388" ht="15.75" customHeight="1">
      <c r="A388" s="1">
        <v>417.0</v>
      </c>
      <c r="B388" s="3" t="s">
        <v>387</v>
      </c>
      <c r="C388" s="3" t="str">
        <f>IFERROR(__xludf.DUMMYFUNCTION("GOOGLETRANSLATE(B388,""id"",""en"")"),"['Fix', 'fast', 'min', 'tired', 'lecture', 'online', 'network', 'indihome', 'supports']")</f>
        <v>['Fix', 'fast', 'min', 'tired', 'lecture', 'online', 'network', 'indihome', 'supports']</v>
      </c>
      <c r="D388" s="3">
        <v>1.0</v>
      </c>
    </row>
    <row r="389" ht="15.75" customHeight="1">
      <c r="A389" s="1">
        <v>418.0</v>
      </c>
      <c r="B389" s="3" t="s">
        <v>388</v>
      </c>
      <c r="C389" s="3" t="str">
        <f>IFERROR(__xludf.DUMMYFUNCTION("GOOGLETRANSLATE(B389,""id"",""en"")"),"['Network', 'ngeleg', 'Cokkk', ""]")</f>
        <v>['Network', 'ngeleg', 'Cokkk', "]</v>
      </c>
      <c r="D389" s="3">
        <v>1.0</v>
      </c>
    </row>
    <row r="390" ht="15.75" customHeight="1">
      <c r="A390" s="1">
        <v>419.0</v>
      </c>
      <c r="B390" s="3" t="s">
        <v>389</v>
      </c>
      <c r="C390" s="3" t="str">
        <f>IFERROR(__xludf.DUMMYFUNCTION("GOOGLETRANSLATE(B390,""id"",""en"")"),"['Indihome', 'poor', 'pay', 'bill', 'smooth', 'please', 'repaired', '']")</f>
        <v>['Indihome', 'poor', 'pay', 'bill', 'smooth', 'please', 'repaired', '']</v>
      </c>
      <c r="D390" s="3">
        <v>1.0</v>
      </c>
    </row>
    <row r="391" ht="15.75" customHeight="1">
      <c r="A391" s="1">
        <v>420.0</v>
      </c>
      <c r="B391" s="3" t="s">
        <v>390</v>
      </c>
      <c r="C391" s="3" t="str">
        <f>IFERROR(__xludf.DUMMYFUNCTION("GOOGLETRANSLATE(B391,""id"",""en"")"),"['Love', 'See', 'quota', 'used']")</f>
        <v>['Love', 'See', 'quota', 'used']</v>
      </c>
      <c r="D391" s="3">
        <v>1.0</v>
      </c>
    </row>
    <row r="392" ht="15.75" customHeight="1">
      <c r="A392" s="1">
        <v>421.0</v>
      </c>
      <c r="B392" s="3" t="s">
        <v>391</v>
      </c>
      <c r="C392" s="3" t="str">
        <f>IFERROR(__xludf.DUMMYFUNCTION("GOOGLETRANSLATE(B392,""id"",""en"")"),"['connection', 'disconnected', 'last night']")</f>
        <v>['connection', 'disconnected', 'last night']</v>
      </c>
      <c r="D392" s="3">
        <v>5.0</v>
      </c>
    </row>
    <row r="393" ht="15.75" customHeight="1">
      <c r="A393" s="1">
        <v>422.0</v>
      </c>
      <c r="B393" s="3" t="s">
        <v>392</v>
      </c>
      <c r="C393" s="3" t="str">
        <f>IFERROR(__xludf.DUMMYFUNCTION("GOOGLETRANSLATE(B393,""id"",""en"")"),"['Nice']")</f>
        <v>['Nice']</v>
      </c>
      <c r="D393" s="3">
        <v>5.0</v>
      </c>
    </row>
    <row r="394" ht="15.75" customHeight="1">
      <c r="A394" s="1">
        <v>423.0</v>
      </c>
      <c r="B394" s="3" t="s">
        <v>393</v>
      </c>
      <c r="C394" s="3" t="str">
        <f>IFERROR(__xludf.DUMMYFUNCTION("GOOGLETRANSLATE(B394,""id"",""en"")"),"['open', 'no', 'Indihome', 'min', 'signal', 'gmn']")</f>
        <v>['open', 'no', 'Indihome', 'min', 'signal', 'gmn']</v>
      </c>
      <c r="D394" s="3">
        <v>2.0</v>
      </c>
    </row>
    <row r="395" ht="15.75" customHeight="1">
      <c r="A395" s="1">
        <v>424.0</v>
      </c>
      <c r="B395" s="3" t="s">
        <v>394</v>
      </c>
      <c r="C395" s="3" t="str">
        <f>IFERROR(__xludf.DUMMYFUNCTION("GOOGLETRANSLATE(B395,""id"",""en"")"),"['min', 'wifi', 'slow', 'friend', 'friend', 'already', 'smooth', 'writing', 'complaint', 'indihome', 'gabisa', 'nge', ' stuck ',' examination ',' number ',' network ',' youtube ',' max ',' download ',' max ',' kb ',' solution ',' what ',' min ',' ']")</f>
        <v>['min', 'wifi', 'slow', 'friend', 'friend', 'already', 'smooth', 'writing', 'complaint', 'indihome', 'gabisa', 'nge', ' stuck ',' examination ',' number ',' network ',' youtube ',' max ',' download ',' max ',' kb ',' solution ',' what ',' min ',' ']</v>
      </c>
      <c r="D395" s="3">
        <v>1.0</v>
      </c>
    </row>
    <row r="396" ht="15.75" customHeight="1">
      <c r="A396" s="1">
        <v>425.0</v>
      </c>
      <c r="B396" s="3" t="s">
        <v>395</v>
      </c>
      <c r="C396" s="3" t="str">
        <f>IFERROR(__xludf.DUMMYFUNCTION("GOOGLETRANSLATE(B396,""id"",""en"")"),"['', 'problematic', 'neighbor', 'koq', 'npake', 'indihome', '']")</f>
        <v>['', 'problematic', 'neighbor', 'koq', 'npake', 'indihome', '']</v>
      </c>
      <c r="D396" s="3">
        <v>5.0</v>
      </c>
    </row>
    <row r="397" ht="15.75" customHeight="1">
      <c r="A397" s="1">
        <v>426.0</v>
      </c>
      <c r="B397" s="3" t="s">
        <v>396</v>
      </c>
      <c r="C397" s="3" t="str">
        <f>IFERROR(__xludf.DUMMYFUNCTION("GOOGLETRANSLATE(B397,""id"",""en"")"),"['application', 'bad', 'crash', 'pressed', '']")</f>
        <v>['application', 'bad', 'crash', 'pressed', '']</v>
      </c>
      <c r="D397" s="3">
        <v>1.0</v>
      </c>
    </row>
    <row r="398" ht="15.75" customHeight="1">
      <c r="A398" s="1">
        <v>427.0</v>
      </c>
      <c r="B398" s="3" t="s">
        <v>397</v>
      </c>
      <c r="C398" s="3" t="str">
        <f>IFERROR(__xludf.DUMMYFUNCTION("GOOGLETRANSLATE(B398,""id"",""en"")"),"['expensive', 'slow', 'network', 'BURIK']")</f>
        <v>['expensive', 'slow', 'network', 'BURIK']</v>
      </c>
      <c r="D398" s="3">
        <v>1.0</v>
      </c>
    </row>
    <row r="399" ht="15.75" customHeight="1">
      <c r="A399" s="1">
        <v>428.0</v>
      </c>
      <c r="B399" s="3" t="s">
        <v>398</v>
      </c>
      <c r="C399" s="3" t="str">
        <f>IFERROR(__xludf.DUMMYFUNCTION("GOOGLETRANSLATE(B399,""id"",""en"")"),"['use', 'Mbps',' times', 'drop', 'below', 'kbps',' confirm ',' indihome ',' use ',' application ',' no ',' send ',' Message ',' warning ',' Maintenance ',' Hadeh ']")</f>
        <v>['use', 'Mbps',' times', 'drop', 'below', 'kbps',' confirm ',' indihome ',' use ',' application ',' no ',' send ',' Message ',' warning ',' Maintenance ',' Hadeh ']</v>
      </c>
      <c r="D399" s="3">
        <v>3.0</v>
      </c>
    </row>
    <row r="400" ht="15.75" customHeight="1">
      <c r="A400" s="1">
        <v>429.0</v>
      </c>
      <c r="B400" s="3" t="s">
        <v>399</v>
      </c>
      <c r="C400" s="3" t="str">
        <f>IFERROR(__xludf.DUMMYFUNCTION("GOOGLETRANSLATE(B400,""id"",""en"")"),"['disappointed', 'complaint', 'application', 'response', 'complaint', 'response', ""]")</f>
        <v>['disappointed', 'complaint', 'application', 'response', 'complaint', 'response', "]</v>
      </c>
      <c r="D400" s="3">
        <v>1.0</v>
      </c>
    </row>
    <row r="401" ht="15.75" customHeight="1">
      <c r="A401" s="1">
        <v>430.0</v>
      </c>
      <c r="B401" s="3" t="s">
        <v>400</v>
      </c>
      <c r="C401" s="3" t="str">
        <f>IFERROR(__xludf.DUMMYFUNCTION("GOOGLETRANSLATE(B401,""id"",""en"")"),"['Knp', 'submit', 'subscription', 'told', 'Wait', 'Clock', 'now', 'Blm', 'continuation', ""]")</f>
        <v>['Knp', 'submit', 'subscription', 'told', 'Wait', 'Clock', 'now', 'Blm', 'continuation', "]</v>
      </c>
      <c r="D401" s="3">
        <v>5.0</v>
      </c>
    </row>
    <row r="402" ht="15.75" customHeight="1">
      <c r="A402" s="1">
        <v>431.0</v>
      </c>
      <c r="B402" s="3" t="s">
        <v>401</v>
      </c>
      <c r="C402" s="3" t="str">
        <f>IFERROR(__xludf.DUMMYFUNCTION("GOOGLETRANSLATE(B402,""id"",""en"")"),"['works',' fast ',' ngak ',' ber ',' tele ',' report ',' teasiness', 'direct', 'sorted out', 'trima', 'love', 'service', ' Indihome ',' ']")</f>
        <v>['works',' fast ',' ngak ',' ber ',' tele ',' report ',' teasiness', 'direct', 'sorted out', 'trima', 'love', 'service', ' Indihome ',' ']</v>
      </c>
      <c r="D402" s="3">
        <v>5.0</v>
      </c>
    </row>
    <row r="403" ht="15.75" customHeight="1">
      <c r="A403" s="1">
        <v>432.0</v>
      </c>
      <c r="B403" s="3" t="s">
        <v>402</v>
      </c>
      <c r="C403" s="3" t="str">
        <f>IFERROR(__xludf.DUMMYFUNCTION("GOOGLETRANSLATE(B403,""id"",""en"")"),"['Disconnect', 'subscription', 'Indihome', 'Reasons',' Moving ',' Installation ',' Deposit ',' Deposit ',' Times', 'Bill', 'Subscribe', ' Deposits', 'pulled', 'submit', 'stop', 'subscribe', 'officer', 'deposit', 'paid down', 'installation', 'disappointed'"&amp;", 'service', ""]")</f>
        <v>['Disconnect', 'subscription', 'Indihome', 'Reasons',' Moving ',' Installation ',' Deposit ',' Deposit ',' Times', 'Bill', 'Subscribe', ' Deposits', 'pulled', 'submit', 'stop', 'subscribe', 'officer', 'deposit', 'paid down', 'installation', 'disappointed', 'service', "]</v>
      </c>
      <c r="D403" s="3">
        <v>1.0</v>
      </c>
    </row>
    <row r="404" ht="15.75" customHeight="1">
      <c r="A404" s="1">
        <v>433.0</v>
      </c>
      <c r="B404" s="3" t="s">
        <v>403</v>
      </c>
      <c r="C404" s="3" t="str">
        <f>IFERROR(__xludf.DUMMYFUNCTION("GOOGLETRANSLATE(B404,""id"",""en"")"),"['Like']")</f>
        <v>['Like']</v>
      </c>
      <c r="D404" s="3">
        <v>5.0</v>
      </c>
    </row>
    <row r="405" ht="15.75" customHeight="1">
      <c r="A405" s="1">
        <v>434.0</v>
      </c>
      <c r="B405" s="3" t="s">
        <v>404</v>
      </c>
      <c r="C405" s="3" t="str">
        <f>IFERROR(__xludf.DUMMYFUNCTION("GOOGLETRANSLATE(B405,""id"",""en"")"),"['slow', 'kek', 'snail', 'disorder', 'day', '']")</f>
        <v>['slow', 'kek', 'snail', 'disorder', 'day', '']</v>
      </c>
      <c r="D405" s="3">
        <v>1.0</v>
      </c>
    </row>
    <row r="406" ht="15.75" customHeight="1">
      <c r="A406" s="1">
        <v>436.0</v>
      </c>
      <c r="B406" s="3" t="s">
        <v>405</v>
      </c>
      <c r="C406" s="3" t="str">
        <f>IFERROR(__xludf.DUMMYFUNCTION("GOOGLETRANSLATE(B406,""id"",""en"")"),"['verification', 'account', 'failed', '']")</f>
        <v>['verification', 'account', 'failed', '']</v>
      </c>
      <c r="D406" s="3">
        <v>3.0</v>
      </c>
    </row>
    <row r="407" ht="15.75" customHeight="1">
      <c r="A407" s="1">
        <v>437.0</v>
      </c>
      <c r="B407" s="3" t="s">
        <v>406</v>
      </c>
      <c r="C407" s="3" t="str">
        <f>IFERROR(__xludf.DUMMYFUNCTION("GOOGLETRANSLATE(B407,""id"",""en"")"),"['Five', 'Star']")</f>
        <v>['Five', 'Star']</v>
      </c>
      <c r="D407" s="3">
        <v>5.0</v>
      </c>
    </row>
    <row r="408" ht="15.75" customHeight="1">
      <c r="A408" s="1">
        <v>439.0</v>
      </c>
      <c r="B408" s="3" t="s">
        <v>407</v>
      </c>
      <c r="C408" s="3" t="str">
        <f>IFERROR(__xludf.DUMMYFUNCTION("GOOGLETRANSLATE(B408,""id"",""en"")"),"['Waiter', 'fast', 'respond']")</f>
        <v>['Waiter', 'fast', 'respond']</v>
      </c>
      <c r="D408" s="3">
        <v>5.0</v>
      </c>
    </row>
    <row r="409" ht="15.75" customHeight="1">
      <c r="A409" s="1">
        <v>440.0</v>
      </c>
      <c r="B409" s="3" t="s">
        <v>408</v>
      </c>
      <c r="C409" s="3" t="str">
        <f>IFERROR(__xludf.DUMMYFUNCTION("GOOGLETRANSLATE(B409,""id"",""en"")"),"['Helih', 'Network', 'ugly', 'Pay', 'expensive', 'late', 'a little', 'hit', 'fine', 'disorder', 'sorry', 'Lawac', ' ']")</f>
        <v>['Helih', 'Network', 'ugly', 'Pay', 'expensive', 'late', 'a little', 'hit', 'fine', 'disorder', 'sorry', 'Lawac', ' ']</v>
      </c>
      <c r="D409" s="3">
        <v>1.0</v>
      </c>
    </row>
    <row r="410" ht="15.75" customHeight="1">
      <c r="A410" s="1">
        <v>441.0</v>
      </c>
      <c r="B410" s="3" t="s">
        <v>409</v>
      </c>
      <c r="C410" s="3" t="str">
        <f>IFERROR(__xludf.DUMMYFUNCTION("GOOGLETRANSLATE(B410,""id"",""en"")"),"['Mantab', 'Jaya', 'Abadi', ""]")</f>
        <v>['Mantab', 'Jaya', 'Abadi', "]</v>
      </c>
      <c r="D410" s="3">
        <v>5.0</v>
      </c>
    </row>
    <row r="411" ht="15.75" customHeight="1">
      <c r="A411" s="1">
        <v>442.0</v>
      </c>
      <c r="B411" s="3" t="s">
        <v>410</v>
      </c>
      <c r="C411" s="3" t="str">
        <f>IFERROR(__xludf.DUMMYFUNCTION("GOOGLETRANSLATE(B411,""id"",""en"")"),"['Loading', 'then', 'login', 'application']")</f>
        <v>['Loading', 'then', 'login', 'application']</v>
      </c>
      <c r="D411" s="3">
        <v>1.0</v>
      </c>
    </row>
    <row r="412" ht="15.75" customHeight="1">
      <c r="A412" s="1">
        <v>443.0</v>
      </c>
      <c r="B412" s="3" t="s">
        <v>411</v>
      </c>
      <c r="C412" s="3" t="str">
        <f>IFERROR(__xludf.DUMMYFUNCTION("GOOGLETRANSLATE(B412,""id"",""en"")"),"['Login', 'password', 'already', 'right', 'smpe', 'forget', 'password', 'tetep', 'love', 'chance', 'rich', 'pin', ' ATM ',' Lebay ',' Level ',' Lemot ',' Stable ']")</f>
        <v>['Login', 'password', 'already', 'right', 'smpe', 'forget', 'password', 'tetep', 'love', 'chance', 'rich', 'pin', ' ATM ',' Lebay ',' Level ',' Lemot ',' Stable ']</v>
      </c>
      <c r="D412" s="3">
        <v>1.0</v>
      </c>
    </row>
    <row r="413" ht="15.75" customHeight="1">
      <c r="A413" s="1">
        <v>444.0</v>
      </c>
      <c r="B413" s="3" t="s">
        <v>412</v>
      </c>
      <c r="C413" s="3" t="str">
        <f>IFERROR(__xludf.DUMMYFUNCTION("GOOGLETRANSLATE(B413,""id"",""en"")"),"['Good', 'The application']")</f>
        <v>['Good', 'The application']</v>
      </c>
      <c r="D413" s="3">
        <v>1.0</v>
      </c>
    </row>
    <row r="414" ht="15.75" customHeight="1">
      <c r="A414" s="1">
        <v>445.0</v>
      </c>
      <c r="B414" s="3" t="s">
        <v>413</v>
      </c>
      <c r="C414" s="3" t="str">
        <f>IFERROR(__xludf.DUMMYFUNCTION("GOOGLETRANSLATE(B414,""id"",""en"")"),"['Sue', '']")</f>
        <v>['Sue', '']</v>
      </c>
      <c r="D414" s="3">
        <v>1.0</v>
      </c>
    </row>
    <row r="415" ht="15.75" customHeight="1">
      <c r="A415" s="1">
        <v>446.0</v>
      </c>
      <c r="B415" s="3" t="s">
        <v>414</v>
      </c>
      <c r="C415" s="3" t="str">
        <f>IFERROR(__xludf.DUMMYFUNCTION("GOOGLETRANSLATE(B415,""id"",""en"")"),"['NTAPS']")</f>
        <v>['NTAPS']</v>
      </c>
      <c r="D415" s="3">
        <v>5.0</v>
      </c>
    </row>
    <row r="416" ht="15.75" customHeight="1">
      <c r="A416" s="1">
        <v>448.0</v>
      </c>
      <c r="B416" s="3" t="s">
        <v>415</v>
      </c>
      <c r="C416" s="3" t="str">
        <f>IFERROR(__xludf.DUMMYFUNCTION("GOOGLETRANSLATE(B416,""id"",""en"")"),"['Complaint', 'date', 'noon', 'wait', 'last night', 'meet', 'morning', 'response', 'good', 'service', 'indicator', 'red', ' Light ',' Geregeetan ',' Thinking ',' Child ',' Exam ',' PTS ',' Online ',' Loo ',' blame ',' woooiiiii ',' napa ',' no ',' love ' "&amp;", 'news', 'phase', 'mumet', 'congregation', 'city', 'network', 'kmrn', 'district', 'network', 'good', '']")</f>
        <v>['Complaint', 'date', 'noon', 'wait', 'last night', 'meet', 'morning', 'response', 'good', 'service', 'indicator', 'red', ' Light ',' Geregeetan ',' Thinking ',' Child ',' Exam ',' PTS ',' Online ',' Loo ',' blame ',' woooiiiii ',' napa ',' no ',' love ' , 'news', 'phase', 'mumet', 'congregation', 'city', 'network', 'kmrn', 'district', 'network', 'good', '']</v>
      </c>
      <c r="D416" s="3">
        <v>1.0</v>
      </c>
    </row>
    <row r="417" ht="15.75" customHeight="1">
      <c r="A417" s="1">
        <v>449.0</v>
      </c>
      <c r="B417" s="3" t="s">
        <v>416</v>
      </c>
      <c r="C417" s="3" t="str">
        <f>IFERROR(__xludf.DUMMYFUNCTION("GOOGLETRANSLATE(B417,""id"",""en"")"),"['Gini', 'Indihome', 'comfortable', 'anjirrr', 'oath', 'date', 'meek', 'internet', 'date', 'internet', 'sampe', 'buy', ' package ',' data ',' pay ',' expensive ',' satisfaction ']")</f>
        <v>['Gini', 'Indihome', 'comfortable', 'anjirrr', 'oath', 'date', 'meek', 'internet', 'date', 'internet', 'sampe', 'buy', ' package ',' data ',' pay ',' expensive ',' satisfaction ']</v>
      </c>
      <c r="D417" s="3">
        <v>1.0</v>
      </c>
    </row>
    <row r="418" ht="15.75" customHeight="1">
      <c r="A418" s="1">
        <v>450.0</v>
      </c>
      <c r="B418" s="3" t="s">
        <v>417</v>
      </c>
      <c r="C418" s="3" t="str">
        <f>IFERROR(__xludf.DUMMYFUNCTION("GOOGLETRANSLATE(B418,""id"",""en"")"),"['Nikmaat']")</f>
        <v>['Nikmaat']</v>
      </c>
      <c r="D418" s="3">
        <v>1.0</v>
      </c>
    </row>
    <row r="419" ht="15.75" customHeight="1">
      <c r="A419" s="1">
        <v>451.0</v>
      </c>
      <c r="B419" s="3" t="s">
        <v>418</v>
      </c>
      <c r="C419" s="3" t="str">
        <f>IFERROR(__xludf.DUMMYFUNCTION("GOOGLETRANSLATE(B419,""id"",""en"")"),"['Indihome', 'actually', 'intention', 'open', 'times',' list ',' failed ',' aesthan ',' mechanical ',' full ',' intention ',' developing ',' Love ',' mechanical ',' serious', 'mechanically', 'weak', 'full', 'ituk', 'msh', 'ethical', 'intention', 'serious'"&amp;",' poor ']")</f>
        <v>['Indihome', 'actually', 'intention', 'open', 'times',' list ',' failed ',' aesthan ',' mechanical ',' full ',' intention ',' developing ',' Love ',' mechanical ',' serious', 'mechanically', 'weak', 'full', 'ituk', 'msh', 'ethical', 'intention', 'serious',' poor ']</v>
      </c>
      <c r="D419" s="3">
        <v>1.0</v>
      </c>
    </row>
    <row r="420" ht="15.75" customHeight="1">
      <c r="A420" s="1">
        <v>452.0</v>
      </c>
      <c r="B420" s="3" t="s">
        <v>419</v>
      </c>
      <c r="C420" s="3" t="str">
        <f>IFERROR(__xludf.DUMMYFUNCTION("GOOGLETRANSLATE(B420,""id"",""en"")"),"['application', 'blassss']")</f>
        <v>['application', 'blassss']</v>
      </c>
      <c r="D420" s="3">
        <v>1.0</v>
      </c>
    </row>
    <row r="421" ht="15.75" customHeight="1">
      <c r="A421" s="1">
        <v>453.0</v>
      </c>
      <c r="B421" s="3" t="s">
        <v>420</v>
      </c>
      <c r="C421" s="3" t="str">
        <f>IFERROR(__xludf.DUMMYFUNCTION("GOOGLETRANSLATE(B421,""id"",""en"")"),"['Update', 'September', 'Difficult', 'Connected']")</f>
        <v>['Update', 'September', 'Difficult', 'Connected']</v>
      </c>
      <c r="D421" s="3">
        <v>1.0</v>
      </c>
    </row>
    <row r="422" ht="15.75" customHeight="1">
      <c r="A422" s="1">
        <v>454.0</v>
      </c>
      <c r="B422" s="3" t="s">
        <v>421</v>
      </c>
      <c r="C422" s="3" t="str">
        <f>IFERROR(__xludf.DUMMYFUNCTION("GOOGLETRANSLATE(B422,""id"",""en"")"),"['', 'paid', 'bills', 'clock', 'lgsg', 'fine', 'lag', 'severe', 'parahan', 'sorry', 'bodo']")</f>
        <v>['', 'paid', 'bills', 'clock', 'lgsg', 'fine', 'lag', 'severe', 'parahan', 'sorry', 'bodo']</v>
      </c>
      <c r="D422" s="3">
        <v>1.0</v>
      </c>
    </row>
    <row r="423" ht="15.75" customHeight="1">
      <c r="A423" s="1">
        <v>455.0</v>
      </c>
      <c r="B423" s="3" t="s">
        <v>422</v>
      </c>
      <c r="C423" s="3" t="str">
        <f>IFERROR(__xludf.DUMMYFUNCTION("GOOGLETRANSLATE(B423,""id"",""en"")"),"['MOVER', 'INDIHOME', 'HUFFF', 'ARCH', 'LEMOTTTTT']")</f>
        <v>['MOVER', 'INDIHOME', 'HUFFF', 'ARCH', 'LEMOTTTTT']</v>
      </c>
      <c r="D423" s="3">
        <v>1.0</v>
      </c>
    </row>
    <row r="424" ht="15.75" customHeight="1">
      <c r="A424" s="1">
        <v>456.0</v>
      </c>
      <c r="B424" s="3" t="s">
        <v>423</v>
      </c>
      <c r="C424" s="3" t="str">
        <f>IFERROR(__xludf.DUMMYFUNCTION("GOOGLETRANSLATE(B424,""id"",""en"")"),"['If', 'Provaider', 'Indihome', 'use', '']")</f>
        <v>['If', 'Provaider', 'Indihome', 'use', '']</v>
      </c>
      <c r="D424" s="3">
        <v>1.0</v>
      </c>
    </row>
    <row r="425" ht="15.75" customHeight="1">
      <c r="A425" s="1">
        <v>457.0</v>
      </c>
      <c r="B425" s="3" t="s">
        <v>424</v>
      </c>
      <c r="C425" s="3" t="str">
        <f>IFERROR(__xludf.DUMMYFUNCTION("GOOGLETRANSLATE(B425,""id"",""en"")"),"['network', 'error', 'please', 'love', 'compensation', 'to', 'customer', 'loyal', 'night', 'internet', 'disorder', ""]")</f>
        <v>['network', 'error', 'please', 'love', 'compensation', 'to', 'customer', 'loyal', 'night', 'internet', 'disorder', "]</v>
      </c>
      <c r="D425" s="3">
        <v>1.0</v>
      </c>
    </row>
    <row r="426" ht="15.75" customHeight="1">
      <c r="A426" s="1">
        <v>458.0</v>
      </c>
      <c r="B426" s="3" t="s">
        <v>425</v>
      </c>
      <c r="C426" s="3" t="str">
        <f>IFERROR(__xludf.DUMMYFUNCTION("GOOGLETRANSLATE(B426,""id"",""en"")"),"['Najis', 'ngeleg', 'severe', 'really', 'until', 'play']")</f>
        <v>['Najis', 'ngeleg', 'severe', 'really', 'until', 'play']</v>
      </c>
      <c r="D426" s="3">
        <v>1.0</v>
      </c>
    </row>
    <row r="427" ht="15.75" customHeight="1">
      <c r="A427" s="1">
        <v>459.0</v>
      </c>
      <c r="B427" s="3" t="s">
        <v>426</v>
      </c>
      <c r="C427" s="3" t="str">
        <f>IFERROR(__xludf.DUMMYFUNCTION("GOOGLETRANSLATE(B427,""id"",""en"")"),"['internet', 'stable', 'Please', 'Attention', '']")</f>
        <v>['internet', 'stable', 'Please', 'Attention', '']</v>
      </c>
      <c r="D427" s="3">
        <v>3.0</v>
      </c>
    </row>
    <row r="428" ht="15.75" customHeight="1">
      <c r="A428" s="1">
        <v>460.0</v>
      </c>
      <c r="B428" s="3" t="s">
        <v>427</v>
      </c>
      <c r="C428" s="3" t="str">
        <f>IFERROR(__xludf.DUMMYFUNCTION("GOOGLETRANSLATE(B428,""id"",""en"")"),"['bad']")</f>
        <v>['bad']</v>
      </c>
      <c r="D428" s="3">
        <v>1.0</v>
      </c>
    </row>
    <row r="429" ht="15.75" customHeight="1">
      <c r="A429" s="1">
        <v>461.0</v>
      </c>
      <c r="B429" s="3" t="s">
        <v>428</v>
      </c>
      <c r="C429" s="3" t="str">
        <f>IFERROR(__xludf.DUMMYFUNCTION("GOOGLETRANSLATE(B429,""id"",""en"")"),"['Gaguan']")</f>
        <v>['Gaguan']</v>
      </c>
      <c r="D429" s="3">
        <v>1.0</v>
      </c>
    </row>
    <row r="430" ht="15.75" customHeight="1">
      <c r="A430" s="1">
        <v>462.0</v>
      </c>
      <c r="B430" s="3" t="s">
        <v>429</v>
      </c>
      <c r="C430" s="3" t="str">
        <f>IFERROR(__xludf.DUMMYFUNCTION("GOOGLETRANSLATE(B430,""id"",""en"")"),"['hard', 'down', 'until', 'for days',' compensation ',' anything ',' KPD ',' Customer ',' loss', 'suffered', 'Stop', 'Monopoly', ' elegant ',' operator ',' entered ',' equivalent ',' monopoly ',' culprit ',' beautiful ',' performance ',' telkom ',' child "&amp;"',' chiry ', ""]")</f>
        <v>['hard', 'down', 'until', 'for days',' compensation ',' anything ',' KPD ',' Customer ',' loss', 'suffered', 'Stop', 'Monopoly', ' elegant ',' operator ',' entered ',' equivalent ',' monopoly ',' culprit ',' beautiful ',' performance ',' telkom ',' child ',' chiry ', "]</v>
      </c>
      <c r="D430" s="3">
        <v>1.0</v>
      </c>
    </row>
    <row r="431" ht="15.75" customHeight="1">
      <c r="A431" s="1">
        <v>463.0</v>
      </c>
      <c r="B431" s="3" t="s">
        <v>430</v>
      </c>
      <c r="C431" s="3" t="str">
        <f>IFERROR(__xludf.DUMMYFUNCTION("GOOGLETRANSLATE(B431,""id"",""en"")"),"['Come on', 'Indihome', 'Network', 'fast', 'Benerin', ""]")</f>
        <v>['Come on', 'Indihome', 'Network', 'fast', 'Benerin', "]</v>
      </c>
      <c r="D431" s="3">
        <v>1.0</v>
      </c>
    </row>
    <row r="432" ht="15.75" customHeight="1">
      <c r="A432" s="1">
        <v>464.0</v>
      </c>
      <c r="B432" s="3" t="s">
        <v>431</v>
      </c>
      <c r="C432" s="3" t="str">
        <f>IFERROR(__xludf.DUMMYFUNCTION("GOOGLETRANSLATE(B432,""id"",""en"")"),"['star']")</f>
        <v>['star']</v>
      </c>
      <c r="D432" s="3">
        <v>1.0</v>
      </c>
    </row>
    <row r="433" ht="15.75" customHeight="1">
      <c r="A433" s="1">
        <v>465.0</v>
      </c>
      <c r="B433" s="3" t="s">
        <v>432</v>
      </c>
      <c r="C433" s="3" t="str">
        <f>IFERROR(__xludf.DUMMYFUNCTION("GOOGLETRANSLATE(B433,""id"",""en"")"),"['Min', 'lag', 'really', 'oath', 'tacky', 'learn']")</f>
        <v>['Min', 'lag', 'really', 'oath', 'tacky', 'learn']</v>
      </c>
      <c r="D433" s="3">
        <v>1.0</v>
      </c>
    </row>
    <row r="434" ht="15.75" customHeight="1">
      <c r="A434" s="1">
        <v>466.0</v>
      </c>
      <c r="B434" s="3" t="s">
        <v>433</v>
      </c>
      <c r="C434" s="3" t="str">
        <f>IFERROR(__xludf.DUMMYFUNCTION("GOOGLETRANSLATE(B434,""id"",""en"")"),"['Enter', 'Myindihome', 'Canaaa']")</f>
        <v>['Enter', 'Myindihome', 'Canaaa']</v>
      </c>
      <c r="D434" s="3">
        <v>2.0</v>
      </c>
    </row>
    <row r="435" ht="15.75" customHeight="1">
      <c r="A435" s="1">
        <v>467.0</v>
      </c>
      <c r="B435" s="3" t="s">
        <v>434</v>
      </c>
      <c r="C435" s="3" t="str">
        <f>IFERROR(__xludf.DUMMYFUNCTION("GOOGLETRANSLATE(B435,""id"",""en"")"),"['Lemott', '']")</f>
        <v>['Lemott', '']</v>
      </c>
      <c r="D435" s="3">
        <v>1.0</v>
      </c>
    </row>
    <row r="436" ht="15.75" customHeight="1">
      <c r="A436" s="1">
        <v>468.0</v>
      </c>
      <c r="B436" s="3" t="s">
        <v>435</v>
      </c>
      <c r="C436" s="3" t="str">
        <f>IFERROR(__xludf.DUMMYFUNCTION("GOOGLETRANSLATE(B436,""id"",""en"")"),"['Please', 'Min', 'complain', 'Respond', 'Seriously', 'Service', 'Best', 'Network', 'Leet', 'Mbps',' Season ',' Mbps', ' Tks']")</f>
        <v>['Please', 'Min', 'complain', 'Respond', 'Seriously', 'Service', 'Best', 'Network', 'Leet', 'Mbps',' Season ',' Mbps', ' Tks']</v>
      </c>
      <c r="D436" s="3">
        <v>1.0</v>
      </c>
    </row>
    <row r="437" ht="15.75" customHeight="1">
      <c r="A437" s="1">
        <v>469.0</v>
      </c>
      <c r="B437" s="3" t="s">
        <v>436</v>
      </c>
      <c r="C437" s="3" t="str">
        <f>IFERROR(__xludf.DUMMYFUNCTION("GOOGLETRANSLATE(B437,""id"",""en"")"),"['Russy', 'Indihome', 'already', 'Jarigan', 'Leet', 'Troubled']")</f>
        <v>['Russy', 'Indihome', 'already', 'Jarigan', 'Leet', 'Troubled']</v>
      </c>
      <c r="D437" s="3">
        <v>1.0</v>
      </c>
    </row>
    <row r="438" ht="15.75" customHeight="1">
      <c r="A438" s="1">
        <v>471.0</v>
      </c>
      <c r="B438" s="3" t="s">
        <v>437</v>
      </c>
      <c r="C438" s="3" t="str">
        <f>IFERROR(__xludf.DUMMYFUNCTION("GOOGLETRANSLATE(B438,""id"",""en"")"),"['Please', 'Increase', 'Min', 'Quality', 'Signal', 'Indihomen', 'Suggestion', 'Trims']")</f>
        <v>['Please', 'Increase', 'Min', 'Quality', 'Signal', 'Indihomen', 'Suggestion', 'Trims']</v>
      </c>
      <c r="D438" s="3">
        <v>5.0</v>
      </c>
    </row>
    <row r="439" ht="15.75" customHeight="1">
      <c r="A439" s="1">
        <v>472.0</v>
      </c>
      <c r="B439" s="3" t="s">
        <v>438</v>
      </c>
      <c r="C439" s="3" t="str">
        <f>IFERROR(__xludf.DUMMYFUNCTION("GOOGLETRANSLATE(B439,""id"",""en"")"),"['WiFi', 'Ngelag', 'Pay', 'Season', 'Technician', 'Dateng', 'Home', 'Benerin', 'Finish', 'Direct', 'go home', 'Lamain', ' Tax ']")</f>
        <v>['WiFi', 'Ngelag', 'Pay', 'Season', 'Technician', 'Dateng', 'Home', 'Benerin', 'Finish', 'Direct', 'go home', 'Lamain', ' Tax ']</v>
      </c>
      <c r="D439" s="3">
        <v>1.0</v>
      </c>
    </row>
    <row r="440" ht="15.75" customHeight="1">
      <c r="A440" s="1">
        <v>473.0</v>
      </c>
      <c r="B440" s="3" t="s">
        <v>439</v>
      </c>
      <c r="C440" s="3" t="str">
        <f>IFERROR(__xludf.DUMMYFUNCTION("GOOGLETRANSLATE(B440,""id"",""en"")"),"['The network', 'ugly']")</f>
        <v>['The network', 'ugly']</v>
      </c>
      <c r="D440" s="3">
        <v>1.0</v>
      </c>
    </row>
    <row r="441" ht="15.75" customHeight="1">
      <c r="A441" s="1">
        <v>474.0</v>
      </c>
      <c r="B441" s="3" t="s">
        <v>440</v>
      </c>
      <c r="C441" s="3" t="str">
        <f>IFERROR(__xludf.DUMMYFUNCTION("GOOGLETRANSLATE(B441,""id"",""en"")"),"['disorder', 'BLM', 'Normal', 'complaint', 'response', 'stop', 'subscribe', 'blocked', 'contract', 'a year', 'brekele']")</f>
        <v>['disorder', 'BLM', 'Normal', 'complaint', 'response', 'stop', 'subscribe', 'blocked', 'contract', 'a year', 'brekele']</v>
      </c>
      <c r="D441" s="3">
        <v>1.0</v>
      </c>
    </row>
    <row r="442" ht="15.75" customHeight="1">
      <c r="A442" s="1">
        <v>475.0</v>
      </c>
      <c r="B442" s="3" t="s">
        <v>441</v>
      </c>
      <c r="C442" s="3" t="str">
        <f>IFERROR(__xludf.DUMMYFUNCTION("GOOGLETRANSLATE(B442,""id"",""en"")"),"['Compensation', 'Ngab', 'Senggol']")</f>
        <v>['Compensation', 'Ngab', 'Senggol']</v>
      </c>
      <c r="D442" s="3">
        <v>1.0</v>
      </c>
    </row>
    <row r="443" ht="15.75" customHeight="1">
      <c r="A443" s="1">
        <v>476.0</v>
      </c>
      <c r="B443" s="3" t="s">
        <v>442</v>
      </c>
      <c r="C443" s="3" t="str">
        <f>IFERROR(__xludf.DUMMYFUNCTION("GOOGLETRANSLATE(B443,""id"",""en"")"),"['Type', 'Features', 'Provides', 'News', 'Information', 'Related', 'Problems', 'Indihome', 'Update', 'Problems', 'Damage', 'Etc.']")</f>
        <v>['Type', 'Features', 'Provides', 'News', 'Information', 'Related', 'Problems', 'Indihome', 'Update', 'Problems', 'Damage', 'Etc.']</v>
      </c>
      <c r="D443" s="3">
        <v>2.0</v>
      </c>
    </row>
    <row r="444" ht="15.75" customHeight="1">
      <c r="A444" s="1">
        <v>477.0</v>
      </c>
      <c r="B444" s="3" t="s">
        <v>443</v>
      </c>
      <c r="C444" s="3" t="str">
        <f>IFERROR(__xludf.DUMMYFUNCTION("GOOGLETRANSLATE(B444,""id"",""en"")"),"['Ngellag', 'anjg']")</f>
        <v>['Ngellag', 'anjg']</v>
      </c>
      <c r="D444" s="3">
        <v>1.0</v>
      </c>
    </row>
    <row r="445" ht="15.75" customHeight="1">
      <c r="A445" s="1">
        <v>478.0</v>
      </c>
      <c r="B445" s="3" t="s">
        <v>444</v>
      </c>
      <c r="C445" s="3" t="str">
        <f>IFERROR(__xludf.DUMMYFUNCTION("GOOGLETRANSLATE(B445,""id"",""en"")"),"['at the time', 'late', 'pay', 'fine', 'at the same time', 'network', 'wifi', 'down', 'can', ""]")</f>
        <v>['at the time', 'late', 'pay', 'fine', 'at the same time', 'network', 'wifi', 'down', 'can', "]</v>
      </c>
      <c r="D445" s="3">
        <v>1.0</v>
      </c>
    </row>
    <row r="446" ht="15.75" customHeight="1">
      <c r="A446" s="1">
        <v>479.0</v>
      </c>
      <c r="B446" s="3" t="s">
        <v>445</v>
      </c>
      <c r="C446" s="3" t="str">
        <f>IFERROR(__xludf.DUMMYFUNCTION("GOOGLETRANSLATE(B446,""id"",""en"")"),"['Indihome', 'trouble', 'compensation', 'late', 'pay', 'UDH', 'get', 'fine']")</f>
        <v>['Indihome', 'trouble', 'compensation', 'late', 'pay', 'UDH', 'get', 'fine']</v>
      </c>
      <c r="D446" s="3">
        <v>1.0</v>
      </c>
    </row>
    <row r="447" ht="15.75" customHeight="1">
      <c r="A447" s="1">
        <v>480.0</v>
      </c>
      <c r="B447" s="3" t="s">
        <v>446</v>
      </c>
      <c r="C447" s="3" t="str">
        <f>IFERROR(__xludf.DUMMYFUNCTION("GOOGLETRANSLATE(B447,""id"",""en"")"),"['Most', 'trouble', 'poor', '']")</f>
        <v>['Most', 'trouble', 'poor', '']</v>
      </c>
      <c r="D447" s="3">
        <v>1.0</v>
      </c>
    </row>
    <row r="448" ht="15.75" customHeight="1">
      <c r="A448" s="1">
        <v>481.0</v>
      </c>
      <c r="B448" s="3" t="s">
        <v>447</v>
      </c>
      <c r="C448" s="3" t="str">
        <f>IFERROR(__xludf.DUMMYFUNCTION("GOOGLETRANSLATE(B448,""id"",""en"")"),"['update', 'ngak', 'login']")</f>
        <v>['update', 'ngak', 'login']</v>
      </c>
      <c r="D448" s="3">
        <v>1.0</v>
      </c>
    </row>
    <row r="449" ht="15.75" customHeight="1">
      <c r="A449" s="1">
        <v>482.0</v>
      </c>
      <c r="B449" s="3" t="s">
        <v>448</v>
      </c>
      <c r="C449" s="3" t="str">
        <f>IFERROR(__xludf.DUMMYFUNCTION("GOOGLETRANSLATE(B449,""id"",""en"")"),"['bad', 'connection', 'bad', 'service', 'compensation', 'recommendation']")</f>
        <v>['bad', 'connection', 'bad', 'service', 'compensation', 'recommendation']</v>
      </c>
      <c r="D449" s="3">
        <v>1.0</v>
      </c>
    </row>
    <row r="450" ht="15.75" customHeight="1">
      <c r="A450" s="1">
        <v>483.0</v>
      </c>
      <c r="B450" s="3" t="s">
        <v>449</v>
      </c>
      <c r="C450" s="3" t="str">
        <f>IFERROR(__xludf.DUMMYFUNCTION("GOOGLETRANSLATE(B450,""id"",""en"")"),"['Ngelagg', 'Mulu', ""]")</f>
        <v>['Ngelagg', 'Mulu', "]</v>
      </c>
      <c r="D450" s="3">
        <v>1.0</v>
      </c>
    </row>
    <row r="451" ht="15.75" customHeight="1">
      <c r="A451" s="1">
        <v>484.0</v>
      </c>
      <c r="B451" s="3" t="s">
        <v>450</v>
      </c>
      <c r="C451" s="3" t="str">
        <f>IFERROR(__xludf.DUMMYFUNCTION("GOOGLETRANSLATE(B451,""id"",""en"")"),"['Network', 'poor', 'cuiihhhh']")</f>
        <v>['Network', 'poor', 'cuiihhhh']</v>
      </c>
      <c r="D451" s="3">
        <v>1.0</v>
      </c>
    </row>
    <row r="452" ht="15.75" customHeight="1">
      <c r="A452" s="1">
        <v>485.0</v>
      </c>
      <c r="B452" s="3" t="s">
        <v>451</v>
      </c>
      <c r="C452" s="3" t="str">
        <f>IFERROR(__xludf.DUMMYFUNCTION("GOOGLETRANSLATE(B452,""id"",""en"")"),"['chronology', 'moved', 'home', 'moved', 'wifi', 'indihome', 'telephone', 'number', 'slot', 'the network', 'empty', 'told', ' Register ',' Costs', 'Registration', 'Slots',' Network ',' Empty ',' then ',' Move ',' told ',' Register ',' extortion ',' his na"&amp;"me ', ""]")</f>
        <v>['chronology', 'moved', 'home', 'moved', 'wifi', 'indihome', 'telephone', 'number', 'slot', 'the network', 'empty', 'told', ' Register ',' Costs', 'Registration', 'Slots',' Network ',' Empty ',' then ',' Move ',' told ',' Register ',' extortion ',' his name ', "]</v>
      </c>
      <c r="D452" s="3">
        <v>1.0</v>
      </c>
    </row>
    <row r="453" ht="15.75" customHeight="1">
      <c r="A453" s="1">
        <v>486.0</v>
      </c>
      <c r="B453" s="3" t="s">
        <v>452</v>
      </c>
      <c r="C453" s="3" t="str">
        <f>IFERROR(__xludf.DUMMYFUNCTION("GOOGLETRANSLATE(B453,""id"",""en"")"),"['UDH', 'Indihome', 'Dipake', 'then', 'payment', 'GMN', 'HRS', 'Move', 'Provider', ""]")</f>
        <v>['UDH', 'Indihome', 'Dipake', 'then', 'payment', 'GMN', 'HRS', 'Move', 'Provider', "]</v>
      </c>
      <c r="D453" s="3">
        <v>1.0</v>
      </c>
    </row>
    <row r="454" ht="15.75" customHeight="1">
      <c r="A454" s="1">
        <v>487.0</v>
      </c>
      <c r="B454" s="3" t="s">
        <v>453</v>
      </c>
      <c r="C454" s="3" t="str">
        <f>IFERROR(__xludf.DUMMYFUNCTION("GOOGLETRANSLATE(B454,""id"",""en"")"),"['Change', 'number', 'verification', 'direct', 'indihome', 'verification', 'use', 'number', 'replace', 'email', 'verification', 'email', ' Email ',' owned ',' deceased ',' Daddy ',' Digantipun ',' complicated ', ""]")</f>
        <v>['Change', 'number', 'verification', 'direct', 'indihome', 'verification', 'use', 'number', 'replace', 'email', 'verification', 'email', ' Email ',' owned ',' deceased ',' Daddy ',' Digantipun ',' complicated ', "]</v>
      </c>
      <c r="D454" s="3">
        <v>2.0</v>
      </c>
    </row>
    <row r="455" ht="15.75" customHeight="1">
      <c r="A455" s="1">
        <v>488.0</v>
      </c>
      <c r="B455" s="3" t="s">
        <v>454</v>
      </c>
      <c r="C455" s="3" t="str">
        <f>IFERROR(__xludf.DUMMYFUNCTION("GOOGLETRANSLATE(B455,""id"",""en"")"),"['Loba', 'Ngadat']")</f>
        <v>['Loba', 'Ngadat']</v>
      </c>
      <c r="D455" s="3">
        <v>1.0</v>
      </c>
    </row>
    <row r="456" ht="15.75" customHeight="1">
      <c r="A456" s="1">
        <v>489.0</v>
      </c>
      <c r="B456" s="3" t="s">
        <v>455</v>
      </c>
      <c r="C456" s="3" t="str">
        <f>IFERROR(__xludf.DUMMYFUNCTION("GOOGLETRANSLATE(B456,""id"",""en"")"),"['Network', 'rotten', 'paying', 'expensive', 'DSR']")</f>
        <v>['Network', 'rotten', 'paying', 'expensive', 'DSR']</v>
      </c>
      <c r="D456" s="3">
        <v>1.0</v>
      </c>
    </row>
    <row r="457" ht="15.75" customHeight="1">
      <c r="A457" s="1">
        <v>490.0</v>
      </c>
      <c r="B457" s="3" t="s">
        <v>456</v>
      </c>
      <c r="C457" s="3" t="str">
        <f>IFERROR(__xludf.DUMMYFUNCTION("GOOGLETRANSLATE(B457,""id"",""en"")"),"['Disable', 'Add', 'Buy', 'Add', 'Chanel', 'Mola', 'Video', 'Application', 'Indihome']")</f>
        <v>['Disable', 'Add', 'Buy', 'Add', 'Chanel', 'Mola', 'Video', 'Application', 'Indihome']</v>
      </c>
      <c r="D457" s="3">
        <v>1.0</v>
      </c>
    </row>
    <row r="458" ht="15.75" customHeight="1">
      <c r="A458" s="1">
        <v>491.0</v>
      </c>
      <c r="B458" s="3" t="s">
        <v>457</v>
      </c>
      <c r="C458" s="3" t="str">
        <f>IFERROR(__xludf.DUMMYFUNCTION("GOOGLETRANSLATE(B458,""id"",""en"")"),"['Since', 'Indihome', 'Update', 'Look', 'Slow', 'Open', 'Fast', 'Open']")</f>
        <v>['Since', 'Indihome', 'Update', 'Look', 'Slow', 'Open', 'Fast', 'Open']</v>
      </c>
      <c r="D458" s="3">
        <v>5.0</v>
      </c>
    </row>
    <row r="459" ht="15.75" customHeight="1">
      <c r="A459" s="1">
        <v>492.0</v>
      </c>
      <c r="B459" s="3" t="s">
        <v>458</v>
      </c>
      <c r="C459" s="3" t="str">
        <f>IFERROR(__xludf.DUMMYFUNCTION("GOOGLETRANSLATE(B459,""id"",""en"")"),"['service', 'bad', 'disorder', 'compensation', 'customer', 'pay', 'full']")</f>
        <v>['service', 'bad', 'disorder', 'compensation', 'customer', 'pay', 'full']</v>
      </c>
      <c r="D459" s="3">
        <v>1.0</v>
      </c>
    </row>
    <row r="460" ht="15.75" customHeight="1">
      <c r="A460" s="1">
        <v>493.0</v>
      </c>
      <c r="B460" s="3" t="s">
        <v>459</v>
      </c>
      <c r="C460" s="3" t="str">
        <f>IFERROR(__xludf.DUMMYFUNCTION("GOOGLETRANSLATE(B460,""id"",""en"")"),"['sorry', 'Provoider', 'bad', 'service', 'already', 'time', 'love', 'promo', 'extra', 'pay "",' Eeeeh ',' Ahir ',' times', 'fold', 'pay', 'Power', 'call', 'gave', 'price', 'details',' promo ',' aka ',' free ']")</f>
        <v>['sorry', 'Provoider', 'bad', 'service', 'already', 'time', 'love', 'promo', 'extra', 'pay ",' Eeeeh ',' Ahir ',' times', 'fold', 'pay', 'Power', 'call', 'gave', 'price', 'details',' promo ',' aka ',' free ']</v>
      </c>
      <c r="D460" s="3">
        <v>1.0</v>
      </c>
    </row>
    <row r="461" ht="15.75" customHeight="1">
      <c r="A461" s="1">
        <v>494.0</v>
      </c>
      <c r="B461" s="3" t="s">
        <v>460</v>
      </c>
      <c r="C461" s="3" t="str">
        <f>IFERROR(__xludf.DUMMYFUNCTION("GOOGLETRANSLATE(B461,""id"",""en"")"),"['Hadeh', 'lag', 'download', 'file', 'MB', 'Sampe', 'Minute']")</f>
        <v>['Hadeh', 'lag', 'download', 'file', 'MB', 'Sampe', 'Minute']</v>
      </c>
      <c r="D461" s="3">
        <v>1.0</v>
      </c>
    </row>
    <row r="462" ht="15.75" customHeight="1">
      <c r="A462" s="1">
        <v>495.0</v>
      </c>
      <c r="B462" s="3" t="s">
        <v>461</v>
      </c>
      <c r="C462" s="3" t="str">
        <f>IFERROR(__xludf.DUMMYFUNCTION("GOOGLETRANSLATE(B462,""id"",""en"")"),"['wifi', 'Lose', 'response', 'related']")</f>
        <v>['wifi', 'Lose', 'response', 'related']</v>
      </c>
      <c r="D462" s="3">
        <v>1.0</v>
      </c>
    </row>
    <row r="463" ht="15.75" customHeight="1">
      <c r="A463" s="1">
        <v>496.0</v>
      </c>
      <c r="B463" s="3" t="s">
        <v>462</v>
      </c>
      <c r="C463" s="3" t="str">
        <f>IFERROR(__xludf.DUMMYFUNCTION("GOOGLETRANSLATE(B463,""id"",""en"")"),"['Please', 'Hurry', 'Good', 'Network']")</f>
        <v>['Please', 'Hurry', 'Good', 'Network']</v>
      </c>
      <c r="D463" s="3">
        <v>5.0</v>
      </c>
    </row>
    <row r="464" ht="15.75" customHeight="1">
      <c r="A464" s="1">
        <v>497.0</v>
      </c>
      <c r="B464" s="3" t="s">
        <v>463</v>
      </c>
      <c r="C464" s="3" t="str">
        <f>IFERROR(__xludf.DUMMYFUNCTION("GOOGLETRANSLATE(B464,""id"",""en"")"),"['Ngellag', 'Mulu', 'Coy', 'Gjelas']")</f>
        <v>['Ngellag', 'Mulu', 'Coy', 'Gjelas']</v>
      </c>
      <c r="D464" s="3">
        <v>1.0</v>
      </c>
    </row>
    <row r="465" ht="15.75" customHeight="1">
      <c r="A465" s="1">
        <v>498.0</v>
      </c>
      <c r="B465" s="3" t="s">
        <v>464</v>
      </c>
      <c r="C465" s="3" t="str">
        <f>IFERROR(__xludf.DUMMYFUNCTION("GOOGLETRANSLATE(B465,""id"",""en"")"),"['Concern', 'Service', '']")</f>
        <v>['Concern', 'Service', '']</v>
      </c>
      <c r="D465" s="3">
        <v>1.0</v>
      </c>
    </row>
    <row r="466" ht="15.75" customHeight="1">
      <c r="A466" s="1">
        <v>499.0</v>
      </c>
      <c r="B466" s="3" t="s">
        <v>465</v>
      </c>
      <c r="C466" s="3" t="str">
        <f>IFERROR(__xludf.DUMMYFUNCTION("GOOGLETRANSLATE(B466,""id"",""en"")"),"['application', 'slow', 'internet', 'slow', 'it costs', 'expensive', 'smooth', 'emang', 'manteb', 'rating', '']")</f>
        <v>['application', 'slow', 'internet', 'slow', 'it costs', 'expensive', 'smooth', 'emang', 'manteb', 'rating', '']</v>
      </c>
      <c r="D466" s="3">
        <v>1.0</v>
      </c>
    </row>
    <row r="467" ht="15.75" customHeight="1">
      <c r="A467" s="1">
        <v>500.0</v>
      </c>
      <c r="B467" s="3" t="s">
        <v>466</v>
      </c>
      <c r="C467" s="3" t="str">
        <f>IFERROR(__xludf.DUMMYFUNCTION("GOOGLETRANSLATE(B467,""id"",""en"")"),"['service', 'internet', 'access', 'complaint', 'there', 'here', 'handling', 'slow']")</f>
        <v>['service', 'internet', 'access', 'complaint', 'there', 'here', 'handling', 'slow']</v>
      </c>
      <c r="D467" s="3">
        <v>1.0</v>
      </c>
    </row>
    <row r="468" ht="15.75" customHeight="1">
      <c r="A468" s="1">
        <v>501.0</v>
      </c>
      <c r="B468" s="3" t="s">
        <v>467</v>
      </c>
      <c r="C468" s="3" t="str">
        <f>IFERROR(__xludf.DUMMYFUNCTION("GOOGLETRANSLATE(B468,""id"",""en"")"),"['Network', 'Main', 'Game', 'Ngelag', 'Mending', 'Sell', 'Meatball']")</f>
        <v>['Network', 'Main', 'Game', 'Ngelag', 'Mending', 'Sell', 'Meatball']</v>
      </c>
      <c r="D468" s="3">
        <v>1.0</v>
      </c>
    </row>
    <row r="469" ht="15.75" customHeight="1">
      <c r="A469" s="1">
        <v>502.0</v>
      </c>
      <c r="B469" s="3" t="s">
        <v>468</v>
      </c>
      <c r="C469" s="3" t="str">
        <f>IFERROR(__xludf.DUMMYFUNCTION("GOOGLETRANSLATE(B469,""id"",""en"")"),"['The network', 'slow', 'really', 'gabisa', 'internet', 'indihome']")</f>
        <v>['The network', 'slow', 'really', 'gabisa', 'internet', 'indihome']</v>
      </c>
      <c r="D469" s="3">
        <v>1.0</v>
      </c>
    </row>
    <row r="470" ht="15.75" customHeight="1">
      <c r="A470" s="1">
        <v>503.0</v>
      </c>
      <c r="B470" s="3" t="s">
        <v>469</v>
      </c>
      <c r="C470" s="3" t="str">
        <f>IFERROR(__xludf.DUMMYFUNCTION("GOOGLETRANSLATE(B470,""id"",""en"")"),"['Trash', 'Belongs', 'Trash', 'Can', '']")</f>
        <v>['Trash', 'Belongs', 'Trash', 'Can', '']</v>
      </c>
      <c r="D470" s="3">
        <v>1.0</v>
      </c>
    </row>
    <row r="471" ht="15.75" customHeight="1">
      <c r="A471" s="1">
        <v>504.0</v>
      </c>
      <c r="B471" s="3" t="s">
        <v>470</v>
      </c>
      <c r="C471" s="3" t="str">
        <f>IFERROR(__xludf.DUMMYFUNCTION("GOOGLETRANSLATE(B471,""id"",""en"")"),"['Service', 'Installation', 'Indihome', 'Unfortunate', 'Network', 'Bad', 'Price', 'Naturally', 'Network', 'Bad', 'Price', 'Naturally', ' Installation ',' bad ',' Network ',' What ',' already ',' ask ',' Indihome ',' Took ',' Tomorrow ',' Current ',' Yeah "&amp;"',' TTP ',' Bad ' , 'Order', 'Package', 'KSH', 'FULL', 'TLPON', '']")</f>
        <v>['Service', 'Installation', 'Indihome', 'Unfortunate', 'Network', 'Bad', 'Price', 'Naturally', 'Network', 'Bad', 'Price', 'Naturally', ' Installation ',' bad ',' Network ',' What ',' already ',' ask ',' Indihome ',' Took ',' Tomorrow ',' Current ',' Yeah ',' TTP ',' Bad ' , 'Order', 'Package', 'KSH', 'FULL', 'TLPON', '']</v>
      </c>
      <c r="D471" s="3">
        <v>1.0</v>
      </c>
    </row>
    <row r="472" ht="15.75" customHeight="1">
      <c r="A472" s="1">
        <v>506.0</v>
      </c>
      <c r="B472" s="3" t="s">
        <v>471</v>
      </c>
      <c r="C472" s="3" t="str">
        <f>IFERROR(__xludf.DUMMYFUNCTION("GOOGLETRANSLATE(B472,""id"",""en"")"),"['TIG', 'INDIHOME', 'Disruption', 'Severe']")</f>
        <v>['TIG', 'INDIHOME', 'Disruption', 'Severe']</v>
      </c>
      <c r="D472" s="3">
        <v>1.0</v>
      </c>
    </row>
    <row r="473" ht="15.75" customHeight="1">
      <c r="A473" s="1">
        <v>507.0</v>
      </c>
      <c r="B473" s="3" t="s">
        <v>472</v>
      </c>
      <c r="C473" s="3" t="str">
        <f>IFERROR(__xludf.DUMMYFUNCTION("GOOGLETRANSLATE(B473,""id"",""en"")"),"['Looks', 'Applicative', 'Make', 'Makserve', 'Operating it']")</f>
        <v>['Looks', 'Applicative', 'Make', 'Makserve', 'Operating it']</v>
      </c>
      <c r="D473" s="3">
        <v>5.0</v>
      </c>
    </row>
    <row r="474" ht="15.75" customHeight="1">
      <c r="A474" s="1">
        <v>508.0</v>
      </c>
      <c r="B474" s="3" t="s">
        <v>473</v>
      </c>
      <c r="C474" s="3" t="str">
        <f>IFERROR(__xludf.DUMMYFUNCTION("GOOGLETRANSLATE(B474,""id"",""en"")"),"['application', 'useful', 'check', 'bill', 'add', 'point', 'complaint', 'replied', 'processed', 'application', 'junk', 'internet', ' reasons', 'cable', 'optics',' sea ',' broken ',' disorder ',' neighbor ',' home ',' internet ',' indihome ']")</f>
        <v>['application', 'useful', 'check', 'bill', 'add', 'point', 'complaint', 'replied', 'processed', 'application', 'junk', 'internet', ' reasons', 'cable', 'optics',' sea ',' broken ',' disorder ',' neighbor ',' home ',' internet ',' indihome ']</v>
      </c>
      <c r="D474" s="3">
        <v>1.0</v>
      </c>
    </row>
    <row r="475" ht="15.75" customHeight="1">
      <c r="A475" s="1">
        <v>509.0</v>
      </c>
      <c r="B475" s="3" t="s">
        <v>474</v>
      </c>
      <c r="C475" s="3" t="str">
        <f>IFERROR(__xludf.DUMMYFUNCTION("GOOGLETRANSLATE(B475,""id"",""en"")"),"['cuih', 'expensive', 'doang', 'network', 'kek', 'conch', 'compensation', 'customer', '']")</f>
        <v>['cuih', 'expensive', 'doang', 'network', 'kek', 'conch', 'compensation', 'customer', '']</v>
      </c>
      <c r="D475" s="3">
        <v>1.0</v>
      </c>
    </row>
    <row r="476" ht="15.75" customHeight="1">
      <c r="A476" s="1">
        <v>510.0</v>
      </c>
      <c r="B476" s="3" t="s">
        <v>475</v>
      </c>
      <c r="C476" s="3" t="str">
        <f>IFERROR(__xludf.DUMMYFUNCTION("GOOGLETRANSLATE(B476,""id"",""en"")"),"['lag', 'push', 'rank', 'login', 'late', 'pay', 'get', 'fine', 'turn', 'lag', 'sorry', 'hamdeh']")</f>
        <v>['lag', 'push', 'rank', 'login', 'late', 'pay', 'get', 'fine', 'turn', 'lag', 'sorry', 'hamdeh']</v>
      </c>
      <c r="D476" s="3">
        <v>1.0</v>
      </c>
    </row>
    <row r="477" ht="15.75" customHeight="1">
      <c r="A477" s="1">
        <v>511.0</v>
      </c>
      <c r="B477" s="3" t="s">
        <v>476</v>
      </c>
      <c r="C477" s="3" t="str">
        <f>IFERROR(__xludf.DUMMYFUNCTION("GOOGLETRANSLATE(B477,""id"",""en"")"),"['Indi', 'home', 'ajggggg', 'hurry', 'wifi', 'lag', 'mulu', 'ajgggggg']")</f>
        <v>['Indi', 'home', 'ajggggg', 'hurry', 'wifi', 'lag', 'mulu', 'ajgggggg']</v>
      </c>
      <c r="D477" s="3">
        <v>1.0</v>
      </c>
    </row>
    <row r="478" ht="15.75" customHeight="1">
      <c r="A478" s="1">
        <v>512.0</v>
      </c>
      <c r="B478" s="3" t="s">
        <v>477</v>
      </c>
      <c r="C478" s="3" t="str">
        <f>IFERROR(__xludf.DUMMYFUNCTION("GOOGLETRANSLATE(B478,""id"",""en"")"),"['', 'Install', 'application', 'tdak', 'login', 'writing', 'failed', 'try', 'regestration', 'reset', 'email', 'registered', 'netting ',' Login ',' how ',' ']")</f>
        <v>['', 'Install', 'application', 'tdak', 'login', 'writing', 'failed', 'try', 'regestration', 'reset', 'email', 'registered', 'netting ',' Login ',' how ',' ']</v>
      </c>
      <c r="D478" s="3">
        <v>3.0</v>
      </c>
    </row>
    <row r="479" ht="15.75" customHeight="1">
      <c r="A479" s="1">
        <v>513.0</v>
      </c>
      <c r="B479" s="3" t="s">
        <v>478</v>
      </c>
      <c r="C479" s="3" t="str">
        <f>IFERROR(__xludf.DUMMYFUNCTION("GOOGLETRANSLATE(B479,""id"",""en"")"),"['What are you doing', 'Update', 'Performance', 'Application', 'Lined', '']")</f>
        <v>['What are you doing', 'Update', 'Performance', 'Application', 'Lined', '']</v>
      </c>
      <c r="D479" s="3">
        <v>1.0</v>
      </c>
    </row>
    <row r="480" ht="15.75" customHeight="1">
      <c r="A480" s="1">
        <v>514.0</v>
      </c>
      <c r="B480" s="3" t="s">
        <v>479</v>
      </c>
      <c r="C480" s="3" t="str">
        <f>IFERROR(__xludf.DUMMYFUNCTION("GOOGLETRANSLATE(B480,""id"",""en"")"),"['Really', 'Disconnect', 'Connect', 'Disconnect', 'Connect']")</f>
        <v>['Really', 'Disconnect', 'Connect', 'Disconnect', 'Connect']</v>
      </c>
      <c r="D480" s="3">
        <v>1.0</v>
      </c>
    </row>
    <row r="481" ht="15.75" customHeight="1">
      <c r="A481" s="1">
        <v>515.0</v>
      </c>
      <c r="B481" s="3" t="s">
        <v>480</v>
      </c>
      <c r="C481" s="3" t="str">
        <f>IFERROR(__xludf.DUMMYFUNCTION("GOOGLETRANSLATE(B481,""id"",""en"")"),"['']")</f>
        <v>['']</v>
      </c>
      <c r="D481" s="3">
        <v>5.0</v>
      </c>
    </row>
    <row r="482" ht="15.75" customHeight="1">
      <c r="A482" s="1">
        <v>516.0</v>
      </c>
      <c r="B482" s="3" t="s">
        <v>481</v>
      </c>
      <c r="C482" s="3" t="str">
        <f>IFERROR(__xludf.DUMMYFUNCTION("GOOGLETRANSLATE(B482,""id"",""en"")"),"['Log', '']")</f>
        <v>['Log', '']</v>
      </c>
      <c r="D482" s="3">
        <v>5.0</v>
      </c>
    </row>
    <row r="483" ht="15.75" customHeight="1">
      <c r="A483" s="1">
        <v>517.0</v>
      </c>
      <c r="B483" s="3" t="s">
        <v>482</v>
      </c>
      <c r="C483" s="3" t="str">
        <f>IFERROR(__xludf.DUMMYFUNCTION("GOOGLETRANSLATE(B483,""id"",""en"")"),"['Download', 'file', 'really']")</f>
        <v>['Download', 'file', 'really']</v>
      </c>
      <c r="D483" s="3">
        <v>1.0</v>
      </c>
    </row>
    <row r="484" ht="15.75" customHeight="1">
      <c r="A484" s="1">
        <v>518.0</v>
      </c>
      <c r="B484" s="3" t="s">
        <v>483</v>
      </c>
      <c r="C484" s="3" t="str">
        <f>IFERROR(__xludf.DUMMYFUNCTION("GOOGLETRANSLATE(B484,""id"",""en"")"),"['poor', 'the application', 'quality', 'service', 'performance', 'slow', 'error', 'satisfying', 'turn', 'pay', 'nagih', 'like', ' debt ',' colector ',' loanful ',' chase ',' a day ',' times', 'call', 'sms',' email ',' gmail ',' told ',' pay ',' date ' , '"&amp;"pay']")</f>
        <v>['poor', 'the application', 'quality', 'service', 'performance', 'slow', 'error', 'satisfying', 'turn', 'pay', 'nagih', 'like', ' debt ',' colector ',' loanful ',' chase ',' a day ',' times', 'call', 'sms',' email ',' gmail ',' told ',' pay ',' date ' , 'pay']</v>
      </c>
      <c r="D484" s="3">
        <v>1.0</v>
      </c>
    </row>
    <row r="485" ht="15.75" customHeight="1">
      <c r="A485" s="1">
        <v>519.0</v>
      </c>
      <c r="B485" s="3" t="s">
        <v>484</v>
      </c>
      <c r="C485" s="3" t="str">
        <f>IFERROR(__xludf.DUMMYFUNCTION("GOOGLETRANSLATE(B485,""id"",""en"")"),"['Sampe', 'repairs', 'finish', 'fall', 'tempo', 'payment', 'do']")</f>
        <v>['Sampe', 'repairs', 'finish', 'fall', 'tempo', 'payment', 'do']</v>
      </c>
      <c r="D485" s="3">
        <v>3.0</v>
      </c>
    </row>
    <row r="486" ht="15.75" customHeight="1">
      <c r="A486" s="1">
        <v>520.0</v>
      </c>
      <c r="B486" s="3" t="s">
        <v>485</v>
      </c>
      <c r="C486" s="3" t="str">
        <f>IFERROR(__xludf.DUMMYFUNCTION("GOOGLETRANSLATE(B486,""id"",""en"")"),"['', 'Tao']")</f>
        <v>['', 'Tao']</v>
      </c>
      <c r="D486" s="3">
        <v>3.0</v>
      </c>
    </row>
    <row r="487" ht="15.75" customHeight="1">
      <c r="A487" s="1">
        <v>521.0</v>
      </c>
      <c r="B487" s="3" t="s">
        <v>486</v>
      </c>
      <c r="C487" s="3" t="str">
        <f>IFERROR(__xludf.DUMMYFUNCTION("GOOGLETRANSLATE(B487,""id"",""en"")"),"['oath', 'network', 'gajelas', 'slow', 'pdhl', 'at home', 'paka', 'people']")</f>
        <v>['oath', 'network', 'gajelas', 'slow', 'pdhl', 'at home', 'paka', 'people']</v>
      </c>
      <c r="D487" s="3">
        <v>1.0</v>
      </c>
    </row>
    <row r="488" ht="15.75" customHeight="1">
      <c r="A488" s="1">
        <v>522.0</v>
      </c>
      <c r="B488" s="3" t="s">
        <v>487</v>
      </c>
      <c r="C488" s="3" t="str">
        <f>IFERROR(__xludf.DUMMYFUNCTION("GOOGLETRANSLATE(B488,""id"",""en"")"),"['Indihom', 'Indihom', 'disorder', 'already', 'stop', 'ISP']")</f>
        <v>['Indihom', 'Indihom', 'disorder', 'already', 'stop', 'ISP']</v>
      </c>
      <c r="D488" s="3">
        <v>1.0</v>
      </c>
    </row>
    <row r="489" ht="15.75" customHeight="1">
      <c r="A489" s="1">
        <v>523.0</v>
      </c>
      <c r="B489" s="3" t="s">
        <v>488</v>
      </c>
      <c r="C489" s="3" t="str">
        <f>IFERROR(__xludf.DUMMYFUNCTION("GOOGLETRANSLATE(B489,""id"",""en"")"),"['Disruption', 'Teross', 'compensation', 'kagak', 'dapet', 'Mbps', 'feels', 'Mbps', 'speed', 'internet', 'parahh']")</f>
        <v>['Disruption', 'Teross', 'compensation', 'kagak', 'dapet', 'Mbps', 'feels', 'Mbps', 'speed', 'internet', 'parahh']</v>
      </c>
      <c r="D489" s="3">
        <v>1.0</v>
      </c>
    </row>
    <row r="490" ht="15.75" customHeight="1">
      <c r="A490" s="1">
        <v>524.0</v>
      </c>
      <c r="B490" s="3" t="s">
        <v>489</v>
      </c>
      <c r="C490" s="3" t="str">
        <f>IFERROR(__xludf.DUMMYFUNCTION("GOOGLETRANSLATE(B490,""id"",""en"")"),"['love', 'star', 'ajj', 'service', 'response', 'UDH', 'interit', 'access',' ajj ',' lom ',' repair ',' disappointed ',' Indihomee ']")</f>
        <v>['love', 'star', 'ajj', 'service', 'response', 'UDH', 'interit', 'access',' ajj ',' lom ',' repair ',' disappointed ',' Indihomee ']</v>
      </c>
      <c r="D490" s="3">
        <v>1.0</v>
      </c>
    </row>
    <row r="491" ht="15.75" customHeight="1">
      <c r="A491" s="1">
        <v>525.0</v>
      </c>
      <c r="B491" s="3" t="s">
        <v>490</v>
      </c>
      <c r="C491" s="3" t="str">
        <f>IFERROR(__xludf.DUMMYFUNCTION("GOOGLETRANSLATE(B491,""id"",""en"")"),"['Give', 'Star', 'Love', 'Bintang', ""]")</f>
        <v>['Give', 'Star', 'Love', 'Bintang', "]</v>
      </c>
      <c r="D491" s="3">
        <v>1.0</v>
      </c>
    </row>
    <row r="492" ht="15.75" customHeight="1">
      <c r="A492" s="1">
        <v>526.0</v>
      </c>
      <c r="B492" s="3" t="s">
        <v>491</v>
      </c>
      <c r="C492" s="3" t="str">
        <f>IFERROR(__xludf.DUMMYFUNCTION("GOOGLETRANSLATE(B492,""id"",""en"")"),"['Support', 'responsive']")</f>
        <v>['Support', 'responsive']</v>
      </c>
      <c r="D492" s="3">
        <v>5.0</v>
      </c>
    </row>
    <row r="493" ht="15.75" customHeight="1">
      <c r="A493" s="1">
        <v>527.0</v>
      </c>
      <c r="B493" s="3" t="s">
        <v>492</v>
      </c>
      <c r="C493" s="3" t="str">
        <f>IFERROR(__xludf.DUMMYFUNCTION("GOOGLETRANSLATE(B493,""id"",""en"")"),"['Please', 'Disruption', 'Indihomen', 'Pay', 'discount']")</f>
        <v>['Please', 'Disruption', 'Indihomen', 'Pay', 'discount']</v>
      </c>
      <c r="D493" s="3">
        <v>1.0</v>
      </c>
    </row>
    <row r="494" ht="15.75" customHeight="1">
      <c r="A494" s="1">
        <v>528.0</v>
      </c>
      <c r="B494" s="3" t="s">
        <v>493</v>
      </c>
      <c r="C494" s="3" t="str">
        <f>IFERROR(__xludf.DUMMYFUNCTION("GOOGLETRANSLATE(B494,""id"",""en"")"),"['internet', 'normal', 'already', 'clock', 'wait', 'sorted out', 'move', 'biznet', ""]")</f>
        <v>['internet', 'normal', 'already', 'clock', 'wait', 'sorted out', 'move', 'biznet', "]</v>
      </c>
      <c r="D494" s="3">
        <v>1.0</v>
      </c>
    </row>
    <row r="495" ht="15.75" customHeight="1">
      <c r="A495" s="1">
        <v>529.0</v>
      </c>
      <c r="B495" s="3" t="s">
        <v>494</v>
      </c>
      <c r="C495" s="3" t="str">
        <f>IFERROR(__xludf.DUMMYFUNCTION("GOOGLETRANSLATE(B495,""id"",""en"")"),"['Enter', 'UDH', 'Heat', 'Repair']")</f>
        <v>['Enter', 'UDH', 'Heat', 'Repair']</v>
      </c>
      <c r="D495" s="3">
        <v>1.0</v>
      </c>
    </row>
    <row r="496" ht="15.75" customHeight="1">
      <c r="A496" s="1">
        <v>531.0</v>
      </c>
      <c r="B496" s="3" t="s">
        <v>495</v>
      </c>
      <c r="C496" s="3" t="str">
        <f>IFERROR(__xludf.DUMMYFUNCTION("GOOGLETRANSLATE(B496,""id"",""en"")"),"['Pay', 'told', 'late', 'get', 'fine', 'network', 'trauble', 'disappointing', 'reply', 'comen', 'system', 'operator', ' ']")</f>
        <v>['Pay', 'told', 'late', 'get', 'fine', 'network', 'trauble', 'disappointing', 'reply', 'comen', 'system', 'operator', ' ']</v>
      </c>
      <c r="D496" s="3">
        <v>1.0</v>
      </c>
    </row>
    <row r="497" ht="15.75" customHeight="1">
      <c r="A497" s="1">
        <v>533.0</v>
      </c>
      <c r="B497" s="3" t="s">
        <v>496</v>
      </c>
      <c r="C497" s="3" t="str">
        <f>IFERROR(__xludf.DUMMYFUNCTION("GOOGLETRANSLATE(B497,""id"",""en"")"),"['Terbimah', 'Love', 'Apikasih', 'Helpful', '']")</f>
        <v>['Terbimah', 'Love', 'Apikasih', 'Helpful', '']</v>
      </c>
      <c r="D497" s="3">
        <v>5.0</v>
      </c>
    </row>
    <row r="498" ht="15.75" customHeight="1">
      <c r="A498" s="1">
        <v>534.0</v>
      </c>
      <c r="B498" s="3" t="s">
        <v>497</v>
      </c>
      <c r="C498" s="3" t="str">
        <f>IFERROR(__xludf.DUMMYFUNCTION("GOOGLETRANSLATE(B498,""id"",""en"")"),"['number', 'service', 'koq', 'valid', 'mean', 'ngeselin', 'really', ""]")</f>
        <v>['number', 'service', 'koq', 'valid', 'mean', 'ngeselin', 'really', "]</v>
      </c>
      <c r="D498" s="3">
        <v>3.0</v>
      </c>
    </row>
    <row r="499" ht="15.75" customHeight="1">
      <c r="A499" s="1">
        <v>538.0</v>
      </c>
      <c r="B499" s="3" t="s">
        <v>498</v>
      </c>
      <c r="C499" s="3" t="str">
        <f>IFERROR(__xludf.DUMMYFUNCTION("GOOGLETRANSLATE(B499,""id"",""en"")"),"['repaired', 'service', 'internet', 'down', '']")</f>
        <v>['repaired', 'service', 'internet', 'down', '']</v>
      </c>
      <c r="D499" s="3">
        <v>1.0</v>
      </c>
    </row>
    <row r="500" ht="15.75" customHeight="1">
      <c r="A500" s="1">
        <v>539.0</v>
      </c>
      <c r="B500" s="3" t="s">
        <v>499</v>
      </c>
      <c r="C500" s="3" t="str">
        <f>IFERROR(__xludf.DUMMYFUNCTION("GOOGLETRANSLATE(B500,""id"",""en"")"),"['Disorders', 'Clock', 'compensation', '']")</f>
        <v>['Disorders', 'Clock', 'compensation', '']</v>
      </c>
      <c r="D500" s="3">
        <v>1.0</v>
      </c>
    </row>
    <row r="501" ht="15.75" customHeight="1">
      <c r="A501" s="1">
        <v>540.0</v>
      </c>
      <c r="B501" s="3" t="s">
        <v>500</v>
      </c>
      <c r="C501" s="3" t="str">
        <f>IFERROR(__xludf.DUMMYFUNCTION("GOOGLETRANSLATE(B501,""id"",""en"")"),"['Changing', 'Indihome', 'Disconnect', 'App', '']")</f>
        <v>['Changing', 'Indihome', 'Disconnect', 'App', '']</v>
      </c>
      <c r="D501" s="3">
        <v>5.0</v>
      </c>
    </row>
    <row r="502" ht="15.75" customHeight="1">
      <c r="A502" s="1">
        <v>541.0</v>
      </c>
      <c r="B502" s="3" t="s">
        <v>501</v>
      </c>
      <c r="C502" s="3" t="str">
        <f>IFERROR(__xludf.DUMMYFUNCTION("GOOGLETRANSLATE(B502,""id"",""en"")"),"['Severe', 'Speed', 'Mbps', 'Speed', 'Mbps']")</f>
        <v>['Severe', 'Speed', 'Mbps', 'Speed', 'Mbps']</v>
      </c>
      <c r="D502" s="3">
        <v>1.0</v>
      </c>
    </row>
    <row r="503" ht="15.75" customHeight="1">
      <c r="A503" s="1">
        <v>542.0</v>
      </c>
      <c r="B503" s="3" t="s">
        <v>502</v>
      </c>
      <c r="C503" s="3" t="str">
        <f>IFERROR(__xludf.DUMMYFUNCTION("GOOGLETRANSLATE(B503,""id"",""en"")"),"['Indihome', 'Severe', 'Amanah', 'Yesterday', 'Diksih', 'Bid', 'Mbps',' Reject ',' Karna ',' Mbps', 'Use', 'TPI', ' Forced ',' CMAN ',' Nambah ',' Money ',' Paid ',' Monthly ',' Try ',' Skli ',' Pay ',' GPP ',' Sya ',' Pay ',' WiFi ' , 'per month', 'per m"&amp;"onth', 'Sya', 'SDAH', 'Heavy', 'PPKM', 'Gini', 'Called', 'Night', 'The Network', 'Already', 'Error', ' Used ',' Searching ',' Please ',' Amanah ',' Costumer ',' TDAK ',' YSDAH ',' DUNURUNIN ',' QUALITY ',' Network ', ""]")</f>
        <v>['Indihome', 'Severe', 'Amanah', 'Yesterday', 'Diksih', 'Bid', 'Mbps',' Reject ',' Karna ',' Mbps', 'Use', 'TPI', ' Forced ',' CMAN ',' Nambah ',' Money ',' Paid ',' Monthly ',' Try ',' Skli ',' Pay ',' GPP ',' Sya ',' Pay ',' WiFi ' , 'per month', 'per month', 'Sya', 'SDAH', 'Heavy', 'PPKM', 'Gini', 'Called', 'Night', 'The Network', 'Already', 'Error', ' Used ',' Searching ',' Please ',' Amanah ',' Costumer ',' TDAK ',' YSDAH ',' DUNURUNIN ',' QUALITY ',' Network ', "]</v>
      </c>
      <c r="D503" s="3">
        <v>1.0</v>
      </c>
    </row>
    <row r="504" ht="15.75" customHeight="1">
      <c r="A504" s="1">
        <v>543.0</v>
      </c>
      <c r="B504" s="3" t="s">
        <v>503</v>
      </c>
      <c r="C504" s="3" t="str">
        <f>IFERROR(__xludf.DUMMYFUNCTION("GOOGLETRANSLATE(B504,""id"",""en"")"),"['slow', 'internetaa', 'astagfirullah', 'disorder', 'gimama', 'slow', 'parahhhhhhh']")</f>
        <v>['slow', 'internetaa', 'astagfirullah', 'disorder', 'gimama', 'slow', 'parahhhhhhh']</v>
      </c>
      <c r="D504" s="3">
        <v>1.0</v>
      </c>
    </row>
    <row r="505" ht="15.75" customHeight="1">
      <c r="A505" s="1">
        <v>544.0</v>
      </c>
      <c r="B505" s="3" t="s">
        <v>504</v>
      </c>
      <c r="C505" s="3" t="str">
        <f>IFERROR(__xludf.DUMMYFUNCTION("GOOGLETRANSLATE(B505,""id"",""en"")"),"['Improved', 'Service', 'Application', 'Login', 'Blocking', 'Speed', 'Internet', 'Down', 'Mbps', 'Browsing', 'No "",' Pay ',' Monthly ',' road ']")</f>
        <v>['Improved', 'Service', 'Application', 'Login', 'Blocking', 'Speed', 'Internet', 'Down', 'Mbps', 'Browsing', 'No ",' Pay ',' Monthly ',' road ']</v>
      </c>
      <c r="D505" s="3">
        <v>1.0</v>
      </c>
    </row>
    <row r="506" ht="15.75" customHeight="1">
      <c r="A506" s="1">
        <v>545.0</v>
      </c>
      <c r="B506" s="3" t="s">
        <v>505</v>
      </c>
      <c r="C506" s="3" t="str">
        <f>IFERROR(__xludf.DUMMYFUNCTION("GOOGLETRANSLATE(B506,""id"",""en"")"),"['Payment', 'Extension']")</f>
        <v>['Payment', 'Extension']</v>
      </c>
      <c r="D506" s="3">
        <v>4.0</v>
      </c>
    </row>
    <row r="507" ht="15.75" customHeight="1">
      <c r="A507" s="1">
        <v>546.0</v>
      </c>
      <c r="B507" s="3" t="s">
        <v>506</v>
      </c>
      <c r="C507" s="3" t="str">
        <f>IFERROR(__xludf.DUMMYFUNCTION("GOOGLETRANSLATE(B507,""id"",""en"")"),"['Experience', 'bitter', 'subscribe', 'Indihome', 'termination', 'subscription', 'times', 'folding', 'bills', 'pay', ""]")</f>
        <v>['Experience', 'bitter', 'subscribe', 'Indihome', 'termination', 'subscription', 'times', 'folding', 'bills', 'pay', "]</v>
      </c>
      <c r="D507" s="3">
        <v>1.0</v>
      </c>
    </row>
    <row r="508" ht="15.75" customHeight="1">
      <c r="A508" s="1">
        <v>547.0</v>
      </c>
      <c r="B508" s="3" t="s">
        <v>507</v>
      </c>
      <c r="C508" s="3" t="str">
        <f>IFERROR(__xludf.DUMMYFUNCTION("GOOGLETRANSLATE(B508,""id"",""en"")"),"['UDH', 'internet', 'slow', 'how', 'performance', 'UDH', 'report', 'work', 'Bener', 'pay', 'according to', 'service']")</f>
        <v>['UDH', 'internet', 'slow', 'how', 'performance', 'UDH', 'report', 'work', 'Bener', 'pay', 'according to', 'service']</v>
      </c>
      <c r="D508" s="3">
        <v>1.0</v>
      </c>
    </row>
    <row r="509" ht="15.75" customHeight="1">
      <c r="A509" s="1">
        <v>548.0</v>
      </c>
      <c r="B509" s="3" t="s">
        <v>508</v>
      </c>
      <c r="C509" s="3" t="str">
        <f>IFERROR(__xludf.DUMMYFUNCTION("GOOGLETRANSLATE(B509,""id"",""en"")"),"['Service', 'good', 'cs', 'ngak', 'sophisticated']")</f>
        <v>['Service', 'good', 'cs', 'ngak', 'sophisticated']</v>
      </c>
      <c r="D509" s="3">
        <v>1.0</v>
      </c>
    </row>
    <row r="510" ht="15.75" customHeight="1">
      <c r="A510" s="1">
        <v>549.0</v>
      </c>
      <c r="B510" s="3" t="s">
        <v>509</v>
      </c>
      <c r="C510" s="3" t="str">
        <f>IFERROR(__xludf.DUMMYFUNCTION("GOOGLETRANSLATE(B510,""id"",""en"")"),"['Please', 'fix']")</f>
        <v>['Please', 'fix']</v>
      </c>
      <c r="D510" s="3">
        <v>1.0</v>
      </c>
    </row>
    <row r="511" ht="15.75" customHeight="1">
      <c r="A511" s="1">
        <v>550.0</v>
      </c>
      <c r="B511" s="3" t="s">
        <v>510</v>
      </c>
      <c r="C511" s="3" t="str">
        <f>IFERROR(__xludf.DUMMYFUNCTION("GOOGLETRANSLATE(B511,""id"",""en"")"),"['Your Network', 'Gini', 'Late', 'Pay', 'Disconnect', 'Network', 'Leet', 'Cuman', 'Sorry', 'Delicious', 'Your Life', ""]")</f>
        <v>['Your Network', 'Gini', 'Late', 'Pay', 'Disconnect', 'Network', 'Leet', 'Cuman', 'Sorry', 'Delicious', 'Your Life', "]</v>
      </c>
      <c r="D511" s="3">
        <v>1.0</v>
      </c>
    </row>
    <row r="512" ht="15.75" customHeight="1">
      <c r="A512" s="1">
        <v>551.0</v>
      </c>
      <c r="B512" s="3" t="s">
        <v>511</v>
      </c>
      <c r="C512" s="3" t="str">
        <f>IFERROR(__xludf.DUMMYFUNCTION("GOOGLETRANSLATE(B512,""id"",""en"")"),"['Lemot', 'Please', 'Fix', '']")</f>
        <v>['Lemot', 'Please', 'Fix', '']</v>
      </c>
      <c r="D512" s="3">
        <v>3.0</v>
      </c>
    </row>
    <row r="513" ht="15.75" customHeight="1">
      <c r="A513" s="1">
        <v>552.0</v>
      </c>
      <c r="B513" s="3" t="s">
        <v>512</v>
      </c>
      <c r="C513" s="3" t="str">
        <f>IFERROR(__xludf.DUMMYFUNCTION("GOOGLETRANSLATE(B513,""id"",""en"")"),"['application', 'help', 'not', 'response', 'Please', 'sorry', 'grumble', 'rating', 'playstore', 'intention', 'masang', 'online' children ',' school ',' play ',' games', 'slow', 'wireles',' klw ',' pkai ',' data ',' provider ', ""]")</f>
        <v>['application', 'help', 'not', 'response', 'Please', 'sorry', 'grumble', 'rating', 'playstore', 'intention', 'masang', 'online' children ',' school ',' play ',' games', 'slow', 'wireles',' klw ',' pkai ',' data ',' provider ', "]</v>
      </c>
      <c r="D513" s="3">
        <v>1.0</v>
      </c>
    </row>
    <row r="514" ht="15.75" customHeight="1">
      <c r="A514" s="1">
        <v>553.0</v>
      </c>
      <c r="B514" s="3" t="s">
        <v>513</v>
      </c>
      <c r="C514" s="3" t="str">
        <f>IFERROR(__xludf.DUMMYFUNCTION("GOOGLETRANSLATE(B514,""id"",""en"")"),"['poor', 'payment', 'turn', 'trouble', 'service', 'help', 'responded', 'according to']")</f>
        <v>['poor', 'payment', 'turn', 'trouble', 'service', 'help', 'responded', 'according to']</v>
      </c>
      <c r="D514" s="3">
        <v>1.0</v>
      </c>
    </row>
    <row r="515" ht="15.75" customHeight="1">
      <c r="A515" s="1">
        <v>555.0</v>
      </c>
      <c r="B515" s="3" t="s">
        <v>514</v>
      </c>
      <c r="C515" s="3" t="str">
        <f>IFERROR(__xludf.DUMMYFUNCTION("GOOGLETRANSLATE(B515,""id"",""en"")"),"['Indihome', 'Care', 'Gapernah', 'Dibales', 'Payment', 'Disorders', 'Network', 'Disruption', 'Concensi']")</f>
        <v>['Indihome', 'Care', 'Gapernah', 'Dibales', 'Payment', 'Disorders', 'Network', 'Disruption', 'Concensi']</v>
      </c>
      <c r="D515" s="3">
        <v>1.0</v>
      </c>
    </row>
    <row r="516" ht="15.75" customHeight="1">
      <c r="A516" s="1">
        <v>556.0</v>
      </c>
      <c r="B516" s="3" t="s">
        <v>515</v>
      </c>
      <c r="C516" s="3" t="str">
        <f>IFERROR(__xludf.DUMMYFUNCTION("GOOGLETRANSLATE(B516,""id"",""en"")"),"['Week', 'Indihome', 'really', 'Error', 'Pay', 'Error', ""]")</f>
        <v>['Week', 'Indihome', 'really', 'Error', 'Pay', 'Error', "]</v>
      </c>
      <c r="D516" s="3">
        <v>1.0</v>
      </c>
    </row>
    <row r="517" ht="15.75" customHeight="1">
      <c r="A517" s="1">
        <v>557.0</v>
      </c>
      <c r="B517" s="3" t="s">
        <v>516</v>
      </c>
      <c r="C517" s="3" t="str">
        <f>IFERROR(__xludf.DUMMYFUNCTION("GOOGLETRANSLATE(B517,""id"",""en"")"),"['Lemottt']")</f>
        <v>['Lemottt']</v>
      </c>
      <c r="D517" s="3">
        <v>1.0</v>
      </c>
    </row>
    <row r="518" ht="15.75" customHeight="1">
      <c r="A518" s="1">
        <v>558.0</v>
      </c>
      <c r="B518" s="3" t="s">
        <v>517</v>
      </c>
      <c r="C518" s="3" t="str">
        <f>IFERROR(__xludf.DUMMYFUNCTION("GOOGLETRANSLATE(B518,""id"",""en"")"),"['slow', 'poll', '']")</f>
        <v>['slow', 'poll', '']</v>
      </c>
      <c r="D518" s="3">
        <v>1.0</v>
      </c>
    </row>
    <row r="519" ht="15.75" customHeight="1">
      <c r="A519" s="1">
        <v>559.0</v>
      </c>
      <c r="B519" s="3" t="s">
        <v>518</v>
      </c>
      <c r="C519" s="3" t="str">
        <f>IFERROR(__xludf.DUMMYFUNCTION("GOOGLETRANSLATE(B519,""id"",""en"")"),"['replace', 'email', 'ngak', 'use', 'email', 'registered', 'indihome', 'forget', 'password', 'email', 'registered', 'indihome', ' replace ',' email ',' code ',' OTP ',' sent ',' email ',' appears', 'notification', '']")</f>
        <v>['replace', 'email', 'ngak', 'use', 'email', 'registered', 'indihome', 'forget', 'password', 'email', 'registered', 'indihome', ' replace ',' email ',' code ',' OTP ',' sent ',' email ',' appears', 'notification', '']</v>
      </c>
      <c r="D519" s="3">
        <v>2.0</v>
      </c>
    </row>
    <row r="520" ht="15.75" customHeight="1">
      <c r="A520" s="1">
        <v>560.0</v>
      </c>
      <c r="B520" s="3" t="s">
        <v>519</v>
      </c>
      <c r="C520" s="3" t="str">
        <f>IFERROR(__xludf.DUMMYFUNCTION("GOOGLETRANSLATE(B520,""id"",""en"")"),"['version', 'newest', 'slow']")</f>
        <v>['version', 'newest', 'slow']</v>
      </c>
      <c r="D520" s="3">
        <v>2.0</v>
      </c>
    </row>
    <row r="521" ht="15.75" customHeight="1">
      <c r="A521" s="1">
        <v>561.0</v>
      </c>
      <c r="B521" s="3" t="s">
        <v>520</v>
      </c>
      <c r="C521" s="3" t="str">
        <f>IFERROR(__xludf.DUMMYFUNCTION("GOOGLETRANSLATE(B521,""id"",""en"")"),"['Respect', 'really', 'Indihome', 'Nerima', 'input', 'user', 'trying', 'as much', 'Peforma', 'best', 'star', 'deh', ' Waiter ',' Indihome ',' Star ',' Network ']")</f>
        <v>['Respect', 'really', 'Indihome', 'Nerima', 'input', 'user', 'trying', 'as much', 'Peforma', 'best', 'star', 'deh', ' Waiter ',' Indihome ',' Star ',' Network ']</v>
      </c>
      <c r="D521" s="3">
        <v>1.0</v>
      </c>
    </row>
    <row r="522" ht="15.75" customHeight="1">
      <c r="A522" s="1">
        <v>562.0</v>
      </c>
      <c r="B522" s="3" t="s">
        <v>521</v>
      </c>
      <c r="C522" s="3" t="str">
        <f>IFERROR(__xludf.DUMMYFUNCTION("GOOGLETRANSLATE(B522,""id"",""en"")"),"['Indihome', 'late', 'fine', 'internet', 'used', 'compensation', 'customers', '']")</f>
        <v>['Indihome', 'late', 'fine', 'internet', 'used', 'compensation', 'customers', '']</v>
      </c>
      <c r="D522" s="3">
        <v>1.0</v>
      </c>
    </row>
    <row r="523" ht="15.75" customHeight="1">
      <c r="A523" s="1">
        <v>563.0</v>
      </c>
      <c r="B523" s="3" t="s">
        <v>522</v>
      </c>
      <c r="C523" s="3" t="str">
        <f>IFERROR(__xludf.DUMMYFUNCTION("GOOGLETRANSLATE(B523,""id"",""en"")"),"['Trouble', 'Rampung', 'Rampung']")</f>
        <v>['Trouble', 'Rampung', 'Rampung']</v>
      </c>
      <c r="D523" s="3">
        <v>1.0</v>
      </c>
    </row>
    <row r="524" ht="15.75" customHeight="1">
      <c r="A524" s="1">
        <v>564.0</v>
      </c>
      <c r="B524" s="3" t="s">
        <v>523</v>
      </c>
      <c r="C524" s="3" t="str">
        <f>IFERROR(__xludf.DUMMYFUNCTION("GOOGLETRANSLATE(B524,""id"",""en"")"),"['cave', 'late', 'pay', 'wifi', 'cave', 'kayk', 'data', 'package', 'mb']")</f>
        <v>['cave', 'late', 'pay', 'wifi', 'cave', 'kayk', 'data', 'package', 'mb']</v>
      </c>
      <c r="D524" s="3">
        <v>1.0</v>
      </c>
    </row>
    <row r="525" ht="15.75" customHeight="1">
      <c r="A525" s="1">
        <v>565.0</v>
      </c>
      <c r="B525" s="3" t="s">
        <v>524</v>
      </c>
      <c r="C525" s="3" t="str">
        <f>IFERROR(__xludf.DUMMYFUNCTION("GOOGLETRANSLATE(B525,""id"",""en"")"),"['super', 'slow', 'slow', 'turn', 'disorder', 'slow', 'response', 'turn', 'late', 'pay', 'direct', 'block']")</f>
        <v>['super', 'slow', 'slow', 'turn', 'disorder', 'slow', 'response', 'turn', 'late', 'pay', 'direct', 'block']</v>
      </c>
      <c r="D525" s="3">
        <v>1.0</v>
      </c>
    </row>
    <row r="526" ht="15.75" customHeight="1">
      <c r="A526" s="1">
        <v>566.0</v>
      </c>
      <c r="B526" s="3" t="s">
        <v>525</v>
      </c>
      <c r="C526" s="3" t="str">
        <f>IFERROR(__xludf.DUMMYFUNCTION("GOOGLETRANSLATE(B526,""id"",""en"")"),"['', 'stable', 'Create', 'Game', 'RTO', 'Mulu', '']")</f>
        <v>['', 'stable', 'Create', 'Game', 'RTO', 'Mulu', '']</v>
      </c>
      <c r="D526" s="3">
        <v>1.0</v>
      </c>
    </row>
    <row r="527" ht="15.75" customHeight="1">
      <c r="A527" s="1">
        <v>567.0</v>
      </c>
      <c r="B527" s="3" t="s">
        <v>526</v>
      </c>
      <c r="C527" s="3" t="str">
        <f>IFERROR(__xludf.DUMMYFUNCTION("GOOGLETRANSLATE(B527,""id"",""en"")"),"['lag', 'really', 'fix', ""]")</f>
        <v>['lag', 'really', 'fix', "]</v>
      </c>
      <c r="D527" s="3">
        <v>2.0</v>
      </c>
    </row>
    <row r="528" ht="15.75" customHeight="1">
      <c r="A528" s="1">
        <v>568.0</v>
      </c>
      <c r="B528" s="3" t="s">
        <v>527</v>
      </c>
      <c r="C528" s="3" t="str">
        <f>IFERROR(__xludf.DUMMYFUNCTION("GOOGLETRANSLATE(B528,""id"",""en"")"),"['difficult', 'enter', 'application', 'complaint', 'internet', 'connective']")</f>
        <v>['difficult', 'enter', 'application', 'complaint', 'internet', 'connective']</v>
      </c>
      <c r="D528" s="3">
        <v>2.0</v>
      </c>
    </row>
    <row r="529" ht="15.75" customHeight="1">
      <c r="A529" s="1">
        <v>569.0</v>
      </c>
      <c r="B529" s="3" t="s">
        <v>528</v>
      </c>
      <c r="C529" s="3" t="str">
        <f>IFERROR(__xludf.DUMMYFUNCTION("GOOGLETRANSLATE(B529,""id"",""en"")"),"['handling', 'complaint']")</f>
        <v>['handling', 'complaint']</v>
      </c>
      <c r="D529" s="3">
        <v>1.0</v>
      </c>
    </row>
    <row r="530" ht="15.75" customHeight="1">
      <c r="A530" s="1">
        <v>570.0</v>
      </c>
      <c r="B530" s="3" t="s">
        <v>529</v>
      </c>
      <c r="C530" s="3" t="str">
        <f>IFERROR(__xludf.DUMMYFUNCTION("GOOGLETRANSLATE(B530,""id"",""en"")"),"['oath', 'lemoooooot', 'really', 'expensive', 'pay', 'wifi', 'open', 'application', 'light', 'difficult', '']")</f>
        <v>['oath', 'lemoooooot', 'really', 'expensive', 'pay', 'wifi', 'open', 'application', 'light', 'difficult', '']</v>
      </c>
      <c r="D530" s="3">
        <v>1.0</v>
      </c>
    </row>
    <row r="531" ht="15.75" customHeight="1">
      <c r="A531" s="1">
        <v>571.0</v>
      </c>
      <c r="B531" s="3" t="s">
        <v>530</v>
      </c>
      <c r="C531" s="3" t="str">
        <f>IFERROR(__xludf.DUMMYFUNCTION("GOOGLETRANSLATE(B531,""id"",""en"")"),"['Beheading', 'Pay', 'expensive', 'slow', 'mintk', 'forgiveness',' discount ',' style ',' doang ',' fast ',' whatya ',' fast ',' trouble ',' yes', 'mending', 'pakek', 'wifi', 'neighbor', 'expensive', 'guaranteed', '']")</f>
        <v>['Beheading', 'Pay', 'expensive', 'slow', 'mintk', 'forgiveness',' discount ',' style ',' doang ',' fast ',' whatya ',' fast ',' trouble ',' yes', 'mending', 'pakek', 'wifi', 'neighbor', 'expensive', 'guaranteed', '']</v>
      </c>
      <c r="D531" s="3">
        <v>1.0</v>
      </c>
    </row>
    <row r="532" ht="15.75" customHeight="1">
      <c r="A532" s="1">
        <v>572.0</v>
      </c>
      <c r="B532" s="3" t="s">
        <v>531</v>
      </c>
      <c r="C532" s="3" t="str">
        <f>IFERROR(__xludf.DUMMYFUNCTION("GOOGLETRANSLATE(B532,""id"",""en"")"),"['INDIHOME', 'Disruption', 'ugly', 'Wife']")</f>
        <v>['INDIHOME', 'Disruption', 'ugly', 'Wife']</v>
      </c>
      <c r="D532" s="3">
        <v>1.0</v>
      </c>
    </row>
    <row r="533" ht="15.75" customHeight="1">
      <c r="A533" s="1">
        <v>573.0</v>
      </c>
      <c r="B533" s="3" t="s">
        <v>532</v>
      </c>
      <c r="C533" s="3" t="str">
        <f>IFERROR(__xludf.DUMMYFUNCTION("GOOGLETRANSLATE(B533,""id"",""en"")"),"['Please', 'WiFi', 'Current', 'Open', 'Facebook', 'Loading', 'Minutes',' Please ',' Fix ',' The Network ',' Giamana ',' Login ',' Connect ',' wifi ',' because ',' failed ',' please ',' pay ',' late ',' signal ',' smooth ',' Kek ',' Gini ',' Disappointed '"&amp;",' right ' , '']")</f>
        <v>['Please', 'WiFi', 'Current', 'Open', 'Facebook', 'Loading', 'Minutes',' Please ',' Fix ',' The Network ',' Giamana ',' Login ',' Connect ',' wifi ',' because ',' failed ',' please ',' pay ',' late ',' signal ',' smooth ',' Kek ',' Gini ',' Disappointed ',' right ' , '']</v>
      </c>
      <c r="D533" s="3">
        <v>2.0</v>
      </c>
    </row>
    <row r="534" ht="15.75" customHeight="1">
      <c r="A534" s="1">
        <v>574.0</v>
      </c>
      <c r="B534" s="3" t="s">
        <v>533</v>
      </c>
      <c r="C534" s="3" t="str">
        <f>IFERROR(__xludf.DUMMYFUNCTION("GOOGLETRANSLATE(B534,""id"",""en"")"),"['disorder', 'Mbps', 'use', 'org', 'karuan', 'pay', 'garbage']")</f>
        <v>['disorder', 'Mbps', 'use', 'org', 'karuan', 'pay', 'garbage']</v>
      </c>
      <c r="D534" s="3">
        <v>1.0</v>
      </c>
    </row>
    <row r="535" ht="15.75" customHeight="1">
      <c r="A535" s="1">
        <v>575.0</v>
      </c>
      <c r="B535" s="3" t="s">
        <v>534</v>
      </c>
      <c r="C535" s="3" t="str">
        <f>IFERROR(__xludf.DUMMYFUNCTION("GOOGLETRANSLATE(B535,""id"",""en"")"),"['menu', 'complaint', 'service']")</f>
        <v>['menu', 'complaint', 'service']</v>
      </c>
      <c r="D535" s="3">
        <v>2.0</v>
      </c>
    </row>
    <row r="536" ht="15.75" customHeight="1">
      <c r="A536" s="1">
        <v>576.0</v>
      </c>
      <c r="B536" s="3" t="s">
        <v>535</v>
      </c>
      <c r="C536" s="3" t="str">
        <f>IFERROR(__xludf.DUMMYFUNCTION("GOOGLETRANSLATE(B536,""id"",""en"")"),"['', 'Best', 'streaming', 'game', 'online', 'expensive', 'slow', 'delay', 'ask', 'buffering', 'disappointed', 'Thanks',' Indi ',' Lay ',' Home ']")</f>
        <v>['', 'Best', 'streaming', 'game', 'online', 'expensive', 'slow', 'delay', 'ask', 'buffering', 'disappointed', 'Thanks',' Indi ',' Lay ',' Home ']</v>
      </c>
      <c r="D536" s="3">
        <v>1.0</v>
      </c>
    </row>
    <row r="537" ht="15.75" customHeight="1">
      <c r="A537" s="1">
        <v>577.0</v>
      </c>
      <c r="B537" s="3" t="s">
        <v>536</v>
      </c>
      <c r="C537" s="3" t="str">
        <f>IFERROR(__xludf.DUMMYFUNCTION("GOOGLETRANSLATE(B537,""id"",""en"")"),"['already', 'gini', 'Indihome', 'service', 'bad', 'connection', 'internet', 'disconnected', 'no' disorder ',' report ',' afraid ',' Customers', 'Lost', 'Should', 'Change', 'Service', 'Indihome', 'Depends',' Indihome ']")</f>
        <v>['already', 'gini', 'Indihome', 'service', 'bad', 'connection', 'internet', 'disconnected', 'no' disorder ',' report ',' afraid ',' Customers', 'Lost', 'Should', 'Change', 'Service', 'Indihome', 'Depends',' Indihome ']</v>
      </c>
      <c r="D537" s="3">
        <v>1.0</v>
      </c>
    </row>
    <row r="538" ht="15.75" customHeight="1">
      <c r="A538" s="1">
        <v>578.0</v>
      </c>
      <c r="B538" s="3" t="s">
        <v>537</v>
      </c>
      <c r="C538" s="3" t="str">
        <f>IFERROR(__xludf.DUMMYFUNCTION("GOOGLETRANSLATE(B538,""id"",""en"")"),"['fussy']")</f>
        <v>['fussy']</v>
      </c>
      <c r="D538" s="3">
        <v>1.0</v>
      </c>
    </row>
    <row r="539" ht="15.75" customHeight="1">
      <c r="A539" s="1">
        <v>579.0</v>
      </c>
      <c r="B539" s="3" t="s">
        <v>538</v>
      </c>
      <c r="C539" s="3" t="str">
        <f>IFERROR(__xludf.DUMMYFUNCTION("GOOGLETRANSLATE(B539,""id"",""en"")"),"['Network', 'application', 'slow']")</f>
        <v>['Network', 'application', 'slow']</v>
      </c>
      <c r="D539" s="3">
        <v>1.0</v>
      </c>
    </row>
    <row r="540" ht="15.75" customHeight="1">
      <c r="A540" s="1">
        <v>580.0</v>
      </c>
      <c r="B540" s="3" t="s">
        <v>539</v>
      </c>
      <c r="C540" s="3" t="str">
        <f>IFERROR(__xludf.DUMMYFUNCTION("GOOGLETRANSLATE(B540,""id"",""en"")"),"['Pay', 'bills',' appears', 'writing', 'error', 'system', 'operate', 'what', 'min', 'free', 'hahaha', 'already', ' Date ',' Pay ',' fine ',' Funny ',' get ',' fine ',' Gara ',' system ',' Error ',' sono ',' emang ',' get ',' fine ' , 'Take', 'device', 'ke"&amp;"ruma', 'min', 'stop', 'subscription']")</f>
        <v>['Pay', 'bills',' appears', 'writing', 'error', 'system', 'operate', 'what', 'min', 'free', 'hahaha', 'already', ' Date ',' Pay ',' fine ',' Funny ',' get ',' fine ',' Gara ',' system ',' Error ',' sono ',' emang ',' get ',' fine ' , 'Take', 'device', 'keruma', 'min', 'stop', 'subscription']</v>
      </c>
      <c r="D540" s="3">
        <v>2.0</v>
      </c>
    </row>
    <row r="541" ht="15.75" customHeight="1">
      <c r="A541" s="1">
        <v>581.0</v>
      </c>
      <c r="B541" s="3" t="s">
        <v>540</v>
      </c>
      <c r="C541" s="3" t="str">
        <f>IFERROR(__xludf.DUMMYFUNCTION("GOOGLETRANSLATE(B541,""id"",""en"")"),"['Application', 'Teremot', '']")</f>
        <v>['Application', 'Teremot', '']</v>
      </c>
      <c r="D541" s="3">
        <v>1.0</v>
      </c>
    </row>
    <row r="542" ht="15.75" customHeight="1">
      <c r="A542" s="1">
        <v>582.0</v>
      </c>
      <c r="B542" s="3" t="s">
        <v>541</v>
      </c>
      <c r="C542" s="3" t="str">
        <f>IFERROR(__xludf.DUMMYFUNCTION("GOOGLETRANSLATE(B542,""id"",""en"")"),"['Application', 'slow', 'Loading', 'Terosss']")</f>
        <v>['Application', 'slow', 'Loading', 'Terosss']</v>
      </c>
      <c r="D542" s="3">
        <v>1.0</v>
      </c>
    </row>
    <row r="543" ht="15.75" customHeight="1">
      <c r="A543" s="1">
        <v>583.0</v>
      </c>
      <c r="B543" s="3" t="s">
        <v>542</v>
      </c>
      <c r="C543" s="3" t="str">
        <f>IFERROR(__xludf.DUMMYFUNCTION("GOOGLETRANSLATE(B543,""id"",""en"")"),"['ticket', 'complaint', 'service', 'processed', 'entered', 'queue', 'features', 'mending', 'call', 'call', 'center']")</f>
        <v>['ticket', 'complaint', 'service', 'processed', 'entered', 'queue', 'features', 'mending', 'call', 'call', 'center']</v>
      </c>
      <c r="D543" s="3">
        <v>1.0</v>
      </c>
    </row>
    <row r="544" ht="15.75" customHeight="1">
      <c r="A544" s="1">
        <v>584.0</v>
      </c>
      <c r="B544" s="3" t="s">
        <v>543</v>
      </c>
      <c r="C544" s="3" t="str">
        <f>IFERROR(__xludf.DUMMYFUNCTION("GOOGLETRANSLATE(B544,""id"",""en"")"),"['Mas', 'Agus', 'What's', 'Cok', 'Season', '']")</f>
        <v>['Mas', 'Agus', 'What's', 'Cok', 'Season', '']</v>
      </c>
      <c r="D544" s="3">
        <v>1.0</v>
      </c>
    </row>
    <row r="545" ht="15.75" customHeight="1">
      <c r="A545" s="1">
        <v>585.0</v>
      </c>
      <c r="B545" s="3" t="s">
        <v>544</v>
      </c>
      <c r="C545" s="3" t="str">
        <f>IFERROR(__xludf.DUMMYFUNCTION("GOOGLETRANSLATE(B545,""id"",""en"")"),"['APP', 'Pulp', 'Verification', 'Different', 'Different', 'Version']")</f>
        <v>['APP', 'Pulp', 'Verification', 'Different', 'Different', 'Version']</v>
      </c>
      <c r="D545" s="3">
        <v>1.0</v>
      </c>
    </row>
    <row r="546" ht="15.75" customHeight="1">
      <c r="A546" s="1">
        <v>586.0</v>
      </c>
      <c r="B546" s="3" t="s">
        <v>545</v>
      </c>
      <c r="C546" s="3" t="str">
        <f>IFERROR(__xludf.DUMMYFUNCTION("GOOGLETRANSLATE(B546,""id"",""en"")"),"['Assalamualaikum', 'Code', 'Vertification', 'Nggk', 'Sent']")</f>
        <v>['Assalamualaikum', 'Code', 'Vertification', 'Nggk', 'Sent']</v>
      </c>
      <c r="D546" s="3">
        <v>2.0</v>
      </c>
    </row>
    <row r="547" ht="15.75" customHeight="1">
      <c r="A547" s="1">
        <v>587.0</v>
      </c>
      <c r="B547" s="3" t="s">
        <v>546</v>
      </c>
      <c r="C547" s="3" t="str">
        <f>IFERROR(__xludf.DUMMYFUNCTION("GOOGLETRANSLATE(B547,""id"",""en"")"),"['No "",' Change ',' Service ',' Network ',' Disconnect ',' Connect ',' Disconnect ',' Connect ',' Lemot ']")</f>
        <v>['No ",' Change ',' Service ',' Network ',' Disconnect ',' Connect ',' Disconnect ',' Connect ',' Lemot ']</v>
      </c>
      <c r="D547" s="3">
        <v>3.0</v>
      </c>
    </row>
    <row r="548" ht="15.75" customHeight="1">
      <c r="A548" s="1">
        <v>588.0</v>
      </c>
      <c r="B548" s="3" t="s">
        <v>547</v>
      </c>
      <c r="C548" s="3" t="str">
        <f>IFERROR(__xludf.DUMMYFUNCTION("GOOGLETRANSLATE(B548,""id"",""en"")"),"['Application', 'chaotic', 'gini', 'difficult', 'entry']")</f>
        <v>['Application', 'chaotic', 'gini', 'difficult', 'entry']</v>
      </c>
      <c r="D548" s="3">
        <v>1.0</v>
      </c>
    </row>
    <row r="549" ht="15.75" customHeight="1">
      <c r="A549" s="1">
        <v>589.0</v>
      </c>
      <c r="B549" s="3" t="s">
        <v>548</v>
      </c>
      <c r="C549" s="3" t="str">
        <f>IFERROR(__xludf.DUMMYFUNCTION("GOOGLETRANSLATE(B549,""id"",""en"")"),"['Disconnect', 'wifi', 'deh', 'kek', 'gini']")</f>
        <v>['Disconnect', 'wifi', 'deh', 'kek', 'gini']</v>
      </c>
      <c r="D549" s="3">
        <v>1.0</v>
      </c>
    </row>
    <row r="550" ht="15.75" customHeight="1">
      <c r="A550" s="1">
        <v>590.0</v>
      </c>
      <c r="B550" s="3" t="s">
        <v>549</v>
      </c>
      <c r="C550" s="3" t="str">
        <f>IFERROR(__xludf.DUMMYFUNCTION("GOOGLETRANSLATE(B550,""id"",""en"")"),"['internet', 'lambaaaattttttttttttttttttt', 'bill', 'mahalll', 'tod']")</f>
        <v>['internet', 'lambaaaattttttttttttttttttt', 'bill', 'mahalll', 'tod']</v>
      </c>
      <c r="D550" s="3">
        <v>1.0</v>
      </c>
    </row>
    <row r="551" ht="15.75" customHeight="1">
      <c r="A551" s="1">
        <v>591.0</v>
      </c>
      <c r="B551" s="3" t="s">
        <v>550</v>
      </c>
      <c r="C551" s="3" t="str">
        <f>IFERROR(__xludf.DUMMYFUNCTION("GOOGLETRANSLATE(B551,""id"",""en"")"),"['Pay', 'Doank', 'a month', 'rb', 'slow', 'watch', 'slow', 'severe', 'tip', 'watch', 'test', 'speed', ' Rich ',' sky ',' earth ',' promise ',' keep ',' according to ',' payment ',' installation ',' doank ',' lancaaaaarrr ',' udh ',' a year ',' yrs' , 'ric"&amp;"h', 'train', 'mogookk', 'hahahhaa', 'thanks', 'indihome', 'likes', 'salespeople', 'rmh', '']")</f>
        <v>['Pay', 'Doank', 'a month', 'rb', 'slow', 'watch', 'slow', 'severe', 'tip', 'watch', 'test', 'speed', ' Rich ',' sky ',' earth ',' promise ',' keep ',' according to ',' payment ',' installation ',' doank ',' lancaaaaarrr ',' udh ',' a year ',' yrs' , 'rich', 'train', 'mogookk', 'hahahhaa', 'thanks', 'indihome', 'likes', 'salespeople', 'rmh', '']</v>
      </c>
      <c r="D551" s="3">
        <v>1.0</v>
      </c>
    </row>
    <row r="552" ht="15.75" customHeight="1">
      <c r="A552" s="1">
        <v>592.0</v>
      </c>
      <c r="B552" s="3" t="s">
        <v>551</v>
      </c>
      <c r="C552" s="3" t="str">
        <f>IFERROR(__xludf.DUMMYFUNCTION("GOOGLETRANSLATE(B552,""id"",""en"")"),"['lemoooooooottttt', 'laaammaaaaaa', 'repair', '']")</f>
        <v>['lemoooooooottttt', 'laaammaaaaaa', 'repair', '']</v>
      </c>
      <c r="D552" s="3">
        <v>1.0</v>
      </c>
    </row>
    <row r="553" ht="15.75" customHeight="1">
      <c r="A553" s="1">
        <v>593.0</v>
      </c>
      <c r="B553" s="3" t="s">
        <v>552</v>
      </c>
      <c r="C553" s="3" t="str">
        <f>IFERROR(__xludf.DUMMYFUNCTION("GOOGLETRANSLATE(B553,""id"",""en"")"),"['report', 'complaints', 'all day', 'service', 'telephone']")</f>
        <v>['report', 'complaints', 'all day', 'service', 'telephone']</v>
      </c>
      <c r="D553" s="3">
        <v>1.0</v>
      </c>
    </row>
    <row r="554" ht="15.75" customHeight="1">
      <c r="A554" s="1">
        <v>594.0</v>
      </c>
      <c r="B554" s="3" t="s">
        <v>553</v>
      </c>
      <c r="C554" s="3" t="str">
        <f>IFERROR(__xludf.DUMMYFUNCTION("GOOGLETRANSLATE(B554,""id"",""en"")"),"['Application', 'Indihome', 'Login', 'appears', 'Description', 'Sorry', 'Request', 'Failed', 'Please', 'Do', 'Process', ""]")</f>
        <v>['Application', 'Indihome', 'Login', 'appears', 'Description', 'Sorry', 'Request', 'Failed', 'Please', 'Do', 'Process', "]</v>
      </c>
      <c r="D554" s="3">
        <v>1.0</v>
      </c>
    </row>
    <row r="555" ht="15.75" customHeight="1">
      <c r="A555" s="1">
        <v>595.0</v>
      </c>
      <c r="B555" s="3" t="s">
        <v>554</v>
      </c>
      <c r="C555" s="3" t="str">
        <f>IFERROR(__xludf.DUMMYFUNCTION("GOOGLETRANSLATE(B555,""id"",""en"")"),"['Pay', 'Bill', 'Enga', 'late', 'loss', 'fine']")</f>
        <v>['Pay', 'Bill', 'Enga', 'late', 'loss', 'fine']</v>
      </c>
      <c r="D555" s="3">
        <v>1.0</v>
      </c>
    </row>
    <row r="556" ht="15.75" customHeight="1">
      <c r="A556" s="1">
        <v>596.0</v>
      </c>
      <c r="B556" s="3" t="s">
        <v>555</v>
      </c>
      <c r="C556" s="3" t="str">
        <f>IFERROR(__xludf.DUMMYFUNCTION("GOOGLETRANSLATE(B556,""id"",""en"")"),"['broken']")</f>
        <v>['broken']</v>
      </c>
      <c r="D556" s="3">
        <v>1.0</v>
      </c>
    </row>
    <row r="557" ht="15.75" customHeight="1">
      <c r="A557" s="1">
        <v>597.0</v>
      </c>
      <c r="B557" s="3" t="s">
        <v>556</v>
      </c>
      <c r="C557" s="3" t="str">
        <f>IFERROR(__xludf.DUMMYFUNCTION("GOOGLETRANSLATE(B557,""id"",""en"")"),"['Pay', 'date', 'month', 'network', 'slow', 'get', 'fine', 'poor', ""]")</f>
        <v>['Pay', 'date', 'month', 'network', 'slow', 'get', 'fine', 'poor', "]</v>
      </c>
      <c r="D557" s="3">
        <v>1.0</v>
      </c>
    </row>
    <row r="558" ht="15.75" customHeight="1">
      <c r="A558" s="1">
        <v>598.0</v>
      </c>
      <c r="B558" s="3" t="s">
        <v>557</v>
      </c>
      <c r="C558" s="3" t="str">
        <f>IFERROR(__xludf.DUMMYFUNCTION("GOOGLETRANSLATE(B558,""id"",""en"")"),"['application', 'bapuk', 'ugly', 'slow', 'progress']")</f>
        <v>['application', 'bapuk', 'ugly', 'slow', 'progress']</v>
      </c>
      <c r="D558" s="3">
        <v>1.0</v>
      </c>
    </row>
    <row r="559" ht="15.75" customHeight="1">
      <c r="A559" s="1">
        <v>599.0</v>
      </c>
      <c r="B559" s="3" t="s">
        <v>558</v>
      </c>
      <c r="C559" s="3" t="str">
        <f>IFERROR(__xludf.DUMMYFUNCTION("GOOGLETRANSLATE(B559,""id"",""en"")"),"['Severe', 'Login', 'APK', 'Indihome', 'Code', 'Verification', 'SMS', 'Sent', 'Out', 'Many', '""]")</f>
        <v>['Severe', 'Login', 'APK', 'Indihome', 'Code', 'Verification', 'SMS', 'Sent', 'Out', 'Many', '"]</v>
      </c>
      <c r="D559" s="3">
        <v>1.0</v>
      </c>
    </row>
    <row r="560" ht="15.75" customHeight="1">
      <c r="A560" s="1">
        <v>600.0</v>
      </c>
      <c r="B560" s="3" t="s">
        <v>559</v>
      </c>
      <c r="C560" s="3" t="str">
        <f>IFERROR(__xludf.DUMMYFUNCTION("GOOGLETRANSLATE(B560,""id"",""en"")"),"['Peforma', 'bad', 'really', 'cook', 'company', 'improvement', 'really', 'professional', '']")</f>
        <v>['Peforma', 'bad', 'really', 'cook', 'company', 'improvement', 'really', 'professional', '']</v>
      </c>
      <c r="D560" s="3">
        <v>1.0</v>
      </c>
    </row>
    <row r="561" ht="15.75" customHeight="1">
      <c r="A561" s="1">
        <v>601.0</v>
      </c>
      <c r="B561" s="3" t="s">
        <v>560</v>
      </c>
      <c r="C561" s="3" t="str">
        <f>IFERROR(__xludf.DUMMYFUNCTION("GOOGLETRANSLATE(B561,""id"",""en"")"),"['Network', 'IndiHome', 'ugly', 'informasih', 'disorder', 'violated', 'indihome', 'delay', 'payment', 'since' since 'install', 'indihome', ' Disappointed ',' it works', 'Indihome', 'rich', 'Gini', 'Father', 'Disruption', 'Father', 'Please', 'Payment', 'Ne"&amp;"twork']")</f>
        <v>['Network', 'IndiHome', 'ugly', 'informasih', 'disorder', 'violated', 'indihome', 'delay', 'payment', 'since' since 'install', 'indihome', ' Disappointed ',' it works', 'Indihome', 'rich', 'Gini', 'Father', 'Disruption', 'Father', 'Please', 'Payment', 'Network']</v>
      </c>
      <c r="D561" s="3">
        <v>1.0</v>
      </c>
    </row>
    <row r="562" ht="15.75" customHeight="1">
      <c r="A562" s="1">
        <v>602.0</v>
      </c>
      <c r="B562" s="3" t="s">
        <v>561</v>
      </c>
      <c r="C562" s="3" t="str">
        <f>IFERROR(__xludf.DUMMYFUNCTION("GOOGLETRANSLATE(B562,""id"",""en"")"),"['Congratulations',' night ',' Indihome ',' Dear ',' Yesterday ',' Afternoon ',' Writing ',' Review ',' Internet ',' Indihome ',' Disappointed ',' Late ',' Pay ',' disconnect ',' connection ',' internet ',' mind ',' obstacle ',' indihome ',' disorder ',' "&amp;"forced ',' accept ',' where ',' internet ',' pay ' , 'loss', 'natural', 'aspects', 'income', '']")</f>
        <v>['Congratulations',' night ',' Indihome ',' Dear ',' Yesterday ',' Afternoon ',' Writing ',' Review ',' Internet ',' Indihome ',' Disappointed ',' Late ',' Pay ',' disconnect ',' connection ',' internet ',' mind ',' obstacle ',' indihome ',' disorder ',' forced ',' accept ',' where ',' internet ',' pay ' , 'loss', 'natural', 'aspects', 'income', '']</v>
      </c>
      <c r="D562" s="3">
        <v>1.0</v>
      </c>
    </row>
    <row r="563" ht="15.75" customHeight="1">
      <c r="A563" s="1">
        <v>604.0</v>
      </c>
      <c r="B563" s="3" t="s">
        <v>562</v>
      </c>
      <c r="C563" s="3" t="str">
        <f>IFERROR(__xludf.DUMMYFUNCTION("GOOGLETRANSLATE(B563,""id"",""en"")"),"['signal', 'rotten', 'repair', 'disappointing', '']")</f>
        <v>['signal', 'rotten', 'repair', 'disappointing', '']</v>
      </c>
      <c r="D563" s="3">
        <v>1.0</v>
      </c>
    </row>
    <row r="564" ht="15.75" customHeight="1">
      <c r="A564" s="1">
        <v>605.0</v>
      </c>
      <c r="B564" s="3" t="s">
        <v>563</v>
      </c>
      <c r="C564" s="3" t="str">
        <f>IFERROR(__xludf.DUMMYFUNCTION("GOOGLETRANSLATE(B564,""id"",""en"")"),"['Update', 'Good', 'Login', 'Please', 'Repaired', 'Consumer', 'Move', 'Heart', 'Quality', 'Decline', 'Late', 'Pay', ' Having ',' fine ',' class', 'Telkom', 'Sorry', 'Convensation', 'Hopefully', 'As soon as',' repaired ', ""]")</f>
        <v>['Update', 'Good', 'Login', 'Please', 'Repaired', 'Consumer', 'Move', 'Heart', 'Quality', 'Decline', 'Late', 'Pay', ' Having ',' fine ',' class', 'Telkom', 'Sorry', 'Convensation', 'Hopefully', 'As soon as',' repaired ', "]</v>
      </c>
      <c r="D564" s="3">
        <v>1.0</v>
      </c>
    </row>
    <row r="565" ht="15.75" customHeight="1">
      <c r="A565" s="1">
        <v>606.0</v>
      </c>
      <c r="B565" s="3" t="s">
        <v>564</v>
      </c>
      <c r="C565" s="3" t="str">
        <f>IFERROR(__xludf.DUMMYFUNCTION("GOOGLETRANSLATE(B565,""id"",""en"")"),"['how', 'progress', 'repair', 'clock']")</f>
        <v>['how', 'progress', 'repair', 'clock']</v>
      </c>
      <c r="D565" s="3">
        <v>1.0</v>
      </c>
    </row>
    <row r="566" ht="15.75" customHeight="1">
      <c r="A566" s="1">
        <v>607.0</v>
      </c>
      <c r="B566" s="3" t="s">
        <v>565</v>
      </c>
      <c r="C566" s="3" t="str">
        <f>IFERROR(__xludf.DUMMYFUNCTION("GOOGLETRANSLATE(B566,""id"",""en"")"),"['Gosh', 'installed', 'times',' Change ',' Sales', 'installed', 'Pay', 'Pay', 'MBanking', 'Pay', 'Alfamidi', 'Indomaret', ' Aleafamart ',' Karna ',' Most ',' Money ',' Indiehome ',' Weve ',' Troubled ',' Done ',' Pairs', 'Knp', 'said', 'Sales',' start ' ,"&amp;" 'Tide', 'knp', 'told', 'problematic', 'chase', 'target', 'detrimental', 'org', 'sek', 'Look', 'class',' BUMN ',' Kek ',' advanced ',' nation ', ""]")</f>
        <v>['Gosh', 'installed', 'times',' Change ',' Sales', 'installed', 'Pay', 'Pay', 'MBanking', 'Pay', 'Alfamidi', 'Indomaret', ' Aleafamart ',' Karna ',' Most ',' Money ',' Indiehome ',' Weve ',' Troubled ',' Done ',' Pairs', 'Knp', 'said', 'Sales',' start ' , 'Tide', 'knp', 'told', 'problematic', 'chase', 'target', 'detrimental', 'org', 'sek', 'Look', 'class',' BUMN ',' Kek ',' advanced ',' nation ', "]</v>
      </c>
      <c r="D566" s="3">
        <v>1.0</v>
      </c>
    </row>
    <row r="567" ht="15.75" customHeight="1">
      <c r="A567" s="1">
        <v>608.0</v>
      </c>
      <c r="B567" s="3" t="s">
        <v>566</v>
      </c>
      <c r="C567" s="3" t="str">
        <f>IFERROR(__xludf.DUMMYFUNCTION("GOOGLETRANSLATE(B567,""id"",""en"")"),"['register']")</f>
        <v>['register']</v>
      </c>
      <c r="D567" s="3">
        <v>1.0</v>
      </c>
    </row>
    <row r="568" ht="15.75" customHeight="1">
      <c r="A568" s="1">
        <v>609.0</v>
      </c>
      <c r="B568" s="3" t="s">
        <v>567</v>
      </c>
      <c r="C568" s="3" t="str">
        <f>IFERROR(__xludf.DUMMYFUNCTION("GOOGLETRANSLATE(B568,""id"",""en"")"),"['lag', 'lag', 'lag']")</f>
        <v>['lag', 'lag', 'lag']</v>
      </c>
      <c r="D568" s="3">
        <v>1.0</v>
      </c>
    </row>
    <row r="569" ht="15.75" customHeight="1">
      <c r="A569" s="1">
        <v>610.0</v>
      </c>
      <c r="B569" s="3" t="s">
        <v>568</v>
      </c>
      <c r="C569" s="3" t="str">
        <f>IFERROR(__xludf.DUMMYFUNCTION("GOOGLETRANSLATE(B569,""id"",""en"")"),"['application', 'heavy', 'muuuserrrr', 'mulu']")</f>
        <v>['application', 'heavy', 'muuuserrrr', 'mulu']</v>
      </c>
      <c r="D569" s="3">
        <v>1.0</v>
      </c>
    </row>
    <row r="570" ht="15.75" customHeight="1">
      <c r="A570" s="1">
        <v>611.0</v>
      </c>
      <c r="B570" s="3" t="s">
        <v>569</v>
      </c>
      <c r="C570" s="3" t="str">
        <f>IFERROR(__xludf.DUMMYFUNCTION("GOOGLETRANSLATE(B570,""id"",""en"")"),"['Ngellag', 'Woy', 'Network']")</f>
        <v>['Ngellag', 'Woy', 'Network']</v>
      </c>
      <c r="D570" s="3">
        <v>5.0</v>
      </c>
    </row>
    <row r="571" ht="15.75" customHeight="1">
      <c r="A571" s="1">
        <v>612.0</v>
      </c>
      <c r="B571" s="3" t="s">
        <v>570</v>
      </c>
      <c r="C571" s="3" t="str">
        <f>IFERROR(__xludf.DUMMYFUNCTION("GOOGLETRANSLATE(B571,""id"",""en"")"),"['Indihome', 'strange', 'deliberate', 'right', 'bill', 'date', 'disorder', 'pay', 'get', 'fine', 'pay', 'date', ' slow ',' cunning ',' ']")</f>
        <v>['Indihome', 'strange', 'deliberate', 'right', 'bill', 'date', 'disorder', 'pay', 'get', 'fine', 'pay', 'date', ' slow ',' cunning ',' ']</v>
      </c>
      <c r="D571" s="3">
        <v>1.0</v>
      </c>
    </row>
    <row r="572" ht="15.75" customHeight="1">
      <c r="A572" s="1">
        <v>613.0</v>
      </c>
      <c r="B572" s="3" t="s">
        <v>571</v>
      </c>
      <c r="C572" s="3" t="str">
        <f>IFERROR(__xludf.DUMMYFUNCTION("GOOGLETRANSLATE(B572,""id"",""en"")"),"['haduhhhh']")</f>
        <v>['haduhhhh']</v>
      </c>
      <c r="D572" s="3">
        <v>1.0</v>
      </c>
    </row>
    <row r="573" ht="15.75" customHeight="1">
      <c r="A573" s="1">
        <v>614.0</v>
      </c>
      <c r="B573" s="3" t="s">
        <v>572</v>
      </c>
      <c r="C573" s="3" t="str">
        <f>IFERROR(__xludf.DUMMYFUNCTION("GOOGLETRANSLATE(B573,""id"",""en"")"),"['Login', 'Myindihome', 'Hardy', 'Mampos', 'Ampunnnnn', 'Please', 'repaired', 'annoyed']")</f>
        <v>['Login', 'Myindihome', 'Hardy', 'Mampos', 'Ampunnnnn', 'Please', 'repaired', 'annoyed']</v>
      </c>
      <c r="D573" s="3">
        <v>1.0</v>
      </c>
    </row>
    <row r="574" ht="15.75" customHeight="1">
      <c r="A574" s="1">
        <v>615.0</v>
      </c>
      <c r="B574" s="3" t="s">
        <v>573</v>
      </c>
      <c r="C574" s="3" t="str">
        <f>IFERROR(__xludf.DUMMYFUNCTION("GOOGLETRANSLATE(B574,""id"",""en"")"),"['application', 'broken', '']")</f>
        <v>['application', 'broken', '']</v>
      </c>
      <c r="D574" s="3">
        <v>1.0</v>
      </c>
    </row>
    <row r="575" ht="15.75" customHeight="1">
      <c r="A575" s="1">
        <v>616.0</v>
      </c>
      <c r="B575" s="3" t="s">
        <v>574</v>
      </c>
      <c r="C575" s="3" t="str">
        <f>IFERROR(__xludf.DUMMYFUNCTION("GOOGLETRANSLATE(B575,""id"",""en"")"),"['at the time', 'Network', 'Indihome', 'Trouble', 'Called', 'Indihome', 'Offered', 'Upgrade', 'Package', 'Mbps',' Willing ',' Upgrade ',' Indihome ',' Mbps', 'Mbps',' LIKE ',' downgrade ',' forced ',' take ',' package ',' forced ',' try ',' ethics', 'Indi"&amp;"home', ""]")</f>
        <v>['at the time', 'Network', 'Indihome', 'Trouble', 'Called', 'Indihome', 'Offered', 'Upgrade', 'Package', 'Mbps',' Willing ',' Upgrade ',' Indihome ',' Mbps', 'Mbps',' LIKE ',' downgrade ',' forced ',' take ',' package ',' forced ',' try ',' ethics', 'Indihome', "]</v>
      </c>
      <c r="D575" s="3">
        <v>1.0</v>
      </c>
    </row>
    <row r="576" ht="15.75" customHeight="1">
      <c r="A576" s="1">
        <v>617.0</v>
      </c>
      <c r="B576" s="3" t="s">
        <v>575</v>
      </c>
      <c r="C576" s="3" t="str">
        <f>IFERROR(__xludf.DUMMYFUNCTION("GOOGLETRANSLATE(B576,""id"",""en"")"),"['GOBLOOOOOOOK', 'Trouble', 'Dipake', 'work', ""]")</f>
        <v>['GOBLOOOOOOOK', 'Trouble', 'Dipake', 'work', "]</v>
      </c>
      <c r="D576" s="3">
        <v>1.0</v>
      </c>
    </row>
    <row r="577" ht="15.75" customHeight="1">
      <c r="A577" s="1">
        <v>618.0</v>
      </c>
      <c r="B577" s="3" t="s">
        <v>576</v>
      </c>
      <c r="C577" s="3" t="str">
        <f>IFERROR(__xludf.DUMMYFUNCTION("GOOGLETRANSLATE(B577,""id"",""en"")"),"['Lemot', 'Bingit', 'Network', 'hurry', '']")</f>
        <v>['Lemot', 'Bingit', 'Network', 'hurry', '']</v>
      </c>
      <c r="D577" s="3">
        <v>2.0</v>
      </c>
    </row>
    <row r="578" ht="15.75" customHeight="1">
      <c r="A578" s="1">
        <v>619.0</v>
      </c>
      <c r="B578" s="3" t="s">
        <v>577</v>
      </c>
      <c r="C578" s="3" t="str">
        <f>IFERROR(__xludf.DUMMYFUNCTION("GOOGLETRANSLATE(B578,""id"",""en"")"),"['Kalimantan', 'Barito', 'Timur', 'Hamlet', 'Timur', 'Tamiang', 'Kite', 'Service', 'Ditamotiva', 'Cewe', 'Keep', 'Costumer', ' TPATX ',' AdminX ',' Kyakx ',' orgx ',' Welcome ',' arrogant ',' please ',' replaced ',' friendly ',' thank you ', ""]")</f>
        <v>['Kalimantan', 'Barito', 'Timur', 'Hamlet', 'Timur', 'Tamiang', 'Kite', 'Service', 'Ditamotiva', 'Cewe', 'Keep', 'Costumer', ' TPATX ',' AdminX ',' Kyakx ',' orgx ',' Welcome ',' arrogant ',' please ',' replaced ',' friendly ',' thank you ', "]</v>
      </c>
      <c r="D578" s="3">
        <v>1.0</v>
      </c>
    </row>
    <row r="579" ht="15.75" customHeight="1">
      <c r="A579" s="1">
        <v>620.0</v>
      </c>
      <c r="B579" s="3" t="s">
        <v>578</v>
      </c>
      <c r="C579" s="3" t="str">
        <f>IFERROR(__xludf.DUMMYFUNCTION("GOOGLETRANSLATE(B579,""id"",""en"")"),"['Please', 'Connection', 'Benerin', 'Disappointed']")</f>
        <v>['Please', 'Connection', 'Benerin', 'Disappointed']</v>
      </c>
      <c r="D579" s="3">
        <v>1.0</v>
      </c>
    </row>
    <row r="580" ht="15.75" customHeight="1">
      <c r="A580" s="1">
        <v>621.0</v>
      </c>
      <c r="B580" s="3" t="s">
        <v>579</v>
      </c>
      <c r="C580" s="3" t="str">
        <f>IFERROR(__xludf.DUMMYFUNCTION("GOOGLETRANSLATE(B580,""id"",""en"")"),"['Pay', 'Indo', 'March', 'Disruption', 'Pay', 'Mbanking', 'Disorders', 'Fall', 'Tempo', 'Tomorrow', 'Woii']")</f>
        <v>['Pay', 'Indo', 'March', 'Disruption', 'Pay', 'Mbanking', 'Disorders', 'Fall', 'Tempo', 'Tomorrow', 'Woii']</v>
      </c>
      <c r="D580" s="3">
        <v>2.0</v>
      </c>
    </row>
    <row r="581" ht="15.75" customHeight="1">
      <c r="A581" s="1">
        <v>622.0</v>
      </c>
      <c r="B581" s="3" t="s">
        <v>580</v>
      </c>
      <c r="C581" s="3" t="str">
        <f>IFERROR(__xludf.DUMMYFUNCTION("GOOGLETRANSLATE(B581,""id"",""en"")"),"['Login', 'difficult', 'Hadehh']")</f>
        <v>['Login', 'difficult', 'Hadehh']</v>
      </c>
      <c r="D581" s="3">
        <v>2.0</v>
      </c>
    </row>
    <row r="582" ht="15.75" customHeight="1">
      <c r="A582" s="1">
        <v>623.0</v>
      </c>
      <c r="B582" s="3" t="s">
        <v>581</v>
      </c>
      <c r="C582" s="3" t="str">
        <f>IFERROR(__xludf.DUMMYFUNCTION("GOOGLETRANSLATE(B582,""id"",""en"")"),"['Service', 'bad', 'disorder']")</f>
        <v>['Service', 'bad', 'disorder']</v>
      </c>
      <c r="D582" s="3">
        <v>1.0</v>
      </c>
    </row>
    <row r="583" ht="15.75" customHeight="1">
      <c r="A583" s="1">
        <v>624.0</v>
      </c>
      <c r="B583" s="3" t="s">
        <v>582</v>
      </c>
      <c r="C583" s="3" t="str">
        <f>IFERROR(__xludf.DUMMYFUNCTION("GOOGLETRANSLATE(B583,""id"",""en"")"),"['Application', 'slow']")</f>
        <v>['Application', 'slow']</v>
      </c>
      <c r="D583" s="3">
        <v>1.0</v>
      </c>
    </row>
    <row r="584" ht="15.75" customHeight="1">
      <c r="A584" s="1">
        <v>625.0</v>
      </c>
      <c r="B584" s="3" t="s">
        <v>583</v>
      </c>
      <c r="C584" s="3" t="str">
        <f>IFERROR(__xludf.DUMMYFUNCTION("GOOGLETRANSLATE(B584,""id"",""en"")"),"['Install', 'week', 'get', 'troble', 'clarity', 'normal', 'should', 'indihome', 'love', 'compensation', 'clock', 'normal']")</f>
        <v>['Install', 'week', 'get', 'troble', 'clarity', 'normal', 'should', 'indihome', 'love', 'compensation', 'clock', 'normal']</v>
      </c>
      <c r="D584" s="3">
        <v>1.0</v>
      </c>
    </row>
    <row r="585" ht="15.75" customHeight="1">
      <c r="A585" s="1">
        <v>626.0</v>
      </c>
      <c r="B585" s="3" t="s">
        <v>584</v>
      </c>
      <c r="C585" s="3" t="str">
        <f>IFERROR(__xludf.DUMMYFUNCTION("GOOGLETRANSLATE(B585,""id"",""en"")"),"['Dahlaa', 'Pay', 'Mahall', 'repairs',' send ',' data ',' plus', 'activity', 'suggestion', 'compensation', 'sorry', 'late', ' Pay, 'Sorry', 'reprimanded', '']")</f>
        <v>['Dahlaa', 'Pay', 'Mahall', 'repairs',' send ',' data ',' plus', 'activity', 'suggestion', 'compensation', 'sorry', 'late', ' Pay, 'Sorry', 'reprimanded', '']</v>
      </c>
      <c r="D585" s="3">
        <v>1.0</v>
      </c>
    </row>
    <row r="586" ht="15.75" customHeight="1">
      <c r="A586" s="1">
        <v>627.0</v>
      </c>
      <c r="B586" s="3" t="s">
        <v>585</v>
      </c>
      <c r="C586" s="3" t="str">
        <f>IFERROR(__xludf.DUMMYFUNCTION("GOOGLETRANSLATE(B586,""id"",""en"")"),"['version', 'Defect', 'Nga', 'Login', 'Fix', '']")</f>
        <v>['version', 'Defect', 'Nga', 'Login', 'Fix', '']</v>
      </c>
      <c r="D586" s="3">
        <v>1.0</v>
      </c>
    </row>
    <row r="587" ht="15.75" customHeight="1">
      <c r="A587" s="1">
        <v>628.0</v>
      </c>
      <c r="B587" s="3" t="s">
        <v>582</v>
      </c>
      <c r="C587" s="3" t="str">
        <f>IFERROR(__xludf.DUMMYFUNCTION("GOOGLETRANSLATE(B587,""id"",""en"")"),"['Application', 'slow']")</f>
        <v>['Application', 'slow']</v>
      </c>
      <c r="D587" s="3">
        <v>1.0</v>
      </c>
    </row>
    <row r="588" ht="15.75" customHeight="1">
      <c r="A588" s="1">
        <v>629.0</v>
      </c>
      <c r="B588" s="3" t="s">
        <v>586</v>
      </c>
      <c r="C588" s="3" t="str">
        <f>IFERROR(__xludf.DUMMYFUNCTION("GOOGLETRANSLATE(B588,""id"",""en"")"),"['Indihomo', 'Severe', 'Pay', 'Date', 'Direct', 'Disruption', 'Nunggak']")</f>
        <v>['Indihomo', 'Severe', 'Pay', 'Date', 'Direct', 'Disruption', 'Nunggak']</v>
      </c>
      <c r="D588" s="3">
        <v>1.0</v>
      </c>
    </row>
    <row r="589" ht="15.75" customHeight="1">
      <c r="A589" s="1">
        <v>630.0</v>
      </c>
      <c r="B589" s="3" t="s">
        <v>587</v>
      </c>
      <c r="C589" s="3" t="str">
        <f>IFERROR(__xludf.DUMMYFUNCTION("GOOGLETRANSLATE(B589,""id"",""en"")"),"['Please', 'The application', 'repaired', 'application', 'connection', 'enter', 'application', 'payment', 'rating', 'application', 'company', 'really', ' sad', '']")</f>
        <v>['Please', 'The application', 'repaired', 'application', 'connection', 'enter', 'application', 'payment', 'rating', 'application', 'company', 'really', ' sad', '']</v>
      </c>
      <c r="D589" s="3">
        <v>1.0</v>
      </c>
    </row>
    <row r="590" ht="15.75" customHeight="1">
      <c r="A590" s="1">
        <v>631.0</v>
      </c>
      <c r="B590" s="3" t="s">
        <v>588</v>
      </c>
      <c r="C590" s="3" t="str">
        <f>IFERROR(__xludf.DUMMYFUNCTION("GOOGLETRANSLATE(B590,""id"",""en"")"),"['stupid', 'the application', 'stupid', 'already', 'enter', 'code', 'OTP', 'repeat', 'times',' ttp ',' login ',' please ',' responded ',' complaint ']")</f>
        <v>['stupid', 'the application', 'stupid', 'already', 'enter', 'code', 'OTP', 'repeat', 'times',' ttp ',' login ',' please ',' responded ',' complaint ']</v>
      </c>
      <c r="D590" s="3">
        <v>1.0</v>
      </c>
    </row>
    <row r="591" ht="15.75" customHeight="1">
      <c r="A591" s="1">
        <v>632.0</v>
      </c>
      <c r="B591" s="3" t="s">
        <v>589</v>
      </c>
      <c r="C591" s="3" t="str">
        <f>IFERROR(__xludf.DUMMYFUNCTION("GOOGLETRANSLATE(B591,""id"",""en"")"),"['Difficult', 'really', 'entry', 'Please', 'Increase', 'Easy', 'Access', 'Entering', 'Lemot', 'Gemes']")</f>
        <v>['Difficult', 'really', 'entry', 'Please', 'Increase', 'Easy', 'Access', 'Entering', 'Lemot', 'Gemes']</v>
      </c>
      <c r="D591" s="3">
        <v>2.0</v>
      </c>
    </row>
    <row r="592" ht="15.75" customHeight="1">
      <c r="A592" s="1">
        <v>633.0</v>
      </c>
      <c r="B592" s="3" t="s">
        <v>590</v>
      </c>
      <c r="C592" s="3" t="str">
        <f>IFERROR(__xludf.DUMMYFUNCTION("GOOGLETRANSLATE(B592,""id"",""en"")"),"['The application', 'down', 'kah', 'access']")</f>
        <v>['The application', 'down', 'kah', 'access']</v>
      </c>
      <c r="D592" s="3">
        <v>3.0</v>
      </c>
    </row>
    <row r="593" ht="15.75" customHeight="1">
      <c r="A593" s="1">
        <v>634.0</v>
      </c>
      <c r="B593" s="3" t="s">
        <v>591</v>
      </c>
      <c r="C593" s="3" t="str">
        <f>IFERROR(__xludf.DUMMYFUNCTION("GOOGLETRANSLATE(B593,""id"",""en"")"),"['Pay', 'bills', 'smooth', 'internet', 'smooth', 'Trouble', 'Ouch', 'poor', 'replace', 'private']")</f>
        <v>['Pay', 'bills', 'smooth', 'internet', 'smooth', 'Trouble', 'Ouch', 'poor', 'replace', 'private']</v>
      </c>
      <c r="D593" s="3">
        <v>1.0</v>
      </c>
    </row>
    <row r="594" ht="15.75" customHeight="1">
      <c r="A594" s="1">
        <v>635.0</v>
      </c>
      <c r="B594" s="3" t="s">
        <v>592</v>
      </c>
      <c r="C594" s="3" t="str">
        <f>IFERROR(__xludf.DUMMYFUNCTION("GOOGLETRANSLATE(B594,""id"",""en"")"),"['bill', 'payment', 'internet', 'fast', 'really', 'send', 'email', 'complaint', 'service', 'application', 'difficult', 'beg', ' Sorry ',' improvement ',' service ',' Please ',' obstacles', 'lights',' indicators', 'appear', 'colored', 'red', 'handling', 's"&amp;"low', 'technician' , 'call', 'love', 'news', 'obstacle', 'where', 'repay', 'comfortable']")</f>
        <v>['bill', 'payment', 'internet', 'fast', 'really', 'send', 'email', 'complaint', 'service', 'application', 'difficult', 'beg', ' Sorry ',' improvement ',' service ',' Please ',' obstacles', 'lights',' indicators', 'appear', 'colored', 'red', 'handling', 'slow', 'technician' , 'call', 'love', 'news', 'obstacle', 'where', 'repay', 'comfortable']</v>
      </c>
      <c r="D594" s="3">
        <v>1.0</v>
      </c>
    </row>
    <row r="595" ht="15.75" customHeight="1">
      <c r="A595" s="1">
        <v>636.0</v>
      </c>
      <c r="B595" s="3" t="s">
        <v>593</v>
      </c>
      <c r="C595" s="3" t="str">
        <f>IFERROR(__xludf.DUMMYFUNCTION("GOOGLETRANSLATE(B595,""id"",""en"")"),"['Benerin', 'quality', 'internet', 'customer', 'late', 'pay', 'a day', 'fined', 'quality', 'internet', 'error', 'no', ' Compensation ',' Indihome ',' Severe ']")</f>
        <v>['Benerin', 'quality', 'internet', 'customer', 'late', 'pay', 'a day', 'fined', 'quality', 'internet', 'error', 'no', ' Compensation ',' Indihome ',' Severe ']</v>
      </c>
      <c r="D595" s="3">
        <v>1.0</v>
      </c>
    </row>
    <row r="596" ht="15.75" customHeight="1">
      <c r="A596" s="1">
        <v>637.0</v>
      </c>
      <c r="B596" s="3" t="s">
        <v>5</v>
      </c>
      <c r="C596" s="3" t="str">
        <f>IFERROR(__xludf.DUMMYFUNCTION("GOOGLETRANSLATE(B596,""id"",""en"")"),"['slow']")</f>
        <v>['slow']</v>
      </c>
      <c r="D596" s="3">
        <v>1.0</v>
      </c>
    </row>
    <row r="597" ht="15.75" customHeight="1">
      <c r="A597" s="1">
        <v>638.0</v>
      </c>
      <c r="B597" s="3" t="s">
        <v>594</v>
      </c>
      <c r="C597" s="3" t="str">
        <f>IFERROR(__xludf.DUMMYFUNCTION("GOOGLETRANSLATE(B597,""id"",""en"")"),"['upgrade', 'seamless', 'access']")</f>
        <v>['upgrade', 'seamless', 'access']</v>
      </c>
      <c r="D597" s="3">
        <v>1.0</v>
      </c>
    </row>
    <row r="598" ht="15.75" customHeight="1">
      <c r="A598" s="1">
        <v>639.0</v>
      </c>
      <c r="B598" s="3" t="s">
        <v>595</v>
      </c>
      <c r="C598" s="3" t="str">
        <f>IFERROR(__xludf.DUMMYFUNCTION("GOOGLETRANSLATE(B598,""id"",""en"")"),"['difficult', 'Login', 'Min', 'Wait', 'OTP', 'visits', 'dtang']")</f>
        <v>['difficult', 'Login', 'Min', 'Wait', 'OTP', 'visits', 'dtang']</v>
      </c>
      <c r="D598" s="3">
        <v>3.0</v>
      </c>
    </row>
    <row r="599" ht="15.75" customHeight="1">
      <c r="A599" s="1">
        <v>641.0</v>
      </c>
      <c r="B599" s="3" t="s">
        <v>596</v>
      </c>
      <c r="C599" s="3" t="str">
        <f>IFERROR(__xludf.DUMMYFUNCTION("GOOGLETRANSLATE(B599,""id"",""en"")"),"['Lemot', 'Satisfied']")</f>
        <v>['Lemot', 'Satisfied']</v>
      </c>
      <c r="D599" s="3">
        <v>1.0</v>
      </c>
    </row>
    <row r="600" ht="15.75" customHeight="1">
      <c r="A600" s="1">
        <v>642.0</v>
      </c>
      <c r="B600" s="3" t="s">
        <v>597</v>
      </c>
      <c r="C600" s="3" t="str">
        <f>IFERROR(__xludf.DUMMYFUNCTION("GOOGLETRANSLATE(B600,""id"",""en"")"),"['The application', 'slow', 'Sekahah', 'Provider', 'DKT', 'home', 'Move']")</f>
        <v>['The application', 'slow', 'Sekahah', 'Provider', 'DKT', 'home', 'Move']</v>
      </c>
      <c r="D600" s="3">
        <v>1.0</v>
      </c>
    </row>
    <row r="601" ht="15.75" customHeight="1">
      <c r="A601" s="1">
        <v>643.0</v>
      </c>
      <c r="B601" s="3" t="s">
        <v>598</v>
      </c>
      <c r="C601" s="3" t="str">
        <f>IFERROR(__xludf.DUMMYFUNCTION("GOOGLETRANSLATE(B601,""id"",""en"")"),"['Lemot', 'really', 'serious', 'service', 'customer']")</f>
        <v>['Lemot', 'really', 'serious', 'service', 'customer']</v>
      </c>
      <c r="D601" s="3">
        <v>1.0</v>
      </c>
    </row>
    <row r="602" ht="15.75" customHeight="1">
      <c r="A602" s="1">
        <v>644.0</v>
      </c>
      <c r="B602" s="3" t="s">
        <v>599</v>
      </c>
      <c r="C602" s="3" t="str">
        <f>IFERROR(__xludf.DUMMYFUNCTION("GOOGLETRANSLATE(B602,""id"",""en"")"),"['Nehhh', 'Package', 'Plus',' call ',' call ',' Dipakeee ',' Slalu ',' Complete ',' Bill ',' Muluuu ',' already ',' Pay ',' Plus', 'Tax', 'Plus',' telephone ',' The application ',' opened ',' Loading ',' Muluuu ', ""]")</f>
        <v>['Nehhh', 'Package', 'Plus',' call ',' call ',' Dipakeee ',' Slalu ',' Complete ',' Bill ',' Muluuu ',' already ',' Pay ',' Plus', 'Tax', 'Plus',' telephone ',' The application ',' opened ',' Loading ',' Muluuu ', "]</v>
      </c>
      <c r="D602" s="3">
        <v>1.0</v>
      </c>
    </row>
    <row r="603" ht="15.75" customHeight="1">
      <c r="A603" s="1">
        <v>645.0</v>
      </c>
      <c r="B603" s="3" t="s">
        <v>208</v>
      </c>
      <c r="C603" s="3" t="str">
        <f>IFERROR(__xludf.DUMMYFUNCTION("GOOGLETRANSLATE(B603,""id"",""en"")"),"['login']")</f>
        <v>['login']</v>
      </c>
      <c r="D603" s="3">
        <v>1.0</v>
      </c>
    </row>
    <row r="604" ht="15.75" customHeight="1">
      <c r="A604" s="1">
        <v>646.0</v>
      </c>
      <c r="B604" s="3" t="s">
        <v>600</v>
      </c>
      <c r="C604" s="3" t="str">
        <f>IFERROR(__xludf.DUMMYFUNCTION("GOOGLETRANSLATE(B604,""id"",""en"")"),"['Date', 'Pay', 'Bill', 'Error', 'Alfamart', 'Gopay', 'Disorders',' Please ',' Fix ',' yes', 'get', 'fine', ' tomorrow', '']")</f>
        <v>['Date', 'Pay', 'Bill', 'Error', 'Alfamart', 'Gopay', 'Disorders',' Please ',' Fix ',' yes', 'get', 'fine', ' tomorrow', '']</v>
      </c>
      <c r="D604" s="3">
        <v>1.0</v>
      </c>
    </row>
    <row r="605" ht="15.75" customHeight="1">
      <c r="A605" s="1">
        <v>647.0</v>
      </c>
      <c r="B605" s="3" t="s">
        <v>601</v>
      </c>
      <c r="C605" s="3" t="str">
        <f>IFERROR(__xludf.DUMMYFUNCTION("GOOGLETRANSLATE(B605,""id"",""en"")"),"['difficult', 'really', 'access', 'apk', 'indehome', 'please', 'fix it', 'star', 'progress']")</f>
        <v>['difficult', 'really', 'access', 'apk', 'indehome', 'please', 'fix it', 'star', 'progress']</v>
      </c>
      <c r="D605" s="3">
        <v>3.0</v>
      </c>
    </row>
    <row r="606" ht="15.75" customHeight="1">
      <c r="A606" s="1">
        <v>648.0</v>
      </c>
      <c r="B606" s="3" t="s">
        <v>602</v>
      </c>
      <c r="C606" s="3" t="str">
        <f>IFERROR(__xludf.DUMMYFUNCTION("GOOGLETRANSLATE(B606,""id"",""en"")"),"['Open', 'Application', 'Myindihome', 'Difficult', 'Loading', 'Leading', 'Use', 'Application', 'Indihome', 'Disruption', 'Network', 'Pay', ' monthly ',' discount ',' rates', 'normal', '']")</f>
        <v>['Open', 'Application', 'Myindihome', 'Difficult', 'Loading', 'Leading', 'Use', 'Application', 'Indihome', 'Disruption', 'Network', 'Pay', ' monthly ',' discount ',' rates', 'normal', '']</v>
      </c>
      <c r="D606" s="3">
        <v>5.0</v>
      </c>
    </row>
    <row r="607" ht="15.75" customHeight="1">
      <c r="A607" s="1">
        <v>649.0</v>
      </c>
      <c r="B607" s="3" t="s">
        <v>603</v>
      </c>
      <c r="C607" s="3" t="str">
        <f>IFERROR(__xludf.DUMMYFUNCTION("GOOGLETRANSLATE(B607,""id"",""en"")"),"['Update', 'ugly', 'application', 'pay', 'bill', 'no', 'dwnld', 'APK']")</f>
        <v>['Update', 'ugly', 'application', 'pay', 'bill', 'no', 'dwnld', 'APK']</v>
      </c>
      <c r="D607" s="3">
        <v>1.0</v>
      </c>
    </row>
    <row r="608" ht="15.75" customHeight="1">
      <c r="A608" s="1">
        <v>650.0</v>
      </c>
      <c r="B608" s="3" t="s">
        <v>604</v>
      </c>
      <c r="C608" s="3" t="str">
        <f>IFERROR(__xludf.DUMMYFUNCTION("GOOGLETRANSLATE(B608,""id"",""en"")"),"['Application', 'taek']")</f>
        <v>['Application', 'taek']</v>
      </c>
      <c r="D608" s="3">
        <v>1.0</v>
      </c>
    </row>
    <row r="609" ht="15.75" customHeight="1">
      <c r="A609" s="1">
        <v>651.0</v>
      </c>
      <c r="B609" s="3" t="s">
        <v>605</v>
      </c>
      <c r="C609" s="3" t="str">
        <f>IFERROR(__xludf.DUMMYFUNCTION("GOOGLETRANSLATE(B609,""id"",""en"")"),"['', 'Hamlet', 'Kwarasan', 'Nogotirto', 'Gamping', 'Sleman', 'Media', 'Network', 'Indihome', 'Leet', 'Current', ""]")</f>
        <v>['', 'Hamlet', 'Kwarasan', 'Nogotirto', 'Gamping', 'Sleman', 'Media', 'Network', 'Indihome', 'Leet', 'Current', "]</v>
      </c>
      <c r="D609" s="3">
        <v>1.0</v>
      </c>
    </row>
    <row r="610" ht="15.75" customHeight="1">
      <c r="A610" s="1">
        <v>652.0</v>
      </c>
      <c r="B610" s="3" t="s">
        <v>606</v>
      </c>
      <c r="C610" s="3" t="str">
        <f>IFERROR(__xludf.DUMMYFUNCTION("GOOGLETRANSLATE(B610,""id"",""en"")"),"['Gausah', 'Sorry', 'Ganguan', 'Natural', 'Busy', 'Sorry', 'Customer', 'Mending', 'Fix', 'Network', ""]")</f>
        <v>['Gausah', 'Sorry', 'Ganguan', 'Natural', 'Busy', 'Sorry', 'Customer', 'Mending', 'Fix', 'Network', "]</v>
      </c>
      <c r="D610" s="3">
        <v>1.0</v>
      </c>
    </row>
    <row r="611" ht="15.75" customHeight="1">
      <c r="A611" s="1">
        <v>653.0</v>
      </c>
      <c r="B611" s="3" t="s">
        <v>607</v>
      </c>
      <c r="C611" s="3" t="str">
        <f>IFERROR(__xludf.DUMMYFUNCTION("GOOGLETRANSLATE(B611,""id"",""en"")"),"['The network', 'slow', 'bangett', 'detrimental']")</f>
        <v>['The network', 'slow', 'bangett', 'detrimental']</v>
      </c>
      <c r="D611" s="3">
        <v>1.0</v>
      </c>
    </row>
    <row r="612" ht="15.75" customHeight="1">
      <c r="A612" s="1">
        <v>654.0</v>
      </c>
      <c r="B612" s="3" t="s">
        <v>608</v>
      </c>
      <c r="C612" s="3" t="str">
        <f>IFERROR(__xludf.DUMMYFUNCTION("GOOGLETRANSLATE(B612,""id"",""en"")"),"['difficult', 'access',' complain ',' disruption ',' Twitter ',' Response ',' Application ',' Difficult ',' Open ',' Loading ',' Turn ',' Bill ',' Appearing ',' email ',' Kitanya ',' complain ',' responded ',' ']")</f>
        <v>['difficult', 'access',' complain ',' disruption ',' Twitter ',' Response ',' Application ',' Difficult ',' Open ',' Loading ',' Turn ',' Bill ',' Appearing ',' email ',' Kitanya ',' complain ',' responded ',' ']</v>
      </c>
      <c r="D612" s="3">
        <v>1.0</v>
      </c>
    </row>
    <row r="613" ht="15.75" customHeight="1">
      <c r="A613" s="1">
        <v>655.0</v>
      </c>
      <c r="B613" s="3" t="s">
        <v>609</v>
      </c>
      <c r="C613" s="3" t="str">
        <f>IFERROR(__xludf.DUMMYFUNCTION("GOOGLETRANSLATE(B613,""id"",""en"")"),"['application', 'open', 'Mulu', 'already', 'network', 'wifi', 'indihome', 'deadline', 'payment', 'how', 'pay', 'the application', ' Open ',' ']")</f>
        <v>['application', 'open', 'Mulu', 'already', 'network', 'wifi', 'indihome', 'deadline', 'payment', 'how', 'pay', 'the application', ' Open ',' ']</v>
      </c>
      <c r="D613" s="3">
        <v>1.0</v>
      </c>
    </row>
    <row r="614" ht="15.75" customHeight="1">
      <c r="A614" s="1">
        <v>656.0</v>
      </c>
      <c r="B614" s="3" t="s">
        <v>610</v>
      </c>
      <c r="C614" s="3" t="str">
        <f>IFERROR(__xludf.DUMMYFUNCTION("GOOGLETRANSLATE(B614,""id"",""en"")"),"['application', 'complaint', 'poor', 'really', 'telkom', 'replace', 'provider']")</f>
        <v>['application', 'complaint', 'poor', 'really', 'telkom', 'replace', 'provider']</v>
      </c>
      <c r="D614" s="3">
        <v>1.0</v>
      </c>
    </row>
    <row r="615" ht="15.75" customHeight="1">
      <c r="A615" s="1">
        <v>657.0</v>
      </c>
      <c r="B615" s="3" t="s">
        <v>611</v>
      </c>
      <c r="C615" s="3" t="str">
        <f>IFERROR(__xludf.DUMMYFUNCTION("GOOGLETRANSLATE(B615,""id"",""en"")"),"['pay', 'bill', 'indihome', '']")</f>
        <v>['pay', 'bill', 'indihome', '']</v>
      </c>
      <c r="D615" s="3">
        <v>3.0</v>
      </c>
    </row>
    <row r="616" ht="15.75" customHeight="1">
      <c r="A616" s="1">
        <v>658.0</v>
      </c>
      <c r="B616" s="3" t="s">
        <v>612</v>
      </c>
      <c r="C616" s="3" t="str">
        <f>IFERROR(__xludf.DUMMYFUNCTION("GOOGLETRANSLATE(B616,""id"",""en"")"),"['SERES', 'INDIHOME', 'Disruption', 'Needed', 'Pay', 'Network', 'Error', 'Indihome', 'Taunya', 'Fines', 'Complaints', 'Customer']")</f>
        <v>['SERES', 'INDIHOME', 'Disruption', 'Needed', 'Pay', 'Network', 'Error', 'Indihome', 'Taunya', 'Fines', 'Complaints', 'Customer']</v>
      </c>
      <c r="D616" s="3">
        <v>1.0</v>
      </c>
    </row>
    <row r="617" ht="15.75" customHeight="1">
      <c r="A617" s="1">
        <v>659.0</v>
      </c>
      <c r="B617" s="3" t="s">
        <v>613</v>
      </c>
      <c r="C617" s="3" t="str">
        <f>IFERROR(__xludf.DUMMYFUNCTION("GOOGLETRANSLATE(B617,""id"",""en"")"),"['Application', 'Oerban']")</f>
        <v>['Application', 'Oerban']</v>
      </c>
      <c r="D617" s="3">
        <v>1.0</v>
      </c>
    </row>
    <row r="618" ht="15.75" customHeight="1">
      <c r="A618" s="1">
        <v>660.0</v>
      </c>
      <c r="B618" s="3" t="s">
        <v>614</v>
      </c>
      <c r="C618" s="3" t="str">
        <f>IFERROR(__xludf.DUMMYFUNCTION("GOOGLETRANSLATE(B618,""id"",""en"")"),"['Dear', 'Indihome', 'Game', 'Loading', 'then' told ',' log ',' out ',' ping ',' green ',' emotion ',' experience ',' Similaraaaa ',' just ',' wifi ',' slow ',' below ',' ']")</f>
        <v>['Dear', 'Indihome', 'Game', 'Loading', 'then' told ',' log ',' out ',' ping ',' green ',' emotion ',' experience ',' Similaraaaa ',' just ',' wifi ',' slow ',' below ',' ']</v>
      </c>
      <c r="D618" s="3">
        <v>2.0</v>
      </c>
    </row>
    <row r="619" ht="15.75" customHeight="1">
      <c r="A619" s="1">
        <v>661.0</v>
      </c>
      <c r="B619" s="3" t="s">
        <v>615</v>
      </c>
      <c r="C619" s="3" t="str">
        <f>IFERROR(__xludf.DUMMYFUNCTION("GOOGLETRANSLATE(B619,""id"",""en"")"),"['Pay', 'Alfa', 'date', 'date', 'enter', 'office', 'indihome', 'disconnected', 'here', 'phone', 'alpha', ""]")</f>
        <v>['Pay', 'Alfa', 'date', 'date', 'enter', 'office', 'indihome', 'disconnected', 'here', 'phone', 'alpha', "]</v>
      </c>
      <c r="D619" s="3">
        <v>1.0</v>
      </c>
    </row>
    <row r="620" ht="15.75" customHeight="1">
      <c r="A620" s="1">
        <v>662.0</v>
      </c>
      <c r="B620" s="3" t="s">
        <v>616</v>
      </c>
      <c r="C620" s="3" t="str">
        <f>IFERROR(__xludf.DUMMYFUNCTION("GOOGLETRANSLATE(B620,""id"",""en"")"),"['Email', 'Application', 'Indihome', 'Registered', 'Application', 'Yesterday', 'Open', 'Application', 'Email', 'Sticked']")</f>
        <v>['Email', 'Application', 'Indihome', 'Registered', 'Application', 'Yesterday', 'Open', 'Application', 'Email', 'Sticked']</v>
      </c>
      <c r="D620" s="3">
        <v>3.0</v>
      </c>
    </row>
    <row r="621" ht="15.75" customHeight="1">
      <c r="A621" s="1">
        <v>663.0</v>
      </c>
      <c r="B621" s="3" t="s">
        <v>617</v>
      </c>
      <c r="C621" s="3" t="str">
        <f>IFERROR(__xludf.DUMMYFUNCTION("GOOGLETRANSLATE(B621,""id"",""en"")"),"['WOI', 'WIFI', 'Ngelaaag']")</f>
        <v>['WOI', 'WIFI', 'Ngelaaag']</v>
      </c>
      <c r="D621" s="3">
        <v>1.0</v>
      </c>
    </row>
    <row r="622" ht="15.75" customHeight="1">
      <c r="A622" s="1">
        <v>664.0</v>
      </c>
      <c r="B622" s="3" t="s">
        <v>618</v>
      </c>
      <c r="C622" s="3" t="str">
        <f>IFERROR(__xludf.DUMMYFUNCTION("GOOGLETRANSLATE(B622,""id"",""en"")"),"['LEG', 'Beware', 'Lho', 'rivals',' BUMN ',' Next ',' Flag ',' Fear ',' Customer ',' Move ',' Level ',' Service ',' Doong ',' level ',' price ',' Doang ',' ']")</f>
        <v>['LEG', 'Beware', 'Lho', 'rivals',' BUMN ',' Next ',' Flag ',' Fear ',' Customer ',' Move ',' Level ',' Service ',' Doong ',' level ',' price ',' Doang ',' ']</v>
      </c>
      <c r="D622" s="3">
        <v>2.0</v>
      </c>
    </row>
    <row r="623" ht="15.75" customHeight="1">
      <c r="A623" s="1">
        <v>665.0</v>
      </c>
      <c r="B623" s="3" t="s">
        <v>619</v>
      </c>
      <c r="C623" s="3" t="str">
        <f>IFERROR(__xludf.DUMMYFUNCTION("GOOGLETRANSLATE(B623,""id"",""en"")"),"['Busuuukkk', 'Pay', 'connection', 'Nambah', 'yes', 'exhausted', 'really', 'truweluuu', 'sirimu']")</f>
        <v>['Busuuukkk', 'Pay', 'connection', 'Nambah', 'yes', 'exhausted', 'really', 'truweluuu', 'sirimu']</v>
      </c>
      <c r="D623" s="3">
        <v>1.0</v>
      </c>
    </row>
    <row r="624" ht="15.75" customHeight="1">
      <c r="A624" s="1">
        <v>666.0</v>
      </c>
      <c r="B624" s="3" t="s">
        <v>620</v>
      </c>
      <c r="C624" s="3" t="str">
        <f>IFERROR(__xludf.DUMMYFUNCTION("GOOGLETRANSLATE(B624,""id"",""en"")"),"['service', 'rotten', 'pay', 'difficult', 'tomorrow', 'udh', 'fall', 'tempo', 'date', 'pay', 'disorder']")</f>
        <v>['service', 'rotten', 'pay', 'difficult', 'tomorrow', 'udh', 'fall', 'tempo', 'date', 'pay', 'disorder']</v>
      </c>
      <c r="D624" s="3">
        <v>1.0</v>
      </c>
    </row>
    <row r="625" ht="15.75" customHeight="1">
      <c r="A625" s="1">
        <v>667.0</v>
      </c>
      <c r="B625" s="3" t="s">
        <v>621</v>
      </c>
      <c r="C625" s="3" t="str">
        <f>IFERROR(__xludf.DUMMYFUNCTION("GOOGLETRANSLATE(B625,""id"",""en"")"),"['Bug']")</f>
        <v>['Bug']</v>
      </c>
      <c r="D625" s="3">
        <v>1.0</v>
      </c>
    </row>
    <row r="626" ht="15.75" customHeight="1">
      <c r="A626" s="1">
        <v>668.0</v>
      </c>
      <c r="B626" s="3" t="s">
        <v>622</v>
      </c>
      <c r="C626" s="3" t="str">
        <f>IFERROR(__xludf.DUMMYFUNCTION("GOOGLETRANSLATE(B626,""id"",""en"")"),"['Display', 'Myindihome', 'Different', 'already', 'slow', 'difficult', 'Indihome', 'newest', 'difficult', 'slow', 'learn', 'application', ' Latest ',' LEG ']")</f>
        <v>['Display', 'Myindihome', 'Different', 'already', 'slow', 'difficult', 'Indihome', 'newest', 'difficult', 'slow', 'learn', 'application', ' Latest ',' LEG ']</v>
      </c>
      <c r="D626" s="3">
        <v>1.0</v>
      </c>
    </row>
    <row r="627" ht="15.75" customHeight="1">
      <c r="A627" s="1">
        <v>669.0</v>
      </c>
      <c r="B627" s="3" t="s">
        <v>623</v>
      </c>
      <c r="C627" s="3" t="str">
        <f>IFERROR(__xludf.DUMMYFUNCTION("GOOGLETRANSLATE(B627,""id"",""en"")"),"['Severe', 'Devloer', 'Disruption', 'Application']")</f>
        <v>['Severe', 'Devloer', 'Disruption', 'Application']</v>
      </c>
      <c r="D627" s="3">
        <v>2.0</v>
      </c>
    </row>
    <row r="628" ht="15.75" customHeight="1">
      <c r="A628" s="1">
        <v>671.0</v>
      </c>
      <c r="B628" s="3" t="s">
        <v>624</v>
      </c>
      <c r="C628" s="3" t="str">
        <f>IFERROR(__xludf.DUMMYFUNCTION("GOOGLETRANSLATE(B628,""id"",""en"")"),"['Ngatasin', 'improvement', 'yesterday', 'wifi', 'because' work ',' at home ',' school ',' child ',' wonder ']")</f>
        <v>['Ngatasin', 'improvement', 'yesterday', 'wifi', 'because' work ',' at home ',' school ',' child ',' wonder ']</v>
      </c>
      <c r="D628" s="3">
        <v>1.0</v>
      </c>
    </row>
    <row r="629" ht="15.75" customHeight="1">
      <c r="A629" s="1">
        <v>672.0</v>
      </c>
      <c r="B629" s="3" t="s">
        <v>625</v>
      </c>
      <c r="C629" s="3" t="str">
        <f>IFERROR(__xludf.DUMMYFUNCTION("GOOGLETRANSLATE(B629,""id"",""en"")"),"['The application', 'Telalu', 'ugly', 'classmate', 'company', 'like', 'Telkom', ""]")</f>
        <v>['The application', 'Telalu', 'ugly', 'classmate', 'company', 'like', 'Telkom', "]</v>
      </c>
      <c r="D629" s="3">
        <v>1.0</v>
      </c>
    </row>
    <row r="630" ht="15.75" customHeight="1">
      <c r="A630" s="1">
        <v>673.0</v>
      </c>
      <c r="B630" s="3" t="s">
        <v>626</v>
      </c>
      <c r="C630" s="3" t="str">
        <f>IFERROR(__xludf.DUMMYFUNCTION("GOOGLETRANSLATE(B630,""id"",""en"")"),"['Please', 'repaired', 'broke', 'wifi', 'pay', 'bill', 'please']")</f>
        <v>['Please', 'repaired', 'broke', 'wifi', 'pay', 'bill', 'please']</v>
      </c>
      <c r="D630" s="3">
        <v>2.0</v>
      </c>
    </row>
    <row r="631" ht="15.75" customHeight="1">
      <c r="A631" s="1">
        <v>674.0</v>
      </c>
      <c r="B631" s="3" t="s">
        <v>627</v>
      </c>
      <c r="C631" s="3" t="str">
        <f>IFERROR(__xludf.DUMMYFUNCTION("GOOGLETRANSLATE(B631,""id"",""en"")"),"['Indihome', 'Telkomsel', 'chaotic', 'expect', 'Pay', 'Package', 'Telkomsel', 'use']")</f>
        <v>['Indihome', 'Telkomsel', 'chaotic', 'expect', 'Pay', 'Package', 'Telkomsel', 'use']</v>
      </c>
      <c r="D631" s="3">
        <v>1.0</v>
      </c>
    </row>
    <row r="632" ht="15.75" customHeight="1">
      <c r="A632" s="1">
        <v>675.0</v>
      </c>
      <c r="B632" s="3" t="s">
        <v>628</v>
      </c>
      <c r="C632" s="3" t="str">
        <f>IFERROR(__xludf.DUMMYFUNCTION("GOOGLETRANSLATE(B632,""id"",""en"")"),"['Speed', 'Internet', 'Indihome', 'Request', 'Upgrade', 'Pay', 'Shocked', 'Pay', 'isolir', 'isolir']")</f>
        <v>['Speed', 'Internet', 'Indihome', 'Request', 'Upgrade', 'Pay', 'Shocked', 'Pay', 'isolir', 'isolir']</v>
      </c>
      <c r="D632" s="3">
        <v>1.0</v>
      </c>
    </row>
    <row r="633" ht="15.75" customHeight="1">
      <c r="A633" s="1">
        <v>676.0</v>
      </c>
      <c r="B633" s="3" t="s">
        <v>629</v>
      </c>
      <c r="C633" s="3" t="str">
        <f>IFERROR(__xludf.DUMMYFUNCTION("GOOGLETRANSLATE(B633,""id"",""en"")"),"['Provider', 'ugly', '']")</f>
        <v>['Provider', 'ugly', '']</v>
      </c>
      <c r="D633" s="3">
        <v>1.0</v>
      </c>
    </row>
    <row r="634" ht="15.75" customHeight="1">
      <c r="A634" s="1">
        <v>677.0</v>
      </c>
      <c r="B634" s="3" t="s">
        <v>630</v>
      </c>
      <c r="C634" s="3" t="str">
        <f>IFERROR(__xludf.DUMMYFUNCTION("GOOGLETRANSLATE(B634,""id"",""en"")"),"['Trash', 'send', 'code', 'authenticate', 'forgiveness', 'enter', '']")</f>
        <v>['Trash', 'send', 'code', 'authenticate', 'forgiveness', 'enter', '']</v>
      </c>
      <c r="D634" s="3">
        <v>1.0</v>
      </c>
    </row>
    <row r="635" ht="15.75" customHeight="1">
      <c r="A635" s="1">
        <v>678.0</v>
      </c>
      <c r="B635" s="3" t="s">
        <v>631</v>
      </c>
      <c r="C635" s="3" t="str">
        <f>IFERROR(__xludf.DUMMYFUNCTION("GOOGLETRANSLATE(B635,""id"",""en"")"),"['Please', 'CPT', 'Fix', 'Sya', 'BYR', 'MSH', 'Slow', 'Jah', 'internet', '']")</f>
        <v>['Please', 'CPT', 'Fix', 'Sya', 'BYR', 'MSH', 'Slow', 'Jah', 'internet', '']</v>
      </c>
      <c r="D635" s="3">
        <v>3.0</v>
      </c>
    </row>
    <row r="636" ht="15.75" customHeight="1">
      <c r="A636" s="1">
        <v>679.0</v>
      </c>
      <c r="B636" s="3" t="s">
        <v>632</v>
      </c>
      <c r="C636" s="3" t="str">
        <f>IFERROR(__xludf.DUMMYFUNCTION("GOOGLETRANSLATE(B636,""id"",""en"")"),"['application', 'development', 'code', 'OTP', 'sent', 'number', 'etc.', '']")</f>
        <v>['application', 'development', 'code', 'OTP', 'sent', 'number', 'etc.', '']</v>
      </c>
      <c r="D636" s="3">
        <v>1.0</v>
      </c>
    </row>
    <row r="637" ht="15.75" customHeight="1">
      <c r="A637" s="1">
        <v>680.0</v>
      </c>
      <c r="B637" s="3" t="s">
        <v>633</v>
      </c>
      <c r="C637" s="3" t="str">
        <f>IFERROR(__xludf.DUMMYFUNCTION("GOOGLETRANSLATE(B637,""id"",""en"")"),"['Tamh', 'Pay', 'expensive', 'according to', 'expetation', 'KONPESATION', 'PERMASALHAN']")</f>
        <v>['Tamh', 'Pay', 'expensive', 'according to', 'expetation', 'KONPESATION', 'PERMASALHAN']</v>
      </c>
      <c r="D637" s="3">
        <v>1.0</v>
      </c>
    </row>
    <row r="638" ht="15.75" customHeight="1">
      <c r="A638" s="1">
        <v>681.0</v>
      </c>
      <c r="B638" s="3" t="s">
        <v>634</v>
      </c>
      <c r="C638" s="3" t="str">
        <f>IFERROR(__xludf.DUMMYFUNCTION("GOOGLETRANSLATE(B638,""id"",""en"")"),"['', 'Login', 'Severe']")</f>
        <v>['', 'Login', 'Severe']</v>
      </c>
      <c r="D638" s="3">
        <v>1.0</v>
      </c>
    </row>
    <row r="639" ht="15.75" customHeight="1">
      <c r="A639" s="1">
        <v>682.0</v>
      </c>
      <c r="B639" s="3" t="s">
        <v>635</v>
      </c>
      <c r="C639" s="3" t="str">
        <f>IFERROR(__xludf.DUMMYFUNCTION("GOOGLETRANSLATE(B639,""id"",""en"")"),"['Please', 'Indihome', 'Maen', 'Game', 'Dota', 'CSGO', 'ETC', 'Disturbed', 'Ping', 'Stable', 'Please', 'Corruption', ' thank you']")</f>
        <v>['Please', 'Indihome', 'Maen', 'Game', 'Dota', 'CSGO', 'ETC', 'Disturbed', 'Ping', 'Stable', 'Please', 'Corruption', ' thank you']</v>
      </c>
      <c r="D639" s="3">
        <v>1.0</v>
      </c>
    </row>
    <row r="640" ht="15.75" customHeight="1">
      <c r="A640" s="1">
        <v>683.0</v>
      </c>
      <c r="B640" s="3" t="s">
        <v>636</v>
      </c>
      <c r="C640" s="3" t="str">
        <f>IFERROR(__xludf.DUMMYFUNCTION("GOOGLETRANSLATE(B640,""id"",""en"")"),"['dancuk', 'difficult', 'really', 'login']")</f>
        <v>['dancuk', 'difficult', 'really', 'login']</v>
      </c>
      <c r="D640" s="3">
        <v>1.0</v>
      </c>
    </row>
    <row r="641" ht="15.75" customHeight="1">
      <c r="A641" s="1">
        <v>684.0</v>
      </c>
      <c r="B641" s="3" t="s">
        <v>637</v>
      </c>
      <c r="C641" s="3" t="str">
        <f>IFERROR(__xludf.DUMMYFUNCTION("GOOGLETRANSLATE(B641,""id"",""en"")"),"['Login', 'Emain', 'then' told ',' Wait ',' SMS ',' Verivikasi ',' Awaited ',' Minutes', 'SMS', 'Enter']")</f>
        <v>['Login', 'Emain', 'then' told ',' Wait ',' SMS ',' Verivikasi ',' Awaited ',' Minutes', 'SMS', 'Enter']</v>
      </c>
      <c r="D641" s="3">
        <v>1.0</v>
      </c>
    </row>
    <row r="642" ht="15.75" customHeight="1">
      <c r="A642" s="1">
        <v>685.0</v>
      </c>
      <c r="B642" s="3" t="s">
        <v>638</v>
      </c>
      <c r="C642" s="3" t="str">
        <f>IFERROR(__xludf.DUMMYFUNCTION("GOOGLETRANSLATE(B642,""id"",""en"")"),"['wifi', 'gaada', 'connection', 'internet', 'detrimental', 'person', 'response', 'kalou', 'nagih', 'notification', 'try', 'fix', ' Response ',' Customer ',' Ngerugin ',' People ']")</f>
        <v>['wifi', 'gaada', 'connection', 'internet', 'detrimental', 'person', 'response', 'kalou', 'nagih', 'notification', 'try', 'fix', ' Response ',' Customer ',' Ngerugin ',' People ']</v>
      </c>
      <c r="D642" s="3">
        <v>1.0</v>
      </c>
    </row>
    <row r="643" ht="15.75" customHeight="1">
      <c r="A643" s="1">
        <v>686.0</v>
      </c>
      <c r="B643" s="3" t="s">
        <v>639</v>
      </c>
      <c r="C643" s="3" t="str">
        <f>IFERROR(__xludf.DUMMYFUNCTION("GOOGLETRANSLATE(B643,""id"",""en"")"),"['Please', 'Difix', 'The application', 'Difficult', 'Login', 'Myindihome', 'Code', 'Verification', 'Sent', 'Send']")</f>
        <v>['Please', 'Difix', 'The application', 'Difficult', 'Login', 'Myindihome', 'Code', 'Verification', 'Sent', 'Send']</v>
      </c>
      <c r="D643" s="3">
        <v>1.0</v>
      </c>
    </row>
    <row r="644" ht="15.75" customHeight="1">
      <c r="A644" s="1">
        <v>687.0</v>
      </c>
      <c r="B644" s="3" t="s">
        <v>640</v>
      </c>
      <c r="C644" s="3" t="str">
        <f>IFERROR(__xludf.DUMMYFUNCTION("GOOGLETRANSLATE(B644,""id"",""en"")"),"['Difficult', 'Log', 'Commitification', 'Enter', '']")</f>
        <v>['Difficult', 'Log', 'Commitification', 'Enter', '']</v>
      </c>
      <c r="D644" s="3">
        <v>1.0</v>
      </c>
    </row>
    <row r="645" ht="15.75" customHeight="1">
      <c r="A645" s="1">
        <v>688.0</v>
      </c>
      <c r="B645" s="3" t="s">
        <v>641</v>
      </c>
      <c r="C645" s="3" t="str">
        <f>IFERROR(__xludf.DUMMYFUNCTION("GOOGLETRANSLATE(B645,""id"",""en"")"),"['Slow', 'Sometimes',' Lined ',' For days', 'Technicians',' repaired ',' and then ',' report ',' Dulj ',' capital ',' pulse ',' turn ',' Pay ',' late ',' direct ',' fine ',' disconnected ',' konpensation ',' indihome ',' ']")</f>
        <v>['Slow', 'Sometimes',' Lined ',' For days', 'Technicians',' repaired ',' and then ',' report ',' Dulj ',' capital ',' pulse ',' turn ',' Pay ',' late ',' direct ',' fine ',' disconnected ',' konpensation ',' indihome ',' ']</v>
      </c>
      <c r="D645" s="3">
        <v>1.0</v>
      </c>
    </row>
    <row r="646" ht="15.75" customHeight="1">
      <c r="A646" s="1">
        <v>689.0</v>
      </c>
      <c r="B646" s="3" t="s">
        <v>642</v>
      </c>
      <c r="C646" s="3" t="str">
        <f>IFERROR(__xludf.DUMMYFUNCTION("GOOGLETRANSLATE(B646,""id"",""en"")"),"['access', 'application', 'myindihome']")</f>
        <v>['access', 'application', 'myindihome']</v>
      </c>
      <c r="D646" s="3">
        <v>2.0</v>
      </c>
    </row>
    <row r="647" ht="15.75" customHeight="1">
      <c r="A647" s="1">
        <v>690.0</v>
      </c>
      <c r="B647" s="3" t="s">
        <v>643</v>
      </c>
      <c r="C647" s="3" t="str">
        <f>IFERROR(__xludf.DUMMYFUNCTION("GOOGLETRANSLATE(B647,""id"",""en"")"),"['handling', 'complaints', 'from', 'response', 'technician', 'noon', 'normal', 'clock', 'night', '']")</f>
        <v>['handling', 'complaints', 'from', 'response', 'technician', 'noon', 'normal', 'clock', 'night', '']</v>
      </c>
      <c r="D647" s="3">
        <v>1.0</v>
      </c>
    </row>
    <row r="648" ht="15.75" customHeight="1">
      <c r="A648" s="1">
        <v>691.0</v>
      </c>
      <c r="B648" s="3" t="s">
        <v>644</v>
      </c>
      <c r="C648" s="3" t="str">
        <f>IFERROR(__xludf.DUMMYFUNCTION("GOOGLETRANSLATE(B648,""id"",""en"")"),"['Under', 'application', 'bad', '']")</f>
        <v>['Under', 'application', 'bad', '']</v>
      </c>
      <c r="D648" s="3">
        <v>1.0</v>
      </c>
    </row>
    <row r="649" ht="15.75" customHeight="1">
      <c r="A649" s="1">
        <v>692.0</v>
      </c>
      <c r="B649" s="3" t="s">
        <v>645</v>
      </c>
      <c r="C649" s="3" t="str">
        <f>IFERROR(__xludf.DUMMYFUNCTION("GOOGLETRANSLATE(B649,""id"",""en"")"),"['difficult', 'connection']")</f>
        <v>['difficult', 'connection']</v>
      </c>
      <c r="D649" s="3">
        <v>1.0</v>
      </c>
    </row>
    <row r="650" ht="15.75" customHeight="1">
      <c r="A650" s="1">
        <v>693.0</v>
      </c>
      <c r="B650" s="3" t="s">
        <v>646</v>
      </c>
      <c r="C650" s="3" t="str">
        <f>IFERROR(__xludf.DUMMYFUNCTION("GOOGLETRANSLATE(B650,""id"",""en"")"),"['Log', 'GMN', 'OTP', 'left', 'weird']")</f>
        <v>['Log', 'GMN', 'OTP', 'left', 'weird']</v>
      </c>
      <c r="D650" s="3">
        <v>1.0</v>
      </c>
    </row>
    <row r="651" ht="15.75" customHeight="1">
      <c r="A651" s="1">
        <v>694.0</v>
      </c>
      <c r="B651" s="3" t="s">
        <v>647</v>
      </c>
      <c r="C651" s="3" t="str">
        <f>IFERROR(__xludf.DUMMYFUNCTION("GOOGLETRANSLATE(B651,""id"",""en"")"),"['Bener', 'Indihome', 'Telkomsel', 'era', 'stone', 'operator', 'hurry', 'enter', 'my area', 'replace', 'provider']")</f>
        <v>['Bener', 'Indihome', 'Telkomsel', 'era', 'stone', 'operator', 'hurry', 'enter', 'my area', 'replace', 'provider']</v>
      </c>
      <c r="D651" s="3">
        <v>2.0</v>
      </c>
    </row>
    <row r="652" ht="15.75" customHeight="1">
      <c r="A652" s="1">
        <v>695.0</v>
      </c>
      <c r="B652" s="3" t="s">
        <v>648</v>
      </c>
      <c r="C652" s="3" t="str">
        <f>IFERROR(__xludf.DUMMYFUNCTION("GOOGLETRANSLATE(B652,""id"",""en"")"),"['entry', 'application', 'difficult', 'really', 'send', 'verification', 'appears', '']")</f>
        <v>['entry', 'application', 'difficult', 'really', 'send', 'verification', 'appears', '']</v>
      </c>
      <c r="D652" s="3">
        <v>2.0</v>
      </c>
    </row>
    <row r="653" ht="15.75" customHeight="1">
      <c r="A653" s="1">
        <v>696.0</v>
      </c>
      <c r="B653" s="3" t="s">
        <v>649</v>
      </c>
      <c r="C653" s="3" t="str">
        <f>IFERROR(__xludf.DUMMYFUNCTION("GOOGLETRANSLATE(B653,""id"",""en"")"),"['Pripun', 'Niki', 'Indihom', 'date', 'slow', 'Bingit', 'PDAL', 'Pajeg', 'ngak', 'late', 'date', 'pay', ' ']")</f>
        <v>['Pripun', 'Niki', 'Indihom', 'date', 'slow', 'Bingit', 'PDAL', 'Pajeg', 'ngak', 'late', 'date', 'pay', ' ']</v>
      </c>
      <c r="D653" s="3">
        <v>1.0</v>
      </c>
    </row>
    <row r="654" ht="15.75" customHeight="1">
      <c r="A654" s="1">
        <v>697.0</v>
      </c>
      <c r="B654" s="3" t="s">
        <v>650</v>
      </c>
      <c r="C654" s="3" t="str">
        <f>IFERROR(__xludf.DUMMYFUNCTION("GOOGLETRANSLATE(B654,""id"",""en"")"),"['application', 'useless', 'login', 'already', 'enter', 'number', 'email', 'sms', 'enter', 'otp', ""]")</f>
        <v>['application', 'useless', 'login', 'already', 'enter', 'number', 'email', 'sms', 'enter', 'otp', "]</v>
      </c>
      <c r="D654" s="3">
        <v>2.0</v>
      </c>
    </row>
    <row r="655" ht="15.75" customHeight="1">
      <c r="A655" s="1">
        <v>698.0</v>
      </c>
      <c r="B655" s="3" t="s">
        <v>5</v>
      </c>
      <c r="C655" s="3" t="str">
        <f>IFERROR(__xludf.DUMMYFUNCTION("GOOGLETRANSLATE(B655,""id"",""en"")"),"['slow']")</f>
        <v>['slow']</v>
      </c>
      <c r="D655" s="3">
        <v>1.0</v>
      </c>
    </row>
    <row r="656" ht="15.75" customHeight="1">
      <c r="A656" s="1">
        <v>699.0</v>
      </c>
      <c r="B656" s="3" t="s">
        <v>651</v>
      </c>
      <c r="C656" s="3" t="str">
        <f>IFERROR(__xludf.DUMMYFUNCTION("GOOGLETRANSLATE(B656,""id"",""en"")"),"['week', 'submission', 'device', 'wifi', 'pairs',' kirain ',' already ',' direct ',' internet ',' wait ',' telephone ',' confirm ',' Payment ',' Worse ',' Hanging ',' Clarity ',' UDH ',' Try ',' Complain ',' Tetep ',' Telfon ',' Ber ']")</f>
        <v>['week', 'submission', 'device', 'wifi', 'pairs',' kirain ',' already ',' direct ',' internet ',' wait ',' telephone ',' confirm ',' Payment ',' Worse ',' Hanging ',' Clarity ',' UDH ',' Try ',' Complain ',' Tetep ',' Telfon ',' Ber ']</v>
      </c>
      <c r="D656" s="3">
        <v>1.0</v>
      </c>
    </row>
    <row r="657" ht="15.75" customHeight="1">
      <c r="A657" s="1">
        <v>700.0</v>
      </c>
      <c r="B657" s="3" t="s">
        <v>652</v>
      </c>
      <c r="C657" s="3" t="str">
        <f>IFERROR(__xludf.DUMMYFUNCTION("GOOGLETRANSLATE(B657,""id"",""en"")"),"['Applikasih', 'Run', 'Disappointed', '']")</f>
        <v>['Applikasih', 'Run', 'Disappointed', '']</v>
      </c>
      <c r="D657" s="3">
        <v>2.0</v>
      </c>
    </row>
    <row r="658" ht="15.75" customHeight="1">
      <c r="A658" s="1">
        <v>701.0</v>
      </c>
      <c r="B658" s="3" t="s">
        <v>653</v>
      </c>
      <c r="C658" s="3" t="str">
        <f>IFERROR(__xludf.DUMMYFUNCTION("GOOGLETRANSLATE(B658,""id"",""en"")"),"['Payment', 'Indihome', 'Disrupted', 'Gabisa', 'Pay', ""]")</f>
        <v>['Payment', 'Indihome', 'Disrupted', 'Gabisa', 'Pay', "]</v>
      </c>
      <c r="D658" s="3">
        <v>3.0</v>
      </c>
    </row>
    <row r="659" ht="15.75" customHeight="1">
      <c r="A659" s="1">
        <v>702.0</v>
      </c>
      <c r="B659" s="3" t="s">
        <v>654</v>
      </c>
      <c r="C659" s="3" t="str">
        <f>IFERROR(__xludf.DUMMYFUNCTION("GOOGLETRANSLATE(B659,""id"",""en"")"),"['Difficult', 'access']")</f>
        <v>['Difficult', 'access']</v>
      </c>
      <c r="D659" s="3">
        <v>1.0</v>
      </c>
    </row>
    <row r="660" ht="15.75" customHeight="1">
      <c r="A660" s="1">
        <v>703.0</v>
      </c>
      <c r="B660" s="3" t="s">
        <v>655</v>
      </c>
      <c r="C660" s="3" t="str">
        <f>IFERROR(__xludf.DUMMYFUNCTION("GOOGLETRANSLATE(B660,""id"",""en"")"),"['wifi', 'slow', '']")</f>
        <v>['wifi', 'slow', '']</v>
      </c>
      <c r="D660" s="3">
        <v>1.0</v>
      </c>
    </row>
    <row r="661" ht="15.75" customHeight="1">
      <c r="A661" s="1">
        <v>704.0</v>
      </c>
      <c r="B661" s="3" t="s">
        <v>656</v>
      </c>
      <c r="C661" s="3" t="str">
        <f>IFERROR(__xludf.DUMMYFUNCTION("GOOGLETRANSLATE(B661,""id"",""en"")"),"['Karna', 'replace', 'dowload', 'reset', 'myindihome', 'open', 'login', 'wait', 'code', 'verification', 'annoyed', 'nich', ' application', '']")</f>
        <v>['Karna', 'replace', 'dowload', 'reset', 'myindihome', 'open', 'login', 'wait', 'code', 'verification', 'annoyed', 'nich', ' application', '']</v>
      </c>
      <c r="D661" s="3">
        <v>1.0</v>
      </c>
    </row>
    <row r="662" ht="15.75" customHeight="1">
      <c r="A662" s="1">
        <v>705.0</v>
      </c>
      <c r="B662" s="3" t="s">
        <v>657</v>
      </c>
      <c r="C662" s="3" t="str">
        <f>IFERROR(__xludf.DUMMYFUNCTION("GOOGLETRANSLATE(B662,""id"",""en"")"),"['Login', 'Code', 'OTP', 'OTP', 'Sent', 'PDHL', 'Bener', 'Active', 'What', 'Service', 'Kog', 'Gini', ' Move ',' Males', 'EMG', 'Changed', 'Indihome']")</f>
        <v>['Login', 'Code', 'OTP', 'OTP', 'Sent', 'PDHL', 'Bener', 'Active', 'What', 'Service', 'Kog', 'Gini', ' Move ',' Males', 'EMG', 'Changed', 'Indihome']</v>
      </c>
      <c r="D662" s="3">
        <v>2.0</v>
      </c>
    </row>
    <row r="663" ht="15.75" customHeight="1">
      <c r="A663" s="1">
        <v>706.0</v>
      </c>
      <c r="B663" s="3" t="s">
        <v>658</v>
      </c>
      <c r="C663" s="3" t="str">
        <f>IFERROR(__xludf.DUMMYFUNCTION("GOOGLETRANSLATE(B663,""id"",""en"")"),"['Lemotttt']")</f>
        <v>['Lemotttt']</v>
      </c>
      <c r="D663" s="3">
        <v>1.0</v>
      </c>
    </row>
    <row r="664" ht="15.75" customHeight="1">
      <c r="A664" s="1">
        <v>707.0</v>
      </c>
      <c r="B664" s="3" t="s">
        <v>659</v>
      </c>
      <c r="C664" s="3" t="str">
        <f>IFERROR(__xludf.DUMMYFUNCTION("GOOGLETRANSLATE(B664,""id"",""en"")"),"['really good', '']")</f>
        <v>['really good', '']</v>
      </c>
      <c r="D664" s="3">
        <v>1.0</v>
      </c>
    </row>
    <row r="665" ht="15.75" customHeight="1">
      <c r="A665" s="1">
        <v>708.0</v>
      </c>
      <c r="B665" s="3" t="s">
        <v>660</v>
      </c>
      <c r="C665" s="3" t="str">
        <f>IFERROR(__xludf.DUMMYFUNCTION("GOOGLETRANSLATE(B665,""id"",""en"")"),"['Collecting', 'Points',' Indihome ',' Dituker ',' Reward ',' Want ',' Nuker ',' Voucher ',' FAILURE ',' SILY ',' POINT ',' MENKING ',' The error ',' exceed ',' limit ',' maximum ',' exchange ',' exchange ',' code ',' said ',' error ',' gini ',' broken ',"&amp;"' apiligation ',' Please ' , 'Developer', 'app', 'fix', '']")</f>
        <v>['Collecting', 'Points',' Indihome ',' Dituker ',' Reward ',' Want ',' Nuker ',' Voucher ',' FAILURE ',' SILY ',' POINT ',' MENKING ',' The error ',' exceed ',' limit ',' maximum ',' exchange ',' exchange ',' code ',' said ',' error ',' gini ',' broken ',' apiligation ',' Please ' , 'Developer', 'app', 'fix', '']</v>
      </c>
      <c r="D665" s="3">
        <v>1.0</v>
      </c>
    </row>
    <row r="666" ht="15.75" customHeight="1">
      <c r="A666" s="1">
        <v>709.0</v>
      </c>
      <c r="B666" s="3" t="s">
        <v>661</v>
      </c>
      <c r="C666" s="3" t="str">
        <f>IFERROR(__xludf.DUMMYFUNCTION("GOOGLETRANSLATE(B666,""id"",""en"")"),"['Conscious', 'Heyyy', 'awareRr']")</f>
        <v>['Conscious', 'Heyyy', 'awareRr']</v>
      </c>
      <c r="D666" s="3">
        <v>1.0</v>
      </c>
    </row>
    <row r="667" ht="15.75" customHeight="1">
      <c r="A667" s="1">
        <v>710.0</v>
      </c>
      <c r="B667" s="3" t="s">
        <v>662</v>
      </c>
      <c r="C667" s="3" t="str">
        <f>IFERROR(__xludf.DUMMYFUNCTION("GOOGLETRANSLATE(B667,""id"",""en"")"),"['Main', 'game', 'ngelagggg', 'continued']")</f>
        <v>['Main', 'game', 'ngelagggg', 'continued']</v>
      </c>
      <c r="D667" s="3">
        <v>1.0</v>
      </c>
    </row>
    <row r="668" ht="15.75" customHeight="1">
      <c r="A668" s="1">
        <v>711.0</v>
      </c>
      <c r="B668" s="3" t="s">
        <v>663</v>
      </c>
      <c r="C668" s="3" t="str">
        <f>IFERROR(__xludf.DUMMYFUNCTION("GOOGLETRANSLATE(B668,""id"",""en"")"),"['stlh', 'gngguan', 'sjk', 'mlm', 'msh', 'dpkai', 'code', 'error', 'code', 'hubngi', 'layann', 'lwt', ' APK ',' Denua ',' Wait ',' hedeeeh ',' down ',' bntngnya ',' ']")</f>
        <v>['stlh', 'gngguan', 'sjk', 'mlm', 'msh', 'dpkai', 'code', 'error', 'code', 'hubngi', 'layann', 'lwt', ' APK ',' Denua ',' Wait ',' hedeeeh ',' down ',' bntngnya ',' ']</v>
      </c>
      <c r="D668" s="3">
        <v>2.0</v>
      </c>
    </row>
    <row r="669" ht="15.75" customHeight="1">
      <c r="A669" s="1">
        <v>712.0</v>
      </c>
      <c r="B669" s="3" t="s">
        <v>664</v>
      </c>
      <c r="C669" s="3" t="str">
        <f>IFERROR(__xludf.DUMMYFUNCTION("GOOGLETRANSLATE(B669,""id"",""en"")"),"['Provider', 'Dilapidated']")</f>
        <v>['Provider', 'Dilapidated']</v>
      </c>
      <c r="D669" s="3">
        <v>1.0</v>
      </c>
    </row>
    <row r="670" ht="15.75" customHeight="1">
      <c r="A670" s="1">
        <v>713.0</v>
      </c>
      <c r="B670" s="3" t="s">
        <v>665</v>
      </c>
      <c r="C670" s="3" t="str">
        <f>IFERROR(__xludf.DUMMYFUNCTION("GOOGLETRANSLATE(B670,""id"",""en"")"),"['already', 'pay', 'per month', 'result', 'ngeleg', 'fortunate', '']")</f>
        <v>['already', 'pay', 'per month', 'result', 'ngeleg', 'fortunate', '']</v>
      </c>
      <c r="D670" s="3">
        <v>1.0</v>
      </c>
    </row>
    <row r="671" ht="15.75" customHeight="1">
      <c r="A671" s="1">
        <v>714.0</v>
      </c>
      <c r="B671" s="3" t="s">
        <v>666</v>
      </c>
      <c r="C671" s="3" t="str">
        <f>IFERROR(__xludf.DUMMYFUNCTION("GOOGLETRANSLATE(B671,""id"",""en"")"),"['Indihome', 'disruption', 'access', 'difficult', 'smga', 'repaired', 'difficult', 'disorder', 'happiness']")</f>
        <v>['Indihome', 'disruption', 'access', 'difficult', 'smga', 'repaired', 'difficult', 'disorder', 'happiness']</v>
      </c>
      <c r="D671" s="3">
        <v>3.0</v>
      </c>
    </row>
    <row r="672" ht="15.75" customHeight="1">
      <c r="A672" s="1">
        <v>715.0</v>
      </c>
      <c r="B672" s="3" t="s">
        <v>667</v>
      </c>
      <c r="C672" s="3" t="str">
        <f>IFERROR(__xludf.DUMMYFUNCTION("GOOGLETRANSLATE(B672,""id"",""en"")"),"['Download', 'Install', '']")</f>
        <v>['Download', 'Install', '']</v>
      </c>
      <c r="D672" s="3">
        <v>5.0</v>
      </c>
    </row>
    <row r="673" ht="15.75" customHeight="1">
      <c r="A673" s="1">
        <v>716.0</v>
      </c>
      <c r="B673" s="3" t="s">
        <v>668</v>
      </c>
      <c r="C673" s="3" t="str">
        <f>IFERROR(__xludf.DUMMYFUNCTION("GOOGLETRANSLATE(B673,""id"",""en"")"),"['Pay', 'bill', 'failed', 'already', 'date', 'login', 'apk', 'no', 'pay', 'bill', 'tomorrow', 'already', ' "", 'fine', 'error', 'consumer', 'not', 'satisfying', 'error', 'disorder', 'compensation', 'indihome', 'heavy',""]")</f>
        <v>['Pay', 'bill', 'failed', 'already', 'date', 'login', 'apk', 'no', 'pay', 'bill', 'tomorrow', 'already', ' ", 'fine', 'error', 'consumer', 'not', 'satisfying', 'error', 'disorder', 'compensation', 'indihome', 'heavy',"]</v>
      </c>
      <c r="D673" s="3">
        <v>1.0</v>
      </c>
    </row>
    <row r="674" ht="15.75" customHeight="1">
      <c r="A674" s="1">
        <v>717.0</v>
      </c>
      <c r="B674" s="3" t="s">
        <v>669</v>
      </c>
      <c r="C674" s="3" t="str">
        <f>IFERROR(__xludf.DUMMYFUNCTION("GOOGLETRANSLATE(B674,""id"",""en"")"),"['Application', 'BURIK', 'How', 'Login', 'Code', 'OTP', 'Enter', '']")</f>
        <v>['Application', 'BURIK', 'How', 'Login', 'Code', 'OTP', 'Enter', '']</v>
      </c>
      <c r="D674" s="3">
        <v>2.0</v>
      </c>
    </row>
    <row r="675" ht="15.75" customHeight="1">
      <c r="A675" s="1">
        <v>718.0</v>
      </c>
      <c r="B675" s="3" t="s">
        <v>670</v>
      </c>
      <c r="C675" s="3" t="str">
        <f>IFERROR(__xludf.DUMMYFUNCTION("GOOGLETRANSLATE(B675,""id"",""en"")"),"['Application', 'opened', 'clicked', 'then', 'functions', '']")</f>
        <v>['Application', 'opened', 'clicked', 'then', 'functions', '']</v>
      </c>
      <c r="D675" s="3">
        <v>1.0</v>
      </c>
    </row>
    <row r="676" ht="15.75" customHeight="1">
      <c r="A676" s="1">
        <v>719.0</v>
      </c>
      <c r="B676" s="3" t="s">
        <v>671</v>
      </c>
      <c r="C676" s="3" t="str">
        <f>IFERROR(__xludf.DUMMYFUNCTION("GOOGLETRANSLATE(B676,""id"",""en"")"),"['disappointing', 'network']")</f>
        <v>['disappointing', 'network']</v>
      </c>
      <c r="D676" s="3">
        <v>1.0</v>
      </c>
    </row>
    <row r="677" ht="15.75" customHeight="1">
      <c r="A677" s="1">
        <v>720.0</v>
      </c>
      <c r="B677" s="3" t="s">
        <v>672</v>
      </c>
      <c r="C677" s="3" t="str">
        <f>IFERROR(__xludf.DUMMYFUNCTION("GOOGLETRANSLATE(B677,""id"",""en"")"),"['entry', 'application', 'please', 'berbenerin', 'indihome', 'access', 'internet', 'home', 'pay', 'network', ""]")</f>
        <v>['entry', 'application', 'please', 'berbenerin', 'indihome', 'access', 'internet', 'home', 'pay', 'network', "]</v>
      </c>
      <c r="D677" s="3">
        <v>2.0</v>
      </c>
    </row>
    <row r="678" ht="15.75" customHeight="1">
      <c r="A678" s="1">
        <v>721.0</v>
      </c>
      <c r="B678" s="3" t="s">
        <v>673</v>
      </c>
      <c r="C678" s="3" t="str">
        <f>IFERROR(__xludf.DUMMYFUNCTION("GOOGLETRANSLATE(B678,""id"",""en"")"),"['jammed', 'open', 'application', 'enter', 'veranda', 'click', 'menu', 'menu', 'like', 'jammed']")</f>
        <v>['jammed', 'open', 'application', 'enter', 'veranda', 'click', 'menu', 'menu', 'like', 'jammed']</v>
      </c>
      <c r="D678" s="3">
        <v>3.0</v>
      </c>
    </row>
    <row r="679" ht="15.75" customHeight="1">
      <c r="A679" s="1">
        <v>722.0</v>
      </c>
      <c r="B679" s="3" t="s">
        <v>674</v>
      </c>
      <c r="C679" s="3" t="str">
        <f>IFERROR(__xludf.DUMMYFUNCTION("GOOGLETRANSLATE(B679,""id"",""en"")"),"['application', 'ugly', 'replace', 'password', 'block', 'user', 'application', 'road', '']")</f>
        <v>['application', 'ugly', 'replace', 'password', 'block', 'user', 'application', 'road', '']</v>
      </c>
      <c r="D679" s="3">
        <v>1.0</v>
      </c>
    </row>
    <row r="680" ht="15.75" customHeight="1">
      <c r="A680" s="1">
        <v>723.0</v>
      </c>
      <c r="B680" s="3" t="s">
        <v>675</v>
      </c>
      <c r="C680" s="3" t="str">
        <f>IFERROR(__xludf.DUMMYFUNCTION("GOOGLETRANSLATE(B680,""id"",""en"")"),"['Please', 'sorry', 'complaint', 'service', 'for a while', ""]")</f>
        <v>['Please', 'sorry', 'complaint', 'service', 'for a while', "]</v>
      </c>
      <c r="D680" s="3">
        <v>3.0</v>
      </c>
    </row>
    <row r="681" ht="15.75" customHeight="1">
      <c r="A681" s="1">
        <v>724.0</v>
      </c>
      <c r="B681" s="3" t="s">
        <v>676</v>
      </c>
      <c r="C681" s="3" t="str">
        <f>IFERROR(__xludf.DUMMYFUNCTION("GOOGLETRANSLATE(B681,""id"",""en"")"),"['Application', 'access', 'please', 'fix it']")</f>
        <v>['Application', 'access', 'please', 'fix it']</v>
      </c>
      <c r="D681" s="3">
        <v>3.0</v>
      </c>
    </row>
    <row r="682" ht="15.75" customHeight="1">
      <c r="A682" s="1">
        <v>725.0</v>
      </c>
      <c r="B682" s="3" t="s">
        <v>677</v>
      </c>
      <c r="C682" s="3" t="str">
        <f>IFERROR(__xludf.DUMMYFUNCTION("GOOGLETRANSLATE(B682,""id"",""en"")"),"['Excuse', 'application', 'registration', 'login', 'use', 'number', 'told', 'input', 'number', 'verification', 'sent', 'sms',' Nmer ',' reset ',' reset ',' sms', 'enter']")</f>
        <v>['Excuse', 'application', 'registration', 'login', 'use', 'number', 'told', 'input', 'number', 'verification', 'sent', 'sms',' Nmer ',' reset ',' reset ',' sms', 'enter']</v>
      </c>
      <c r="D682" s="3">
        <v>2.0</v>
      </c>
    </row>
    <row r="683" ht="15.75" customHeight="1">
      <c r="A683" s="1">
        <v>726.0</v>
      </c>
      <c r="B683" s="3" t="s">
        <v>678</v>
      </c>
      <c r="C683" s="3" t="str">
        <f>IFERROR(__xludf.DUMMYFUNCTION("GOOGLETRANSLATE(B683,""id"",""en"")"),"['application', 'pay', 'must', 'pakr', 'balance', 'card', 'credit', 'gini', 'transfer', 'bank', 'menu', 'severe']")</f>
        <v>['application', 'pay', 'must', 'pakr', 'balance', 'card', 'credit', 'gini', 'transfer', 'bank', 'menu', 'severe']</v>
      </c>
      <c r="D683" s="3">
        <v>1.0</v>
      </c>
    </row>
    <row r="684" ht="15.75" customHeight="1">
      <c r="A684" s="1">
        <v>727.0</v>
      </c>
      <c r="B684" s="3" t="s">
        <v>679</v>
      </c>
      <c r="C684" s="3" t="str">
        <f>IFERROR(__xludf.DUMMYFUNCTION("GOOGLETRANSLATE(B684,""id"",""en"")"),"['report', 'sosmed', 'response', 'prove', 'BUMN']")</f>
        <v>['report', 'sosmed', 'response', 'prove', 'BUMN']</v>
      </c>
      <c r="D684" s="3">
        <v>1.0</v>
      </c>
    </row>
    <row r="685" ht="15.75" customHeight="1">
      <c r="A685" s="1">
        <v>728.0</v>
      </c>
      <c r="B685" s="3" t="s">
        <v>680</v>
      </c>
      <c r="C685" s="3" t="str">
        <f>IFERROR(__xludf.DUMMYFUNCTION("GOOGLETRANSLATE(B685,""id"",""en"")"),"['expensive', 'expensive', 'pay', 'quality', 'signal', 'ugly', 'really', 'operator', 'bad', 'Attuen', 'oath', 'regret', ' Indihomo ']")</f>
        <v>['expensive', 'expensive', 'pay', 'quality', 'signal', 'ugly', 'really', 'operator', 'bad', 'Attuen', 'oath', 'regret', ' Indihomo ']</v>
      </c>
      <c r="D685" s="3">
        <v>1.0</v>
      </c>
    </row>
    <row r="686" ht="15.75" customHeight="1">
      <c r="A686" s="1">
        <v>729.0</v>
      </c>
      <c r="B686" s="3" t="s">
        <v>681</v>
      </c>
      <c r="C686" s="3" t="str">
        <f>IFERROR(__xludf.DUMMYFUNCTION("GOOGLETRANSLATE(B686,""id"",""en"")"),"['The application', 'slow', 'login', 'difficult', 'Wait', 'code', 'otp', 'no', 'Come', 'fix']")</f>
        <v>['The application', 'slow', 'login', 'difficult', 'Wait', 'code', 'otp', 'no', 'Come', 'fix']</v>
      </c>
      <c r="D686" s="3">
        <v>2.0</v>
      </c>
    </row>
    <row r="687" ht="15.75" customHeight="1">
      <c r="A687" s="1">
        <v>730.0</v>
      </c>
      <c r="B687" s="3" t="s">
        <v>682</v>
      </c>
      <c r="C687" s="3" t="str">
        <f>IFERROR(__xludf.DUMMYFUNCTION("GOOGLETRANSLATE(B687,""id"",""en"")"),"['network', 'slow', 'application', 'error', 'tlg', 'enhanced', 'service', 'indihome', 'product', 'BUMN', '']")</f>
        <v>['network', 'slow', 'application', 'error', 'tlg', 'enhanced', 'service', 'indihome', 'product', 'BUMN', '']</v>
      </c>
      <c r="D687" s="3">
        <v>1.0</v>
      </c>
    </row>
    <row r="688" ht="15.75" customHeight="1">
      <c r="A688" s="1">
        <v>731.0</v>
      </c>
      <c r="B688" s="3" t="s">
        <v>683</v>
      </c>
      <c r="C688" s="3" t="str">
        <f>IFERROR(__xludf.DUMMYFUNCTION("GOOGLETRANSLATE(B688,""id"",""en"")"),"['The essence', 'quality', 'service', 'delicious', 'turn', 'late', 'pay', 'a day', 'direct', 'disconnected', 'error', 'for days' Compensation ',' ']")</f>
        <v>['The essence', 'quality', 'service', 'delicious', 'turn', 'late', 'pay', 'a day', 'direct', 'disconnected', 'error', 'for days' Compensation ',' ']</v>
      </c>
      <c r="D688" s="3">
        <v>2.0</v>
      </c>
    </row>
    <row r="689" ht="15.75" customHeight="1">
      <c r="A689" s="1">
        <v>732.0</v>
      </c>
      <c r="B689" s="3" t="s">
        <v>684</v>
      </c>
      <c r="C689" s="3" t="str">
        <f>IFERROR(__xludf.DUMMYFUNCTION("GOOGLETRANSLATE(B689,""id"",""en"")"),"['Akrival', 'Dipelek', ""]")</f>
        <v>['Akrival', 'Dipelek', "]</v>
      </c>
      <c r="D689" s="3">
        <v>1.0</v>
      </c>
    </row>
    <row r="690" ht="15.75" customHeight="1">
      <c r="A690" s="1">
        <v>733.0</v>
      </c>
      <c r="B690" s="3" t="s">
        <v>685</v>
      </c>
      <c r="C690" s="3" t="str">
        <f>IFERROR(__xludf.DUMMYFUNCTION("GOOGLETRANSLATE(B690,""id"",""en"")"),"['application', 'bad', 'high school', 'help', ""]")</f>
        <v>['application', 'bad', 'high school', 'help', "]</v>
      </c>
      <c r="D690" s="3">
        <v>1.0</v>
      </c>
    </row>
    <row r="691" ht="15.75" customHeight="1">
      <c r="A691" s="1">
        <v>734.0</v>
      </c>
      <c r="B691" s="3" t="s">
        <v>686</v>
      </c>
      <c r="C691" s="3" t="str">
        <f>IFERROR(__xludf.DUMMYFUNCTION("GOOGLETRANSLATE(B691,""id"",""en"")"),"['Loading', 'App', '']")</f>
        <v>['Loading', 'App', '']</v>
      </c>
      <c r="D691" s="3">
        <v>2.0</v>
      </c>
    </row>
    <row r="692" ht="15.75" customHeight="1">
      <c r="A692" s="1">
        <v>735.0</v>
      </c>
      <c r="B692" s="3" t="s">
        <v>687</v>
      </c>
      <c r="C692" s="3" t="str">
        <f>IFERROR(__xludf.DUMMYFUNCTION("GOOGLETRANSLATE(B692,""id"",""en"")"),"['report', 'complaints',' improvement ',' system ',' Mulu ',' service ',' BUMN ',' Gini ',' Director ',' Becus', 'child', 'fruit', ' updown ',' speed ',' dead ',' pie ',' Lurr ',' payment ',' spp ',' tetep ',' improvement ',' right ',' technician ',' repo"&amp;"rt ',' office ' , 'Office', 'Hub', 'Rich', 'Ngemis', 'Customer', '']")</f>
        <v>['report', 'complaints',' improvement ',' system ',' Mulu ',' service ',' BUMN ',' Gini ',' Director ',' Becus', 'child', 'fruit', ' updown ',' speed ',' dead ',' pie ',' Lurr ',' payment ',' spp ',' tetep ',' improvement ',' right ',' technician ',' report ',' office ' , 'Office', 'Hub', 'Rich', 'Ngemis', 'Customer', '']</v>
      </c>
      <c r="D692" s="3">
        <v>1.0</v>
      </c>
    </row>
    <row r="693" ht="15.75" customHeight="1">
      <c r="A693" s="1">
        <v>736.0</v>
      </c>
      <c r="B693" s="3" t="s">
        <v>688</v>
      </c>
      <c r="C693" s="3" t="str">
        <f>IFERROR(__xludf.DUMMYFUNCTION("GOOGLETRANSLATE(B693,""id"",""en"")"),"['Your Application', 'Kek', 'Network', 'InternetMu', 'Stress', 'Kebanan', 'finished', 'finished']")</f>
        <v>['Your Application', 'Kek', 'Network', 'InternetMu', 'Stress', 'Kebanan', 'finished', 'finished']</v>
      </c>
      <c r="D693" s="3">
        <v>1.0</v>
      </c>
    </row>
    <row r="694" ht="15.75" customHeight="1">
      <c r="A694" s="1">
        <v>737.0</v>
      </c>
      <c r="B694" s="3" t="s">
        <v>689</v>
      </c>
      <c r="C694" s="3" t="str">
        <f>IFERROR(__xludf.DUMMYFUNCTION("GOOGLETRANSLATE(B694,""id"",""en"")"),"['Lemott', 'BGTTT', 'ADUUH', 'WORTH', '']")</f>
        <v>['Lemott', 'BGTTT', 'ADUUH', 'WORTH', '']</v>
      </c>
      <c r="D694" s="3">
        <v>1.0</v>
      </c>
    </row>
    <row r="695" ht="15.75" customHeight="1">
      <c r="A695" s="1">
        <v>738.0</v>
      </c>
      <c r="B695" s="3" t="s">
        <v>690</v>
      </c>
      <c r="C695" s="3" t="str">
        <f>IFERROR(__xludf.DUMMYFUNCTION("GOOGLETRANSLATE(B695,""id"",""en"")"),"['Applikasih', 'skarang', 'slow', 'severe', 'light', '']")</f>
        <v>['Applikasih', 'skarang', 'slow', 'severe', 'light', '']</v>
      </c>
      <c r="D695" s="3">
        <v>3.0</v>
      </c>
    </row>
    <row r="696" ht="15.75" customHeight="1">
      <c r="A696" s="1">
        <v>739.0</v>
      </c>
      <c r="B696" s="3" t="s">
        <v>691</v>
      </c>
      <c r="C696" s="3" t="str">
        <f>IFERROR(__xludf.DUMMYFUNCTION("GOOGLETRANSLATE(B696,""id"",""en"")"),"['Application', 'slow', 'loading', 'entered', '']")</f>
        <v>['Application', 'slow', 'loading', 'entered', '']</v>
      </c>
      <c r="D696" s="3">
        <v>1.0</v>
      </c>
    </row>
    <row r="697" ht="15.75" customHeight="1">
      <c r="A697" s="1">
        <v>740.0</v>
      </c>
      <c r="B697" s="3" t="s">
        <v>692</v>
      </c>
      <c r="C697" s="3" t="str">
        <f>IFERROR(__xludf.DUMMYFUNCTION("GOOGLETRANSLATE(B697,""id"",""en"")"),"['Sampe', 'overslept', 'Wait', 'OTP', 'Visit', ""]")</f>
        <v>['Sampe', 'overslept', 'Wait', 'OTP', 'Visit', "]</v>
      </c>
      <c r="D697" s="3">
        <v>1.0</v>
      </c>
    </row>
    <row r="698" ht="15.75" customHeight="1">
      <c r="A698" s="1">
        <v>741.0</v>
      </c>
      <c r="B698" s="3" t="s">
        <v>693</v>
      </c>
      <c r="C698" s="3" t="str">
        <f>IFERROR(__xludf.DUMMYFUNCTION("GOOGLETRANSLATE(B698,""id"",""en"")"),"['Woy', 'Indihome', 'Cave', 'Main', 'Game', 'Dipelek', 'Dipelek']")</f>
        <v>['Woy', 'Indihome', 'Cave', 'Main', 'Game', 'Dipelek', 'Dipelek']</v>
      </c>
      <c r="D698" s="3">
        <v>1.0</v>
      </c>
    </row>
    <row r="699" ht="15.75" customHeight="1">
      <c r="A699" s="1">
        <v>742.0</v>
      </c>
      <c r="B699" s="3" t="s">
        <v>694</v>
      </c>
      <c r="C699" s="3" t="str">
        <f>IFERROR(__xludf.DUMMYFUNCTION("GOOGLETRANSLATE(B699,""id"",""en"")"),"['run out', 'replace', 'download', 'reset', 'my apk', 'login', 'email', 'beg', 'solution', 'star', 'login', 'star']")</f>
        <v>['run out', 'replace', 'download', 'reset', 'my apk', 'login', 'email', 'beg', 'solution', 'star', 'login', 'star']</v>
      </c>
      <c r="D699" s="3">
        <v>1.0</v>
      </c>
    </row>
    <row r="700" ht="15.75" customHeight="1">
      <c r="A700" s="1">
        <v>743.0</v>
      </c>
      <c r="B700" s="3" t="s">
        <v>695</v>
      </c>
      <c r="C700" s="3" t="str">
        <f>IFERROR(__xludf.DUMMYFUNCTION("GOOGLETRANSLATE(B700,""id"",""en"")"),"['Enter', 'menu', 'emergence', 'loading', 'kemunkinan', 'application', 'disruption', 'connection', 'inet', 'bulu', '']")</f>
        <v>['Enter', 'menu', 'emergence', 'loading', 'kemunkinan', 'application', 'disruption', 'connection', 'inet', 'bulu', '']</v>
      </c>
      <c r="D700" s="3">
        <v>1.0</v>
      </c>
    </row>
    <row r="701" ht="15.75" customHeight="1">
      <c r="A701" s="1">
        <v>744.0</v>
      </c>
      <c r="B701" s="3" t="s">
        <v>696</v>
      </c>
      <c r="C701" s="3" t="str">
        <f>IFERROR(__xludf.DUMMYFUNCTION("GOOGLETRANSLATE(B701,""id"",""en"")"),"['error']")</f>
        <v>['error']</v>
      </c>
      <c r="D701" s="3">
        <v>1.0</v>
      </c>
    </row>
    <row r="702" ht="15.75" customHeight="1">
      <c r="A702" s="1">
        <v>745.0</v>
      </c>
      <c r="B702" s="3" t="s">
        <v>697</v>
      </c>
      <c r="C702" s="3" t="str">
        <f>IFERROR(__xludf.DUMMYFUNCTION("GOOGLETRANSLATE(B702,""id"",""en"")"),"['Pay', 'Full', 'Network', 'Internet', 'Rotten', 'YouTube', 'Lifting', 'WhatsApp', 'Ngejam', 'Indihome', 'Troubling', 'Pay', ' Ful ',' internet ',' down ',' udan ',' a week ',' wifi ',' emotions', 'internet', 'slow', 'access',' fast ',' pairs', 'indihome'"&amp;" , 'Mending', 'pairs', 'regret', 'Ntar', 'internet', 'rotten']")</f>
        <v>['Pay', 'Full', 'Network', 'Internet', 'Rotten', 'YouTube', 'Lifting', 'WhatsApp', 'Ngejam', 'Indihome', 'Troubling', 'Pay', ' Ful ',' internet ',' down ',' udan ',' a week ',' wifi ',' emotions', 'internet', 'slow', 'access',' fast ',' pairs', 'indihome' , 'Mending', 'pairs', 'regret', 'Ntar', 'internet', 'rotten']</v>
      </c>
      <c r="D702" s="3">
        <v>1.0</v>
      </c>
    </row>
    <row r="703" ht="15.75" customHeight="1">
      <c r="A703" s="1">
        <v>746.0</v>
      </c>
      <c r="B703" s="3" t="s">
        <v>698</v>
      </c>
      <c r="C703" s="3" t="str">
        <f>IFERROR(__xludf.DUMMYFUNCTION("GOOGLETRANSLATE(B703,""id"",""en"")"),"['apk', 'strange', 'entered', 'registered']")</f>
        <v>['apk', 'strange', 'entered', 'registered']</v>
      </c>
      <c r="D703" s="3">
        <v>1.0</v>
      </c>
    </row>
    <row r="704" ht="15.75" customHeight="1">
      <c r="A704" s="1">
        <v>747.0</v>
      </c>
      <c r="B704" s="3" t="s">
        <v>699</v>
      </c>
      <c r="C704" s="3" t="str">
        <f>IFERROR(__xludf.DUMMYFUNCTION("GOOGLETRANSLATE(B704,""id"",""en"")"),"['Changing', 'number', 'mobile', 'obstacle', 'verification', 'account', 'constrained', 'number', 'active', 'thank', 'love', ""]")</f>
        <v>['Changing', 'number', 'mobile', 'obstacle', 'verification', 'account', 'constrained', 'number', 'active', 'thank', 'love', "]</v>
      </c>
      <c r="D704" s="3">
        <v>1.0</v>
      </c>
    </row>
    <row r="705" ht="15.75" customHeight="1">
      <c r="A705" s="1">
        <v>749.0</v>
      </c>
      <c r="B705" s="3" t="s">
        <v>700</v>
      </c>
      <c r="C705" s="3" t="str">
        <f>IFERROR(__xludf.DUMMYFUNCTION("GOOGLETRANSLATE(B705,""id"",""en"")"),"['Internet', 'down', 'Please', 'Maklumi', 'Disorders', 'DivTamind "",' Continue ',' Compensation ',' Turn ',' Late ',' Pay ',' A Day ',' Disconnect ',' channel ',' ']")</f>
        <v>['Internet', 'down', 'Please', 'Maklumi', 'Disorders', 'DivTamind ",' Continue ',' Compensation ',' Turn ',' Late ',' Pay ',' A Day ',' Disconnect ',' channel ',' ']</v>
      </c>
      <c r="D705" s="3">
        <v>1.0</v>
      </c>
    </row>
    <row r="706" ht="15.75" customHeight="1">
      <c r="A706" s="1">
        <v>750.0</v>
      </c>
      <c r="B706" s="3" t="s">
        <v>701</v>
      </c>
      <c r="C706" s="3" t="str">
        <f>IFERROR(__xludf.DUMMYFUNCTION("GOOGLETRANSLATE(B706,""id"",""en"")"),"['delete', 'application', 'opened', 'slow', 'severe', 'date', 'September', 'report', 'complaint', 'application', 'application', ' Call ',' Center ',' Busy ',' then ']")</f>
        <v>['delete', 'application', 'opened', 'slow', 'severe', 'date', 'September', 'report', 'complaint', 'application', 'application', ' Call ',' Center ',' Busy ',' then ']</v>
      </c>
      <c r="D706" s="3">
        <v>1.0</v>
      </c>
    </row>
    <row r="707" ht="15.75" customHeight="1">
      <c r="A707" s="1">
        <v>751.0</v>
      </c>
      <c r="B707" s="3" t="s">
        <v>702</v>
      </c>
      <c r="C707" s="3" t="str">
        <f>IFERROR(__xludf.DUMMYFUNCTION("GOOGLETRANSLATE(B707,""id"",""en"")"),"['bill', 'stable', 'really', 'service', 'internet', 'downhill', 'steady', 'increase', ""]")</f>
        <v>['bill', 'stable', 'really', 'service', 'internet', 'downhill', 'steady', 'increase', "]</v>
      </c>
      <c r="D707" s="3">
        <v>1.0</v>
      </c>
    </row>
    <row r="708" ht="15.75" customHeight="1">
      <c r="A708" s="1">
        <v>752.0</v>
      </c>
      <c r="B708" s="3" t="s">
        <v>703</v>
      </c>
      <c r="C708" s="3" t="str">
        <f>IFERROR(__xludf.DUMMYFUNCTION("GOOGLETRANSLATE(B708,""id"",""en"")"),"['slow', 'in', 'installation', 'check', 'application', 'skrg', 'blom', 'install', 'confirm', 'customer', 'confirm', 'call', ' Center ',' Action ',' ']")</f>
        <v>['slow', 'in', 'installation', 'check', 'application', 'skrg', 'blom', 'install', 'confirm', 'customer', 'confirm', 'call', ' Center ',' Action ',' ']</v>
      </c>
      <c r="D708" s="3">
        <v>1.0</v>
      </c>
    </row>
    <row r="709" ht="15.75" customHeight="1">
      <c r="A709" s="1">
        <v>753.0</v>
      </c>
      <c r="B709" s="3" t="s">
        <v>704</v>
      </c>
      <c r="C709" s="3" t="str">
        <f>IFERROR(__xludf.DUMMYFUNCTION("GOOGLETRANSLATE(B709,""id"",""en"")"),"['Please', 'repay', 'Network', 'Nya', 'a month', 'times', 'internet']")</f>
        <v>['Please', 'repay', 'Network', 'Nya', 'a month', 'times', 'internet']</v>
      </c>
      <c r="D709" s="3">
        <v>1.0</v>
      </c>
    </row>
    <row r="710" ht="15.75" customHeight="1">
      <c r="A710" s="1">
        <v>754.0</v>
      </c>
      <c r="B710" s="3" t="s">
        <v>705</v>
      </c>
      <c r="C710" s="3" t="str">
        <f>IFERROR(__xludf.DUMMYFUNCTION("GOOGLETRANSLATE(B710,""id"",""en"")"),"['innovative', 'detail', 'just', 'sometimes', 'slow', 'process']")</f>
        <v>['innovative', 'detail', 'just', 'sometimes', 'slow', 'process']</v>
      </c>
      <c r="D710" s="3">
        <v>5.0</v>
      </c>
    </row>
    <row r="711" ht="15.75" customHeight="1">
      <c r="A711" s="1">
        <v>755.0</v>
      </c>
      <c r="B711" s="3" t="s">
        <v>706</v>
      </c>
      <c r="C711" s="3" t="str">
        <f>IFERROR(__xludf.DUMMYFUNCTION("GOOGLETRANSLATE(B711,""id"",""en"")"),"['told', 'upgrade', 'pay', 'expensive', 'TPI', 'Tetep', 'slow', ""]")</f>
        <v>['told', 'upgrade', 'pay', 'expensive', 'TPI', 'Tetep', 'slow', "]</v>
      </c>
      <c r="D711" s="3">
        <v>1.0</v>
      </c>
    </row>
    <row r="712" ht="15.75" customHeight="1">
      <c r="A712" s="1">
        <v>756.0</v>
      </c>
      <c r="B712" s="3" t="s">
        <v>707</v>
      </c>
      <c r="C712" s="3" t="str">
        <f>IFERROR(__xludf.DUMMYFUNCTION("GOOGLETRANSLATE(B712,""id"",""en"")"),"['Network', 'bad', 'response', '']")</f>
        <v>['Network', 'bad', 'response', '']</v>
      </c>
      <c r="D712" s="3">
        <v>1.0</v>
      </c>
    </row>
    <row r="713" ht="15.75" customHeight="1">
      <c r="A713" s="1">
        <v>757.0</v>
      </c>
      <c r="B713" s="3" t="s">
        <v>708</v>
      </c>
      <c r="C713" s="3" t="str">
        <f>IFERROR(__xludf.DUMMYFUNCTION("GOOGLETRANSLATE(B713,""id"",""en"")"),"['application', 'easy', 'payment', 'choose', 'package']")</f>
        <v>['application', 'easy', 'payment', 'choose', 'package']</v>
      </c>
      <c r="D713" s="3">
        <v>5.0</v>
      </c>
    </row>
    <row r="714" ht="15.75" customHeight="1">
      <c r="A714" s="1">
        <v>758.0</v>
      </c>
      <c r="B714" s="3" t="s">
        <v>709</v>
      </c>
      <c r="C714" s="3" t="str">
        <f>IFERROR(__xludf.DUMMYFUNCTION("GOOGLETRANSLATE(B714,""id"",""en"")"),"['Service', 'Help', 'Application', 'Useful', 'Solution', 'Cuman', 'Restart', 'Modem', 'Helo', 'Service', 'BURIK', 'SCHOOL', ' Just ',' Restart ',' Modem ',' Internet ',' Function ',' User ',' Indihome ',' Since ',' Age ',' Speedy ',' Provider ',' Enter ',"&amp;"' Telkom ' , 'hesitation', 'UTH', 'Move']")</f>
        <v>['Service', 'Help', 'Application', 'Useful', 'Solution', 'Cuman', 'Restart', 'Modem', 'Helo', 'Service', 'BURIK', 'SCHOOL', ' Just ',' Restart ',' Modem ',' Internet ',' Function ',' User ',' Indihome ',' Since ',' Age ',' Speedy ',' Provider ',' Enter ',' Telkom ' , 'hesitation', 'UTH', 'Move']</v>
      </c>
      <c r="D714" s="3">
        <v>1.0</v>
      </c>
    </row>
    <row r="715" ht="15.75" customHeight="1">
      <c r="A715" s="1">
        <v>759.0</v>
      </c>
      <c r="B715" s="3" t="s">
        <v>710</v>
      </c>
      <c r="C715" s="3" t="str">
        <f>IFERROR(__xludf.DUMMYFUNCTION("GOOGLETRANSLATE(B715,""id"",""en"")"),"['difficult', 'open', 'application', 'Loding', '']")</f>
        <v>['difficult', 'open', 'application', 'Loding', '']</v>
      </c>
      <c r="D715" s="3">
        <v>1.0</v>
      </c>
    </row>
    <row r="716" ht="15.75" customHeight="1">
      <c r="A716" s="1">
        <v>760.0</v>
      </c>
      <c r="B716" s="3" t="s">
        <v>711</v>
      </c>
      <c r="C716" s="3" t="str">
        <f>IFERROR(__xludf.DUMMYFUNCTION("GOOGLETRANSLATE(B716,""id"",""en"")"),"['Error', 'Mulu']")</f>
        <v>['Error', 'Mulu']</v>
      </c>
      <c r="D716" s="3">
        <v>2.0</v>
      </c>
    </row>
    <row r="717" ht="15.75" customHeight="1">
      <c r="A717" s="1">
        <v>761.0</v>
      </c>
      <c r="B717" s="3" t="s">
        <v>712</v>
      </c>
      <c r="C717" s="3" t="str">
        <f>IFERROR(__xludf.DUMMYFUNCTION("GOOGLETRANSLATE(B717,""id"",""en"")"),"['Application', 'LEG', 'Network', 'Full', 'Connect', 'WiFi', 'Lemoot', 'Lemoot', ""]")</f>
        <v>['Application', 'LEG', 'Network', 'Full', 'Connect', 'WiFi', 'Lemoot', 'Lemoot', "]</v>
      </c>
      <c r="D717" s="3">
        <v>1.0</v>
      </c>
    </row>
    <row r="718" ht="15.75" customHeight="1">
      <c r="A718" s="1">
        <v>762.0</v>
      </c>
      <c r="B718" s="3" t="s">
        <v>713</v>
      </c>
      <c r="C718" s="3" t="str">
        <f>IFERROR(__xludf.DUMMYFUNCTION("GOOGLETRANSLATE(B718,""id"",""en"")"),"['Difficult', 'Open', 'Application', 'Error', '']")</f>
        <v>['Difficult', 'Open', 'Application', 'Error', '']</v>
      </c>
      <c r="D718" s="3">
        <v>1.0</v>
      </c>
    </row>
    <row r="719" ht="15.75" customHeight="1">
      <c r="A719" s="1">
        <v>763.0</v>
      </c>
      <c r="B719" s="3" t="s">
        <v>714</v>
      </c>
      <c r="C719" s="3" t="str">
        <f>IFERROR(__xludf.DUMMYFUNCTION("GOOGLETRANSLATE(B719,""id"",""en"")"),"['Please', 'Benerin', 'The network', 'Region', 'Jati', 'Pulo', 'Jakarta', 'West', 'Jngn', 'Payment', 'Gede', 'Internet', ' slow ',' open ',' youtube ',' difficult ',' doang ',' cheap ',' payment ',' internet ',' slow ',' please ',' benerin ']")</f>
        <v>['Please', 'Benerin', 'The network', 'Region', 'Jati', 'Pulo', 'Jakarta', 'West', 'Jngn', 'Payment', 'Gede', 'Internet', ' slow ',' open ',' youtube ',' difficult ',' doang ',' cheap ',' payment ',' internet ',' slow ',' please ',' benerin ']</v>
      </c>
      <c r="D719" s="3">
        <v>1.0</v>
      </c>
    </row>
    <row r="720" ht="15.75" customHeight="1">
      <c r="A720" s="1">
        <v>764.0</v>
      </c>
      <c r="B720" s="3" t="s">
        <v>715</v>
      </c>
      <c r="C720" s="3" t="str">
        <f>IFERROR(__xludf.DUMMYFUNCTION("GOOGLETRANSLATE(B720,""id"",""en"")"),"['Gara', 'Gara', 'disruption', 'yesterday', 'fix', 'steady', 'moved', 'provider', 'good', 'bye', 'indihome']")</f>
        <v>['Gara', 'Gara', 'disruption', 'yesterday', 'fix', 'steady', 'moved', 'provider', 'good', 'bye', 'indihome']</v>
      </c>
      <c r="D720" s="3">
        <v>1.0</v>
      </c>
    </row>
    <row r="721" ht="15.75" customHeight="1">
      <c r="A721" s="1">
        <v>765.0</v>
      </c>
      <c r="B721" s="3" t="s">
        <v>716</v>
      </c>
      <c r="C721" s="3" t="str">
        <f>IFERROR(__xludf.DUMMYFUNCTION("GOOGLETRANSLATE(B721,""id"",""en"")"),"['signal', 'bad', 'really', 'used', 'please', 'fast', 'repair']")</f>
        <v>['signal', 'bad', 'really', 'used', 'please', 'fast', 'repair']</v>
      </c>
      <c r="D721" s="3">
        <v>1.0</v>
      </c>
    </row>
    <row r="722" ht="15.75" customHeight="1">
      <c r="A722" s="1">
        <v>766.0</v>
      </c>
      <c r="B722" s="3" t="s">
        <v>717</v>
      </c>
      <c r="C722" s="3" t="str">
        <f>IFERROR(__xludf.DUMMYFUNCTION("GOOGLETRANSLATE(B722,""id"",""en"")"),"['expensive', 'doang', 'quality', 'ugly', 'network', 'truble', 'mulu', 'pdhl', 'pay', 'smooth']")</f>
        <v>['expensive', 'doang', 'quality', 'ugly', 'network', 'truble', 'mulu', 'pdhl', 'pay', 'smooth']</v>
      </c>
      <c r="D722" s="3">
        <v>1.0</v>
      </c>
    </row>
    <row r="723" ht="15.75" customHeight="1">
      <c r="A723" s="1">
        <v>767.0</v>
      </c>
      <c r="B723" s="3" t="s">
        <v>718</v>
      </c>
      <c r="C723" s="3" t="str">
        <f>IFERROR(__xludf.DUMMYFUNCTION("GOOGLETRANSLATE(B723,""id"",""en"")"),"['Application', 'Trouble', 'Note', 'Atasanya', 'Care', 'Products',' Application ',' Connected ',' Internet ',' Gosh ',' Error ',' wifi ',' Mobilw ',' data ']")</f>
        <v>['Application', 'Trouble', 'Note', 'Atasanya', 'Care', 'Products',' Application ',' Connected ',' Internet ',' Gosh ',' Error ',' wifi ',' Mobilw ',' data ']</v>
      </c>
      <c r="D723" s="3">
        <v>1.0</v>
      </c>
    </row>
    <row r="724" ht="15.75" customHeight="1">
      <c r="A724" s="1">
        <v>768.0</v>
      </c>
      <c r="B724" s="3" t="s">
        <v>719</v>
      </c>
      <c r="C724" s="3" t="str">
        <f>IFERROR(__xludf.DUMMYFUNCTION("GOOGLETRANSLATE(B724,""id"",""en"")"),"['Application', 'class', 'BUMN', 'Kayak', 'Gini', 'opened', 'Loading', 'Response', 'Internet', 'Fast', ""]")</f>
        <v>['Application', 'class', 'BUMN', 'Kayak', 'Gini', 'opened', 'Loading', 'Response', 'Internet', 'Fast', "]</v>
      </c>
      <c r="D724" s="3">
        <v>1.0</v>
      </c>
    </row>
    <row r="725" ht="15.75" customHeight="1">
      <c r="A725" s="1">
        <v>769.0</v>
      </c>
      <c r="B725" s="3" t="s">
        <v>720</v>
      </c>
      <c r="C725" s="3" t="str">
        <f>IFERROR(__xludf.DUMMYFUNCTION("GOOGLETRANSLATE(B725,""id"",""en"")"),"['Besides', 'forgery', 'signatures', 'customers', 'network', 'weak', 'down', 'notified', 'maintenance', ""]")</f>
        <v>['Besides', 'forgery', 'signatures', 'customers', 'network', 'weak', 'down', 'notified', 'maintenance', "]</v>
      </c>
      <c r="D725" s="3">
        <v>1.0</v>
      </c>
    </row>
    <row r="726" ht="15.75" customHeight="1">
      <c r="A726" s="1">
        <v>770.0</v>
      </c>
      <c r="B726" s="3" t="s">
        <v>721</v>
      </c>
      <c r="C726" s="3" t="str">
        <f>IFERROR(__xludf.DUMMYFUNCTION("GOOGLETRANSLATE(B726,""id"",""en"")"),"['min', 'pairs',' wifi ',' indihome ',' area ',' problematic ',' obstacle ',' beg ',' help ',' because ',' work ',' family ',' Zoom ',' ']")</f>
        <v>['min', 'pairs',' wifi ',' indihome ',' area ',' problematic ',' obstacle ',' beg ',' help ',' because ',' work ',' family ',' Zoom ',' ']</v>
      </c>
      <c r="D726" s="3">
        <v>2.0</v>
      </c>
    </row>
    <row r="727" ht="15.75" customHeight="1">
      <c r="A727" s="1">
        <v>771.0</v>
      </c>
      <c r="B727" s="3" t="s">
        <v>722</v>
      </c>
      <c r="C727" s="3" t="str">
        <f>IFERROR(__xludf.DUMMYFUNCTION("GOOGLETRANSLATE(B727,""id"",""en"")"),"['Sometimes',' strange ',' Indihome ',' use ',' APK ',' service ',' complaint ',' signal ',' slow ',' what ',' report ',' pakek ',' pulse ',' call ',' a minute ',' thousand ',' already ',' run out ',' pulse ']")</f>
        <v>['Sometimes',' strange ',' Indihome ',' use ',' APK ',' service ',' complaint ',' signal ',' slow ',' what ',' report ',' pakek ',' pulse ',' call ',' a minute ',' thousand ',' already ',' run out ',' pulse ']</v>
      </c>
      <c r="D727" s="3">
        <v>3.0</v>
      </c>
    </row>
    <row r="728" ht="15.75" customHeight="1">
      <c r="A728" s="1">
        <v>772.0</v>
      </c>
      <c r="B728" s="3" t="s">
        <v>723</v>
      </c>
      <c r="C728" s="3" t="str">
        <f>IFERROR(__xludf.DUMMYFUNCTION("GOOGLETRANSLATE(B728,""id"",""en"")"),"['Sang', 'ruler', 'Indihome', 'run out', 'pay', 'nich', 'koq', 'slow', 'really', 'signal', 'down', 'klau', ' late ',' disconnected ',' omelin ',' NDK ',' consistent ',' disappointing ',' woiiii ',' ']")</f>
        <v>['Sang', 'ruler', 'Indihome', 'run out', 'pay', 'nich', 'koq', 'slow', 'really', 'signal', 'down', 'klau', ' late ',' disconnected ',' omelin ',' NDK ',' consistent ',' disappointing ',' woiiii ',' ']</v>
      </c>
      <c r="D728" s="3">
        <v>1.0</v>
      </c>
    </row>
    <row r="729" ht="15.75" customHeight="1">
      <c r="A729" s="1">
        <v>773.0</v>
      </c>
      <c r="B729" s="3" t="s">
        <v>724</v>
      </c>
      <c r="C729" s="3" t="str">
        <f>IFERROR(__xludf.DUMMYFUNCTION("GOOGLETRANSLATE(B729,""id"",""en"")"),"['Severe', 'right', 'times',' pay ',' wifi ',' use ',' partner ',' shopee ',' his writing ',' msh ',' process', 'ndak', ' Kayak ',' wifi ',' already ',' slow ']")</f>
        <v>['Severe', 'right', 'times',' pay ',' wifi ',' use ',' partner ',' shopee ',' his writing ',' msh ',' process', 'ndak', ' Kayak ',' wifi ',' already ',' slow ']</v>
      </c>
      <c r="D729" s="3">
        <v>1.0</v>
      </c>
    </row>
    <row r="730" ht="15.75" customHeight="1">
      <c r="A730" s="1">
        <v>774.0</v>
      </c>
      <c r="B730" s="3" t="s">
        <v>725</v>
      </c>
      <c r="C730" s="3" t="str">
        <f>IFERROR(__xludf.DUMMYFUNCTION("GOOGLETRANSLATE(B730,""id"",""en"")"),"['lag', 'bet']")</f>
        <v>['lag', 'bet']</v>
      </c>
      <c r="D730" s="3">
        <v>1.0</v>
      </c>
    </row>
    <row r="731" ht="15.75" customHeight="1">
      <c r="A731" s="1">
        <v>775.0</v>
      </c>
      <c r="B731" s="3" t="s">
        <v>726</v>
      </c>
      <c r="C731" s="3" t="str">
        <f>IFERROR(__xludf.DUMMYFUNCTION("GOOGLETRANSLATE(B731,""id"",""en"")"),"['The network', 'slow', 'was so laid', 'APPLICATION', 'Application', 'Indihome', 'Wait', 'Minutes',' Report ',' Sent ',' Shipments', 'Tasks',' Office ',' Abandoned ',' Tasks', 'Lecture', 'Sister', 'Abandoned']")</f>
        <v>['The network', 'slow', 'was so laid', 'APPLICATION', 'Application', 'Indihome', 'Wait', 'Minutes',' Report ',' Sent ',' Shipments', 'Tasks',' Office ',' Abandoned ',' Tasks', 'Lecture', 'Sister', 'Abandoned']</v>
      </c>
      <c r="D731" s="3">
        <v>1.0</v>
      </c>
    </row>
    <row r="732" ht="15.75" customHeight="1">
      <c r="A732" s="1">
        <v>776.0</v>
      </c>
      <c r="B732" s="3" t="s">
        <v>727</v>
      </c>
      <c r="C732" s="3" t="str">
        <f>IFERROR(__xludf.DUMMYFUNCTION("GOOGLETRANSLATE(B732,""id"",""en"")"),"['Please', 'repaired', 'connection', 'City', 'Yesterday', 'Learning', 'Online', 'Difficult', 'Exam', 'Connection', 'Bad', 'Please', ' repaired ',' as soon as possible ',' thank you ']")</f>
        <v>['Please', 'repaired', 'connection', 'City', 'Yesterday', 'Learning', 'Online', 'Difficult', 'Exam', 'Connection', 'Bad', 'Please', ' repaired ',' as soon as possible ',' thank you ']</v>
      </c>
      <c r="D732" s="3">
        <v>1.0</v>
      </c>
    </row>
    <row r="733" ht="15.75" customHeight="1">
      <c r="A733" s="1">
        <v>777.0</v>
      </c>
      <c r="B733" s="3" t="s">
        <v>728</v>
      </c>
      <c r="C733" s="3" t="str">
        <f>IFERROR(__xludf.DUMMYFUNCTION("GOOGLETRANSLATE(B733,""id"",""en"")"),"['Date', 'September', 'internet', 'slow', 'severe', 'wifi', 'fast', 'kek', 'gini', 'see', 'boss',' star ',' Your service ',' satisfying ',' ']")</f>
        <v>['Date', 'September', 'internet', 'slow', 'severe', 'wifi', 'fast', 'kek', 'gini', 'see', 'boss',' star ',' Your service ',' satisfying ',' ']</v>
      </c>
      <c r="D733" s="3">
        <v>1.0</v>
      </c>
    </row>
    <row r="734" ht="15.75" customHeight="1">
      <c r="A734" s="1">
        <v>778.0</v>
      </c>
      <c r="B734" s="3" t="s">
        <v>729</v>
      </c>
      <c r="C734" s="3" t="str">
        <f>IFERROR(__xludf.DUMMYFUNCTION("GOOGLETRANSLATE(B734,""id"",""en"")"),"['Install', 'UDH', 'Damaged', 'Mna', 'Improvement', 'Dwakiri', 'Disruption', 'Dri', ""]")</f>
        <v>['Install', 'UDH', 'Damaged', 'Mna', 'Improvement', 'Dwakiri', 'Disruption', 'Dri', "]</v>
      </c>
      <c r="D734" s="3">
        <v>1.0</v>
      </c>
    </row>
    <row r="735" ht="15.75" customHeight="1">
      <c r="A735" s="1">
        <v>779.0</v>
      </c>
      <c r="B735" s="3" t="s">
        <v>730</v>
      </c>
      <c r="C735" s="3" t="str">
        <f>IFERROR(__xludf.DUMMYFUNCTION("GOOGLETRANSLATE(B735,""id"",""en"")"),"['Login', 'The application', 'difficult', ""]")</f>
        <v>['Login', 'The application', 'difficult', "]</v>
      </c>
      <c r="D735" s="3">
        <v>1.0</v>
      </c>
    </row>
    <row r="736" ht="15.75" customHeight="1">
      <c r="A736" s="1">
        <v>780.0</v>
      </c>
      <c r="B736" s="3" t="s">
        <v>731</v>
      </c>
      <c r="C736" s="3" t="str">
        <f>IFERROR(__xludf.DUMMYFUNCTION("GOOGLETRANSLATE(B736,""id"",""en"")"),"['Technicians', 'slow', 'for days', 'improvement', 'NGK', 'complaint', 'Kayak', 'say', 'radio', 'broken', ""]")</f>
        <v>['Technicians', 'slow', 'for days', 'improvement', 'NGK', 'complaint', 'Kayak', 'say', 'radio', 'broken', "]</v>
      </c>
      <c r="D736" s="3">
        <v>1.0</v>
      </c>
    </row>
    <row r="737" ht="15.75" customHeight="1">
      <c r="A737" s="1">
        <v>781.0</v>
      </c>
      <c r="B737" s="3" t="s">
        <v>732</v>
      </c>
      <c r="C737" s="3" t="str">
        <f>IFERROR(__xludf.DUMMYFUNCTION("GOOGLETRANSLATE(B737,""id"",""en"")"),"['Please', 'Fix', 'Application', 'Log', 'Normal']")</f>
        <v>['Please', 'Fix', 'Application', 'Log', 'Normal']</v>
      </c>
      <c r="D737" s="3">
        <v>1.0</v>
      </c>
    </row>
    <row r="738" ht="15.75" customHeight="1">
      <c r="A738" s="1">
        <v>782.0</v>
      </c>
      <c r="B738" s="3" t="s">
        <v>733</v>
      </c>
      <c r="C738" s="3" t="str">
        <f>IFERROR(__xludf.DUMMYFUNCTION("GOOGLETRANSLATE(B738,""id"",""en"")"),"['Indihome', 'poor', 'disruption', 'vain', 'vain', 'pay', 'disorder', 'mulu', 'emang', ""]")</f>
        <v>['Indihome', 'poor', 'disruption', 'vain', 'vain', 'pay', 'disorder', 'mulu', 'emang', "]</v>
      </c>
      <c r="D738" s="3">
        <v>1.0</v>
      </c>
    </row>
    <row r="739" ht="15.75" customHeight="1">
      <c r="A739" s="1">
        <v>783.0</v>
      </c>
      <c r="B739" s="3" t="s">
        <v>734</v>
      </c>
      <c r="C739" s="3" t="str">
        <f>IFERROR(__xludf.DUMMYFUNCTION("GOOGLETRANSLATE(B739,""id"",""en"")"),"['TELKOM', 'Indihome', 'LEG', 'Network', 'WiFi', 'Pay', 'Cheap', 'Hmmm', 'Access', 'YouTube', 'Gabisa']")</f>
        <v>['TELKOM', 'Indihome', 'LEG', 'Network', 'WiFi', 'Pay', 'Cheap', 'Hmmm', 'Access', 'YouTube', 'Gabisa']</v>
      </c>
      <c r="D739" s="3">
        <v>1.0</v>
      </c>
    </row>
    <row r="740" ht="15.75" customHeight="1">
      <c r="A740" s="1">
        <v>784.0</v>
      </c>
      <c r="B740" s="3" t="s">
        <v>735</v>
      </c>
      <c r="C740" s="3" t="str">
        <f>IFERROR(__xludf.DUMMYFUNCTION("GOOGLETRANSLATE(B740,""id"",""en"")"),"['slow connection']")</f>
        <v>['slow connection']</v>
      </c>
      <c r="D740" s="3">
        <v>1.0</v>
      </c>
    </row>
    <row r="741" ht="15.75" customHeight="1">
      <c r="A741" s="1">
        <v>785.0</v>
      </c>
      <c r="B741" s="3" t="s">
        <v>736</v>
      </c>
      <c r="C741" s="3" t="str">
        <f>IFERROR(__xludf.DUMMYFUNCTION("GOOGLETRANSLATE(B741,""id"",""en"")"),"['Ngellag', ""]")</f>
        <v>['Ngellag', "]</v>
      </c>
      <c r="D741" s="3">
        <v>1.0</v>
      </c>
    </row>
    <row r="742" ht="15.75" customHeight="1">
      <c r="A742" s="1">
        <v>786.0</v>
      </c>
      <c r="B742" s="3" t="s">
        <v>737</v>
      </c>
      <c r="C742" s="3" t="str">
        <f>IFERROR(__xludf.DUMMYFUNCTION("GOOGLETRANSLATE(B742,""id"",""en"")"),"['week', 'lights',' modem ',' color ',' red ',' try ',' turn off ',' power ',' tetep ',' red ',' los', 'repair', ' Hadeeuuuuuhhh ']")</f>
        <v>['week', 'lights',' modem ',' color ',' red ',' try ',' turn off ',' power ',' tetep ',' red ',' los', 'repair', ' Hadeeuuuuuhhh ']</v>
      </c>
      <c r="D742" s="3">
        <v>1.0</v>
      </c>
    </row>
    <row r="743" ht="15.75" customHeight="1">
      <c r="A743" s="1">
        <v>787.0</v>
      </c>
      <c r="B743" s="3" t="s">
        <v>738</v>
      </c>
      <c r="C743" s="3" t="str">
        <f>IFERROR(__xludf.DUMMYFUNCTION("GOOGLETRANSLATE(B743,""id"",""en"")"),"['app', 'trash', 'really', 'login', 'thank', 'OTP', 'try', 'please', 'try', 'hours', 'hadeuh', ""]")</f>
        <v>['app', 'trash', 'really', 'login', 'thank', 'OTP', 'try', 'please', 'try', 'hours', 'hadeuh', "]</v>
      </c>
      <c r="D743" s="3">
        <v>1.0</v>
      </c>
    </row>
    <row r="744" ht="15.75" customHeight="1">
      <c r="A744" s="1">
        <v>788.0</v>
      </c>
      <c r="B744" s="3" t="s">
        <v>739</v>
      </c>
      <c r="C744" s="3" t="str">
        <f>IFERROR(__xludf.DUMMYFUNCTION("GOOGLETRANSLATE(B744,""id"",""en"")"),"['Please', 'facilitated', 'report', 'Disorders',' Indihome ',' Very ',' Disruption ',' Report ',' Ribet ',' Conect ',' WiFi ',' Indihome ',' DLU ',' Replex ',' TPI ',' TPI ',' Internet ',' GMN ',' Report ',' Signal ',' Online ',' Application ',' Indihomen"&amp;" ',' Report ' , 'telephone', 'spend', 'pulse', ""]")</f>
        <v>['Please', 'facilitated', 'report', 'Disorders',' Indihome ',' Very ',' Disruption ',' Report ',' Ribet ',' Conect ',' WiFi ',' Indihome ',' DLU ',' Replex ',' TPI ',' TPI ',' Internet ',' GMN ',' Report ',' Signal ',' Online ',' Application ',' Indihomen ',' Report ' , 'telephone', 'spend', 'pulse', "]</v>
      </c>
      <c r="D744" s="3">
        <v>1.0</v>
      </c>
    </row>
    <row r="745" ht="15.75" customHeight="1">
      <c r="A745" s="1">
        <v>789.0</v>
      </c>
      <c r="B745" s="3" t="s">
        <v>740</v>
      </c>
      <c r="C745" s="3" t="str">
        <f>IFERROR(__xludf.DUMMYFUNCTION("GOOGLETRANSLATE(B745,""id"",""en"")"),"['Indi', 'home', 'Telkomsel', 'slow', 'exciting', 'play', 'game', 'open', 'chrome', 'bother', 'person', 'learn', ' School ',' Oneline ']")</f>
        <v>['Indi', 'home', 'Telkomsel', 'slow', 'exciting', 'play', 'game', 'open', 'chrome', 'bother', 'person', 'learn', ' School ',' Oneline ']</v>
      </c>
      <c r="D745" s="3">
        <v>1.0</v>
      </c>
    </row>
    <row r="746" ht="15.75" customHeight="1">
      <c r="A746" s="1">
        <v>790.0</v>
      </c>
      <c r="B746" s="3" t="s">
        <v>741</v>
      </c>
      <c r="C746" s="3" t="str">
        <f>IFERROR(__xludf.DUMMYFUNCTION("GOOGLETRANSLATE(B746,""id"",""en"")"),"['Indihome', 'slow', 'really', 'pay', 'late', 'network', 'sucks', 'use', 'package', 'data', 'nie', ""]")</f>
        <v>['Indihome', 'slow', 'really', 'pay', 'late', 'network', 'sucks', 'use', 'package', 'data', 'nie', "]</v>
      </c>
      <c r="D746" s="3">
        <v>1.0</v>
      </c>
    </row>
    <row r="747" ht="15.75" customHeight="1">
      <c r="A747" s="1">
        <v>791.0</v>
      </c>
      <c r="B747" s="3" t="s">
        <v>742</v>
      </c>
      <c r="C747" s="3" t="str">
        <f>IFERROR(__xludf.DUMMYFUNCTION("GOOGLETRANSLATE(B747,""id"",""en"")"),"['Pay', 'Indihome', 'knapa', 'jtuh', 'tempo']")</f>
        <v>['Pay', 'Indihome', 'knapa', 'jtuh', 'tempo']</v>
      </c>
      <c r="D747" s="3">
        <v>2.0</v>
      </c>
    </row>
    <row r="748" ht="15.75" customHeight="1">
      <c r="A748" s="1">
        <v>792.0</v>
      </c>
      <c r="B748" s="3" t="s">
        <v>743</v>
      </c>
      <c r="C748" s="3" t="str">
        <f>IFERROR(__xludf.DUMMYFUNCTION("GOOGLETRANSLATE(B748,""id"",""en"")"),"['woi', 'expensive', 'doang', 'you', 'bills',' service ',' ugly ',' collapsed ',' price ',' package ',' customize ',' facility ',' Service ',' Determination ',' Network ',' All Day ',' Ngilak ',' You ']")</f>
        <v>['woi', 'expensive', 'doang', 'you', 'bills',' service ',' ugly ',' collapsed ',' price ',' package ',' customize ',' facility ',' Service ',' Determination ',' Network ',' All Day ',' Ngilak ',' You ']</v>
      </c>
      <c r="D748" s="3">
        <v>2.0</v>
      </c>
    </row>
    <row r="749" ht="15.75" customHeight="1">
      <c r="A749" s="1">
        <v>793.0</v>
      </c>
      <c r="B749" s="3" t="s">
        <v>744</v>
      </c>
      <c r="C749" s="3" t="str">
        <f>IFERROR(__xludf.DUMMYFUNCTION("GOOGLETRANSLATE(B749,""id"",""en"")"),"['parahh', 'pay', 'bills', 'debited', 'telephone', 'failed', 'parahhhhh', '']")</f>
        <v>['parahh', 'pay', 'bills', 'debited', 'telephone', 'failed', 'parahhhhh', '']</v>
      </c>
      <c r="D749" s="3">
        <v>1.0</v>
      </c>
    </row>
    <row r="750" ht="15.75" customHeight="1">
      <c r="A750" s="1">
        <v>794.0</v>
      </c>
      <c r="B750" s="3" t="s">
        <v>745</v>
      </c>
      <c r="C750" s="3" t="str">
        <f>IFERROR(__xludf.DUMMYFUNCTION("GOOGLETRANSLATE(B750,""id"",""en"")"),"['application', 'garbage', 'login', 'failed', 'condition', 'internet', 'normal', 'smooth', '']")</f>
        <v>['application', 'garbage', 'login', 'failed', 'condition', 'internet', 'normal', 'smooth', '']</v>
      </c>
      <c r="D750" s="3">
        <v>1.0</v>
      </c>
    </row>
    <row r="751" ht="15.75" customHeight="1">
      <c r="A751" s="1">
        <v>795.0</v>
      </c>
      <c r="B751" s="3" t="s">
        <v>746</v>
      </c>
      <c r="C751" s="3" t="str">
        <f>IFERROR(__xludf.DUMMYFUNCTION("GOOGLETRANSLATE(B751,""id"",""en"")"),"['Web', 'Lemot', 'APK', 'Lemott', 'how', '']")</f>
        <v>['Web', 'Lemot', 'APK', 'Lemott', 'how', '']</v>
      </c>
      <c r="D751" s="3">
        <v>1.0</v>
      </c>
    </row>
    <row r="752" ht="15.75" customHeight="1">
      <c r="A752" s="1">
        <v>796.0</v>
      </c>
      <c r="B752" s="3" t="s">
        <v>747</v>
      </c>
      <c r="C752" s="3" t="str">
        <f>IFERROR(__xludf.DUMMYFUNCTION("GOOGLETRANSLATE(B752,""id"",""en"")"),"['already', 'expensive', 'slow', 'Bukak', 'Story', 'gabisa']")</f>
        <v>['already', 'expensive', 'slow', 'Bukak', 'Story', 'gabisa']</v>
      </c>
      <c r="D752" s="3">
        <v>1.0</v>
      </c>
    </row>
    <row r="753" ht="15.75" customHeight="1">
      <c r="A753" s="1">
        <v>797.0</v>
      </c>
      <c r="B753" s="3" t="s">
        <v>748</v>
      </c>
      <c r="C753" s="3" t="str">
        <f>IFERROR(__xludf.DUMMYFUNCTION("GOOGLETRANSLATE(B753,""id"",""en"")"),"['network', 'elderly', 'age', 'forced', 'run', 'kalok', 'office', 'telkom', 'complement', 'handling', 'difference', 'siknifikan', ' Anying ',' Bener ']")</f>
        <v>['network', 'elderly', 'age', 'forced', 'run', 'kalok', 'office', 'telkom', 'complement', 'handling', 'difference', 'siknifikan', ' Anying ',' Bener ']</v>
      </c>
      <c r="D753" s="3">
        <v>1.0</v>
      </c>
    </row>
    <row r="754" ht="15.75" customHeight="1">
      <c r="A754" s="1">
        <v>798.0</v>
      </c>
      <c r="B754" s="3" t="s">
        <v>749</v>
      </c>
      <c r="C754" s="3" t="str">
        <f>IFERROR(__xludf.DUMMYFUNCTION("GOOGLETRANSLATE(B754,""id"",""en"")"),"['meal', 'money', 'haram', 'obligation', 'already', 'fulfilled', 'right', 'customer', 'neglected', ""]")</f>
        <v>['meal', 'money', 'haram', 'obligation', 'already', 'fulfilled', 'right', 'customer', 'neglected', "]</v>
      </c>
      <c r="D754" s="3">
        <v>1.0</v>
      </c>
    </row>
    <row r="755" ht="15.75" customHeight="1">
      <c r="A755" s="1">
        <v>799.0</v>
      </c>
      <c r="B755" s="3" t="s">
        <v>750</v>
      </c>
      <c r="C755" s="3" t="str">
        <f>IFERROR(__xludf.DUMMYFUNCTION("GOOGLETRANSLATE(B755,""id"",""en"")"),"['Application', 'slow', 'Loading', 'opened', 'Minute']")</f>
        <v>['Application', 'slow', 'Loading', 'opened', 'Minute']</v>
      </c>
      <c r="D755" s="3">
        <v>2.0</v>
      </c>
    </row>
    <row r="756" ht="15.75" customHeight="1">
      <c r="A756" s="1">
        <v>800.0</v>
      </c>
      <c r="B756" s="3" t="s">
        <v>751</v>
      </c>
      <c r="C756" s="3" t="str">
        <f>IFERROR(__xludf.DUMMYFUNCTION("GOOGLETRANSLATE(B756,""id"",""en"")"),"['min', 'login', 'email', 'password', 'entered', 'according to', 'already', 'tried', 'forget', 'password', 'succeed', 'replace', ' password ',' put ',' pass', 'failed', 'login', 'chance', 'login', 'chance', 'times',' have ',' ']")</f>
        <v>['min', 'login', 'email', 'password', 'entered', 'according to', 'already', 'tried', 'forget', 'password', 'succeed', 'replace', ' password ',' put ',' pass', 'failed', 'login', 'chance', 'login', 'chance', 'times',' have ',' ']</v>
      </c>
      <c r="D756" s="3">
        <v>1.0</v>
      </c>
    </row>
    <row r="757" ht="15.75" customHeight="1">
      <c r="A757" s="1">
        <v>801.0</v>
      </c>
      <c r="B757" s="3" t="s">
        <v>752</v>
      </c>
      <c r="C757" s="3" t="str">
        <f>IFERROR(__xludf.DUMMYFUNCTION("GOOGLETRANSLATE(B757,""id"",""en"")"),"['Please', 'Bayat', 'Bill', 'Indihome', 'Difficult', 'Turn', 'Stop', 'Have', 'Pay', 'Fines', 'Response', 'Slow']")</f>
        <v>['Please', 'Bayat', 'Bill', 'Indihome', 'Difficult', 'Turn', 'Stop', 'Have', 'Pay', 'Fines', 'Response', 'Slow']</v>
      </c>
      <c r="D757" s="3">
        <v>1.0</v>
      </c>
    </row>
    <row r="758" ht="15.75" customHeight="1">
      <c r="A758" s="1">
        <v>802.0</v>
      </c>
      <c r="B758" s="3" t="s">
        <v>753</v>
      </c>
      <c r="C758" s="3" t="str">
        <f>IFERROR(__xludf.DUMMYFUNCTION("GOOGLETRANSLATE(B758,""id"",""en"")"),"['slow', '']")</f>
        <v>['slow', '']</v>
      </c>
      <c r="D758" s="3">
        <v>1.0</v>
      </c>
    </row>
    <row r="759" ht="15.75" customHeight="1">
      <c r="A759" s="1">
        <v>804.0</v>
      </c>
      <c r="B759" s="3" t="s">
        <v>754</v>
      </c>
      <c r="C759" s="3" t="str">
        <f>IFERROR(__xludf.DUMMYFUNCTION("GOOGLETRANSLATE(B759,""id"",""en"")"),"['Network', 'slow', 'pay', 'late', 'poor', 'recommendation']")</f>
        <v>['Network', 'slow', 'pay', 'late', 'poor', 'recommendation']</v>
      </c>
      <c r="D759" s="3">
        <v>1.0</v>
      </c>
    </row>
    <row r="760" ht="15.75" customHeight="1">
      <c r="A760" s="1">
        <v>805.0</v>
      </c>
      <c r="B760" s="3" t="s">
        <v>755</v>
      </c>
      <c r="C760" s="3" t="str">
        <f>IFERROR(__xludf.DUMMYFUNCTION("GOOGLETRANSLATE(B760,""id"",""en"")"),"['Version', 'Details',' dear ',' number ',' registered ',' number ',' Indihome ',' list ',' number ',' consumer ',' subscribe ',' number ',' Indihome ',' ']")</f>
        <v>['Version', 'Details',' dear ',' number ',' registered ',' number ',' Indihome ',' list ',' number ',' consumer ',' subscribe ',' number ',' Indihome ',' ']</v>
      </c>
      <c r="D760" s="3">
        <v>5.0</v>
      </c>
    </row>
    <row r="761" ht="15.75" customHeight="1">
      <c r="A761" s="1">
        <v>806.0</v>
      </c>
      <c r="B761" s="3" t="s">
        <v>756</v>
      </c>
      <c r="C761" s="3" t="str">
        <f>IFERROR(__xludf.DUMMYFUNCTION("GOOGLETRANSLATE(B761,""id"",""en"")"),"['improvement', 'access', 'bad', 'password', 'wrong', 'password', 'inserted', 'bena', 'registered', 'access', 'see', 'quota']")</f>
        <v>['improvement', 'access', 'bad', 'password', 'wrong', 'password', 'inserted', 'bena', 'registered', 'access', 'see', 'quota']</v>
      </c>
      <c r="D761" s="3">
        <v>1.0</v>
      </c>
    </row>
    <row r="762" ht="15.75" customHeight="1">
      <c r="A762" s="1">
        <v>807.0</v>
      </c>
      <c r="B762" s="3" t="s">
        <v>757</v>
      </c>
      <c r="C762" s="3" t="str">
        <f>IFERROR(__xludf.DUMMYFUNCTION("GOOGLETRANSLATE(B762,""id"",""en"")"),"['Official', '']")</f>
        <v>['Official', '']</v>
      </c>
      <c r="D762" s="3">
        <v>3.0</v>
      </c>
    </row>
    <row r="763" ht="15.75" customHeight="1">
      <c r="A763" s="1">
        <v>808.0</v>
      </c>
      <c r="B763" s="3" t="s">
        <v>758</v>
      </c>
      <c r="C763" s="3" t="str">
        <f>IFERROR(__xludf.DUMMYFUNCTION("GOOGLETRANSLATE(B763,""id"",""en"")"),"['', 'wifi', 'run out', 'pay', 'slow', ""]")</f>
        <v>['', 'wifi', 'run out', 'pay', 'slow', "]</v>
      </c>
      <c r="D763" s="3">
        <v>1.0</v>
      </c>
    </row>
    <row r="764" ht="15.75" customHeight="1">
      <c r="A764" s="1">
        <v>809.0</v>
      </c>
      <c r="B764" s="3" t="s">
        <v>759</v>
      </c>
      <c r="C764" s="3" t="str">
        <f>IFERROR(__xludf.DUMMYFUNCTION("GOOGLETRANSLATE(B764,""id"",""en"")"),"['App', 'Ngelag', 'Network', 'Ngelag', '']")</f>
        <v>['App', 'Ngelag', 'Network', 'Ngelag', '']</v>
      </c>
      <c r="D764" s="3">
        <v>1.0</v>
      </c>
    </row>
    <row r="765" ht="15.75" customHeight="1">
      <c r="A765" s="1">
        <v>810.0</v>
      </c>
      <c r="B765" s="3" t="s">
        <v>760</v>
      </c>
      <c r="C765" s="3" t="str">
        <f>IFERROR(__xludf.DUMMYFUNCTION("GOOGLETRANSLATE(B765,""id"",""en"")"),"['every time', 'fall', 'tempo', 'date', 'quality', 'signal', 'collapse', 'hadeuh', 'afraid', 'pay', ""]")</f>
        <v>['every time', 'fall', 'tempo', 'date', 'quality', 'signal', 'collapse', 'hadeuh', 'afraid', 'pay', "]</v>
      </c>
      <c r="D765" s="3">
        <v>3.0</v>
      </c>
    </row>
    <row r="766" ht="15.75" customHeight="1">
      <c r="A766" s="1">
        <v>811.0</v>
      </c>
      <c r="B766" s="3" t="s">
        <v>761</v>
      </c>
      <c r="C766" s="3" t="str">
        <f>IFERROR(__xludf.DUMMYFUNCTION("GOOGLETRANSLATE(B766,""id"",""en"")"),"['INDIHOME', 'JLS']")</f>
        <v>['INDIHOME', 'JLS']</v>
      </c>
      <c r="D766" s="3">
        <v>2.0</v>
      </c>
    </row>
    <row r="767" ht="15.75" customHeight="1">
      <c r="A767" s="1">
        <v>812.0</v>
      </c>
      <c r="B767" s="3" t="s">
        <v>762</v>
      </c>
      <c r="C767" s="3" t="str">
        <f>IFERROR(__xludf.DUMMYFUNCTION("GOOGLETRANSLATE(B767,""id"",""en"")"),"['signal', 'Kenceng', 'Bangettt', 'steady', 'like', 'Indihome', 'Indihome', 'favorite', 'Champion', 'Continue', 'work', ""]")</f>
        <v>['signal', 'Kenceng', 'Bangettt', 'steady', 'like', 'Indihome', 'Indihome', 'favorite', 'Champion', 'Continue', 'work', "]</v>
      </c>
      <c r="D767" s="3">
        <v>1.0</v>
      </c>
    </row>
    <row r="768" ht="15.75" customHeight="1">
      <c r="A768" s="1">
        <v>813.0</v>
      </c>
      <c r="B768" s="3" t="s">
        <v>763</v>
      </c>
      <c r="C768" s="3" t="str">
        <f>IFERROR(__xludf.DUMMYFUNCTION("GOOGLETRANSLATE(B768,""id"",""en"")"),"['week', 'problematic', 'network', 'internet', '']")</f>
        <v>['week', 'problematic', 'network', 'internet', '']</v>
      </c>
      <c r="D768" s="3">
        <v>1.0</v>
      </c>
    </row>
    <row r="769" ht="15.75" customHeight="1">
      <c r="A769" s="1">
        <v>814.0</v>
      </c>
      <c r="B769" s="3" t="s">
        <v>764</v>
      </c>
      <c r="C769" s="3" t="str">
        <f>IFERROR(__xludf.DUMMYFUNCTION("GOOGLETRANSLATE(B769,""id"",""en"")"),"['Network', 'donntl', 'lag', 'bngt', 'bngt', 'disruption', 'asw', 'udh', 'expensive', 'network', 'kntl', 'kntle']")</f>
        <v>['Network', 'donntl', 'lag', 'bngt', 'bngt', 'disruption', 'asw', 'udh', 'expensive', 'network', 'kntl', 'kntle']</v>
      </c>
      <c r="D769" s="3">
        <v>1.0</v>
      </c>
    </row>
    <row r="770" ht="15.75" customHeight="1">
      <c r="A770" s="1">
        <v>815.0</v>
      </c>
      <c r="B770" s="3" t="s">
        <v>765</v>
      </c>
      <c r="C770" s="3" t="str">
        <f>IFERROR(__xludf.DUMMYFUNCTION("GOOGLETRANSLATE(B770,""id"",""en"")"),"['Application', 'Myindihome', 'Sangay', 'Details', 'Check', 'Bill', 'Complete', 'Diskihan', 'Bill', 'Complete', 'TtooOppp']")</f>
        <v>['Application', 'Myindihome', 'Sangay', 'Details', 'Check', 'Bill', 'Complete', 'Diskihan', 'Bill', 'Complete', 'TtooOppp']</v>
      </c>
      <c r="D770" s="3">
        <v>5.0</v>
      </c>
    </row>
    <row r="771" ht="15.75" customHeight="1">
      <c r="A771" s="1">
        <v>816.0</v>
      </c>
      <c r="B771" s="3" t="s">
        <v>766</v>
      </c>
      <c r="C771" s="3" t="str">
        <f>IFERROR(__xludf.DUMMYFUNCTION("GOOGLETRANSLATE(B771,""id"",""en"")"),"['', 'Lord', 'Login', 'enter', 'account', 'difficult', 'constraints',' internet ',' failed ',' access', 'browsing', 'brain', 'Atik ',' anything ',' complaint ',' hrs', 'submission', 'wants',' told ',' add ',' capacity ',' so ',' smooth ',' internet ', ""]")</f>
        <v>['', 'Lord', 'Login', 'enter', 'account', 'difficult', 'constraints',' internet ',' failed ',' access', 'browsing', 'brain', 'Atik ',' anything ',' complaint ',' hrs', 'submission', 'wants',' told ',' add ',' capacity ',' so ',' smooth ',' internet ', "]</v>
      </c>
      <c r="D771" s="3">
        <v>1.0</v>
      </c>
    </row>
    <row r="772" ht="15.75" customHeight="1">
      <c r="A772" s="1">
        <v>817.0</v>
      </c>
      <c r="B772" s="3" t="s">
        <v>767</v>
      </c>
      <c r="C772" s="3" t="str">
        <f>IFERROR(__xludf.DUMMYFUNCTION("GOOGLETRANSLATE(B772,""id"",""en"")"),"['little', 'little', 'disorder', 'complaints', 'responded', '']")</f>
        <v>['little', 'little', 'disorder', 'complaints', 'responded', '']</v>
      </c>
      <c r="D772" s="3">
        <v>1.0</v>
      </c>
    </row>
    <row r="773" ht="15.75" customHeight="1">
      <c r="A773" s="1">
        <v>820.0</v>
      </c>
      <c r="B773" s="3" t="s">
        <v>768</v>
      </c>
      <c r="C773" s="3" t="str">
        <f>IFERROR(__xludf.DUMMYFUNCTION("GOOGLETRANSLATE(B773,""id"",""en"")"),"['BSA', 'Login', 'Application', 'Error']")</f>
        <v>['BSA', 'Login', 'Application', 'Error']</v>
      </c>
      <c r="D773" s="3">
        <v>2.0</v>
      </c>
    </row>
    <row r="774" ht="15.75" customHeight="1">
      <c r="A774" s="1">
        <v>821.0</v>
      </c>
      <c r="B774" s="3" t="s">
        <v>769</v>
      </c>
      <c r="C774" s="3" t="str">
        <f>IFERROR(__xludf.DUMMYFUNCTION("GOOGLETRANSLATE(B774,""id"",""en"")"),"['comfortable']")</f>
        <v>['comfortable']</v>
      </c>
      <c r="D774" s="3">
        <v>1.0</v>
      </c>
    </row>
    <row r="775" ht="15.75" customHeight="1">
      <c r="A775" s="1">
        <v>822.0</v>
      </c>
      <c r="B775" s="3" t="s">
        <v>770</v>
      </c>
      <c r="C775" s="3" t="str">
        <f>IFERROR(__xludf.DUMMYFUNCTION("GOOGLETRANSLATE(B775,""id"",""en"")"),"['application', 'junk', 'see', 'status',' use ',' speed ',' internet ',' loading ',' failed ',' udh ',' try ',' make ',' wifi ',' data ',' cellular ',' learn ',' rada ',' capital ',' application ',' indihome ',' udh ',' expensive ',' ']")</f>
        <v>['application', 'junk', 'see', 'status',' use ',' speed ',' internet ',' loading ',' failed ',' udh ',' try ',' make ',' wifi ',' data ',' cellular ',' learn ',' rada ',' capital ',' application ',' indihome ',' udh ',' expensive ',' ']</v>
      </c>
      <c r="D775" s="3">
        <v>1.0</v>
      </c>
    </row>
    <row r="776" ht="15.75" customHeight="1">
      <c r="A776" s="1">
        <v>823.0</v>
      </c>
      <c r="B776" s="3" t="s">
        <v>771</v>
      </c>
      <c r="C776" s="3" t="str">
        <f>IFERROR(__xludf.DUMMYFUNCTION("GOOGLETRANSLATE(B776,""id"",""en"")"),"['Register', 'Login', '']")</f>
        <v>['Register', 'Login', '']</v>
      </c>
      <c r="D776" s="3">
        <v>1.0</v>
      </c>
    </row>
    <row r="777" ht="15.75" customHeight="1">
      <c r="A777" s="1">
        <v>824.0</v>
      </c>
      <c r="B777" s="3" t="s">
        <v>772</v>
      </c>
      <c r="C777" s="3" t="str">
        <f>IFERROR(__xludf.DUMMYFUNCTION("GOOGLETRANSLATE(B777,""id"",""en"")"),"['Tlng', 'payer', 'error', 'pay', 'difficult', 'indomaret', 'tlng', 'emang', 'distance', 'payment', 'date', 'difficult']")</f>
        <v>['Tlng', 'payer', 'error', 'pay', 'difficult', 'indomaret', 'tlng', 'emang', 'distance', 'payment', 'date', 'difficult']</v>
      </c>
      <c r="D777" s="3">
        <v>3.0</v>
      </c>
    </row>
    <row r="778" ht="15.75" customHeight="1">
      <c r="A778" s="1">
        <v>826.0</v>
      </c>
      <c r="B778" s="3" t="s">
        <v>150</v>
      </c>
      <c r="C778" s="3" t="str">
        <f>IFERROR(__xludf.DUMMYFUNCTION("GOOGLETRANSLATE(B778,""id"",""en"")"),"['bad']")</f>
        <v>['bad']</v>
      </c>
      <c r="D778" s="3">
        <v>1.0</v>
      </c>
    </row>
    <row r="779" ht="15.75" customHeight="1">
      <c r="A779" s="1">
        <v>827.0</v>
      </c>
      <c r="B779" s="3" t="s">
        <v>773</v>
      </c>
      <c r="C779" s="3" t="str">
        <f>IFERROR(__xludf.DUMMYFUNCTION("GOOGLETRANSLATE(B779,""id"",""en"")"),"['Provider', 'Internet', 'Application', 'Web', 'Lemot', '']")</f>
        <v>['Provider', 'Internet', 'Application', 'Web', 'Lemot', '']</v>
      </c>
      <c r="D779" s="3">
        <v>1.0</v>
      </c>
    </row>
    <row r="780" ht="15.75" customHeight="1">
      <c r="A780" s="1">
        <v>828.0</v>
      </c>
      <c r="B780" s="3" t="s">
        <v>60</v>
      </c>
      <c r="C780" s="3" t="str">
        <f>IFERROR(__xludf.DUMMYFUNCTION("GOOGLETRANSLATE(B780,""id"",""en"")"),"['good']")</f>
        <v>['good']</v>
      </c>
      <c r="D780" s="3">
        <v>5.0</v>
      </c>
    </row>
    <row r="781" ht="15.75" customHeight="1">
      <c r="A781" s="1">
        <v>829.0</v>
      </c>
      <c r="B781" s="3" t="s">
        <v>774</v>
      </c>
      <c r="C781" s="3" t="str">
        <f>IFERROR(__xludf.DUMMYFUNCTION("GOOGLETRANSLATE(B781,""id"",""en"")"),"['Woy', 'Indihome', 'response', 'WiFi', 'lag', 'Severe', 'Benerin', 'Pay', 'expensive', 'expensive', 'according to', 'love', ' intention', '']")</f>
        <v>['Woy', 'Indihome', 'response', 'WiFi', 'lag', 'Severe', 'Benerin', 'Pay', 'expensive', 'expensive', 'according to', 'love', ' intention', '']</v>
      </c>
      <c r="D781" s="3">
        <v>1.0</v>
      </c>
    </row>
    <row r="782" ht="15.75" customHeight="1">
      <c r="A782" s="1">
        <v>830.0</v>
      </c>
      <c r="B782" s="3" t="s">
        <v>775</v>
      </c>
      <c r="C782" s="3" t="str">
        <f>IFERROR(__xludf.DUMMYFUNCTION("GOOGLETRANSLATE(B782,""id"",""en"")"),"['Application', 'opened', 'Loading', 'then']")</f>
        <v>['Application', 'opened', 'Loading', 'then']</v>
      </c>
      <c r="D782" s="3">
        <v>1.0</v>
      </c>
    </row>
    <row r="783" ht="15.75" customHeight="1">
      <c r="A783" s="1">
        <v>831.0</v>
      </c>
      <c r="B783" s="3" t="s">
        <v>776</v>
      </c>
      <c r="C783" s="3" t="str">
        <f>IFERROR(__xludf.DUMMYFUNCTION("GOOGLETRANSLATE(B783,""id"",""en"")"),"['ugly', 'pay', 'expensive', 'network', 'wifi', 'on', 'ngelos', 'active', 'network', 'that's', 'repeated', '']")</f>
        <v>['ugly', 'pay', 'expensive', 'network', 'wifi', 'on', 'ngelos', 'active', 'network', 'that's', 'repeated', '']</v>
      </c>
      <c r="D783" s="3">
        <v>1.0</v>
      </c>
    </row>
    <row r="784" ht="15.75" customHeight="1">
      <c r="A784" s="1">
        <v>832.0</v>
      </c>
      <c r="B784" s="3" t="s">
        <v>777</v>
      </c>
      <c r="C784" s="3" t="str">
        <f>IFERROR(__xludf.DUMMYFUNCTION("GOOGLETRANSLATE(B784,""id"",""en"")"),"['Regester', 'Error', 'MLU', 'GMNA', 'Complaint', 'Signal', ""]")</f>
        <v>['Regester', 'Error', 'MLU', 'GMNA', 'Complaint', 'Signal', "]</v>
      </c>
      <c r="D784" s="3">
        <v>1.0</v>
      </c>
    </row>
    <row r="785" ht="15.75" customHeight="1">
      <c r="A785" s="1">
        <v>833.0</v>
      </c>
      <c r="B785" s="3" t="s">
        <v>778</v>
      </c>
      <c r="C785" s="3" t="str">
        <f>IFERROR(__xludf.DUMMYFUNCTION("GOOGLETRANSLATE(B785,""id"",""en"")"),"['Lemot', 'Application', 'Loading', 'Try', 'Opened', 'Use', 'WiFi', 'Speed', 'Mbps',' Loading ',' Version ',' Latest ',' ']")</f>
        <v>['Lemot', 'Application', 'Loading', 'Try', 'Opened', 'Use', 'WiFi', 'Speed', 'Mbps',' Loading ',' Version ',' Latest ',' ']</v>
      </c>
      <c r="D785" s="3">
        <v>2.0</v>
      </c>
    </row>
    <row r="786" ht="15.75" customHeight="1">
      <c r="A786" s="1">
        <v>834.0</v>
      </c>
      <c r="B786" s="3" t="s">
        <v>779</v>
      </c>
      <c r="C786" s="3" t="str">
        <f>IFERROR(__xludf.DUMMYFUNCTION("GOOGLETRANSLATE(B786,""id"",""en"")"),"['Mending', 'Closed', 'Indihome', 'Network', 'Troubled', 'Mending', 'Switch', 'Bizz', 'Net', 'Network', 'Indihome', 'already', ' Trust ',' Mending ',' Closed ']")</f>
        <v>['Mending', 'Closed', 'Indihome', 'Network', 'Troubled', 'Mending', 'Switch', 'Bizz', 'Net', 'Network', 'Indihome', 'already', ' Trust ',' Mending ',' Closed ']</v>
      </c>
      <c r="D786" s="3">
        <v>1.0</v>
      </c>
    </row>
    <row r="787" ht="15.75" customHeight="1">
      <c r="A787" s="1">
        <v>835.0</v>
      </c>
      <c r="B787" s="3" t="s">
        <v>780</v>
      </c>
      <c r="C787" s="3" t="str">
        <f>IFERROR(__xludf.DUMMYFUNCTION("GOOGLETRANSLATE(B787,""id"",""en"")"),"['Please', 'Donk', 'Repair', 'Signal', 'Lemot']")</f>
        <v>['Please', 'Donk', 'Repair', 'Signal', 'Lemot']</v>
      </c>
      <c r="D787" s="3">
        <v>2.0</v>
      </c>
    </row>
    <row r="788" ht="15.75" customHeight="1">
      <c r="A788" s="1">
        <v>836.0</v>
      </c>
      <c r="B788" s="3" t="s">
        <v>781</v>
      </c>
      <c r="C788" s="3" t="str">
        <f>IFERROR(__xludf.DUMMYFUNCTION("GOOGLETRANSLATE(B788,""id"",""en"")"),"['It's',' slow ',' open ',' apk ',' difficult ',' payment ',' routine ',' poor ',' nie ',' gini ',' mending ',' replace ',' ']")</f>
        <v>['It's',' slow ',' open ',' apk ',' difficult ',' payment ',' routine ',' poor ',' nie ',' gini ',' mending ',' replace ',' ']</v>
      </c>
      <c r="D788" s="3">
        <v>1.0</v>
      </c>
    </row>
    <row r="789" ht="15.75" customHeight="1">
      <c r="A789" s="1">
        <v>837.0</v>
      </c>
      <c r="B789" s="3" t="s">
        <v>782</v>
      </c>
      <c r="C789" s="3" t="str">
        <f>IFERROR(__xludf.DUMMYFUNCTION("GOOGLETRANSLATE(B789,""id"",""en"")"),"['Application', 'Weight', 'NOT', 'MUTER', 'MUTER', 'Service', 'Indihome', 'LEG', 'Bar', 'Full', 'Service', 'Internet', ' strange']")</f>
        <v>['Application', 'Weight', 'NOT', 'MUTER', 'MUTER', 'Service', 'Indihome', 'LEG', 'Bar', 'Full', 'Service', 'Internet', ' strange']</v>
      </c>
      <c r="D789" s="3">
        <v>1.0</v>
      </c>
    </row>
    <row r="790" ht="15.75" customHeight="1">
      <c r="A790" s="1">
        <v>838.0</v>
      </c>
      <c r="B790" s="3" t="s">
        <v>783</v>
      </c>
      <c r="C790" s="3" t="str">
        <f>IFERROR(__xludf.DUMMYFUNCTION("GOOGLETRANSLATE(B790,""id"",""en"")"),"['Hallo', 'Indihome', 'Pay', 'bills', 'yes', 'indihome', 'disorder', 'internet', 'can', 'thank you']")</f>
        <v>['Hallo', 'Indihome', 'Pay', 'bills', 'yes', 'indihome', 'disorder', 'internet', 'can', 'thank you']</v>
      </c>
      <c r="D790" s="3">
        <v>1.0</v>
      </c>
    </row>
    <row r="791" ht="15.75" customHeight="1">
      <c r="A791" s="1">
        <v>840.0</v>
      </c>
      <c r="B791" s="3" t="s">
        <v>784</v>
      </c>
      <c r="C791" s="3" t="str">
        <f>IFERROR(__xludf.DUMMYFUNCTION("GOOGLETRANSLATE(B791,""id"",""en"")"),"['application', 'bad', 'class',' Telkom ',' application ',' like ',' gini ',' log ',' difficult ',' really ',' complain ',' service ',' Indihome ',' slow ',' forgiveness', 'Speed', 'Mbps',' streaming ',' buffering ',' Hadeh ',' wanted ',' replace ',' prov"&amp;"ider ']")</f>
        <v>['application', 'bad', 'class',' Telkom ',' application ',' like ',' gini ',' log ',' difficult ',' really ',' complain ',' service ',' Indihome ',' slow ',' forgiveness', 'Speed', 'Mbps',' streaming ',' buffering ',' Hadeh ',' wanted ',' replace ',' provider ']</v>
      </c>
      <c r="D791" s="3">
        <v>1.0</v>
      </c>
    </row>
    <row r="792" ht="15.75" customHeight="1">
      <c r="A792" s="1">
        <v>841.0</v>
      </c>
      <c r="B792" s="3" t="s">
        <v>785</v>
      </c>
      <c r="C792" s="3" t="str">
        <f>IFERROR(__xludf.DUMMYFUNCTION("GOOGLETRANSLATE(B792,""id"",""en"")"),"['already', 'subscription', 'money', 'deposit', 'payment', 'returned', 'pay', 'wifi', 'ttep', 'pay', 'udh', 'so', ' night ',' wifi ',' slow ',' bayr ',' udh ',' night ',' money ',' deposit ',' gajelas', 'dipake', 'according to', 'agreement', 'at the begin"&amp;"ning' , 'Installation', 'gymna']")</f>
        <v>['already', 'subscription', 'money', 'deposit', 'payment', 'returned', 'pay', 'wifi', 'ttep', 'pay', 'udh', 'so', ' night ',' wifi ',' slow ',' bayr ',' udh ',' night ',' money ',' deposit ',' gajelas', 'dipake', 'according to', 'agreement', 'at the beginning' , 'Installation', 'gymna']</v>
      </c>
      <c r="D792" s="3">
        <v>1.0</v>
      </c>
    </row>
    <row r="793" ht="15.75" customHeight="1">
      <c r="A793" s="1">
        <v>842.0</v>
      </c>
      <c r="B793" s="3" t="s">
        <v>786</v>
      </c>
      <c r="C793" s="3" t="str">
        <f>IFERROR(__xludf.DUMMYFUNCTION("GOOGLETRANSLATE(B793,""id"",""en"")"),"['Gajelas', 'Login', 'gabisa']")</f>
        <v>['Gajelas', 'Login', 'gabisa']</v>
      </c>
      <c r="D793" s="3">
        <v>1.0</v>
      </c>
    </row>
    <row r="794" ht="15.75" customHeight="1">
      <c r="A794" s="1">
        <v>843.0</v>
      </c>
      <c r="B794" s="3" t="s">
        <v>787</v>
      </c>
      <c r="C794" s="3" t="str">
        <f>IFERROR(__xludf.DUMMYFUNCTION("GOOGLETRANSLATE(B794,""id"",""en"")"),"['Network', 'worst', 'hrs', 'complained']")</f>
        <v>['Network', 'worst', 'hrs', 'complained']</v>
      </c>
      <c r="D794" s="3">
        <v>1.0</v>
      </c>
    </row>
    <row r="795" ht="15.75" customHeight="1">
      <c r="A795" s="1">
        <v>844.0</v>
      </c>
      <c r="B795" s="3" t="s">
        <v>788</v>
      </c>
      <c r="C795" s="3" t="str">
        <f>IFERROR(__xludf.DUMMYFUNCTION("GOOGLETRANSLATE(B795,""id"",""en"")"),"['Severe', 'already', 'pay', 'network', 'BURIK', 'slow', 'really', 'pakek']")</f>
        <v>['Severe', 'already', 'pay', 'network', 'BURIK', 'slow', 'really', 'pakek']</v>
      </c>
      <c r="D795" s="3">
        <v>1.0</v>
      </c>
    </row>
    <row r="796" ht="15.75" customHeight="1">
      <c r="A796" s="1">
        <v>845.0</v>
      </c>
      <c r="B796" s="3" t="s">
        <v>789</v>
      </c>
      <c r="C796" s="3" t="str">
        <f>IFERROR(__xludf.DUMMYFUNCTION("GOOGLETRANSLATE(B796,""id"",""en"")"),"['mksd', 'how', 'login', 'gabisa']")</f>
        <v>['mksd', 'how', 'login', 'gabisa']</v>
      </c>
      <c r="D796" s="3">
        <v>1.0</v>
      </c>
    </row>
    <row r="797" ht="15.75" customHeight="1">
      <c r="A797" s="1">
        <v>846.0</v>
      </c>
      <c r="B797" s="3" t="s">
        <v>790</v>
      </c>
      <c r="C797" s="3" t="str">
        <f>IFERROR(__xludf.DUMMYFUNCTION("GOOGLETRANSLATE(B797,""id"",""en"")"),"['signal', 'lag', 'after', 'rain', ""]")</f>
        <v>['signal', 'lag', 'after', 'rain', "]</v>
      </c>
      <c r="D797" s="3">
        <v>1.0</v>
      </c>
    </row>
    <row r="798" ht="15.75" customHeight="1">
      <c r="A798" s="1">
        <v>847.0</v>
      </c>
      <c r="B798" s="3" t="s">
        <v>791</v>
      </c>
      <c r="C798" s="3" t="str">
        <f>IFERROR(__xludf.DUMMYFUNCTION("GOOGLETRANSLATE(B798,""id"",""en"")"),"['Disruption', 'Mulu', 'Internet', 'Kable', 'noon', 'until', 'MLM', 'slow', 'contact', 'Many', 'help', 'fail', ' Until ',' minutes', 'eat', 'pls',' thousands', 'parahhhhh', 'love', 'best', 'org', 'pay', 'internet', 'gangbang', 'mulu' ]")</f>
        <v>['Disruption', 'Mulu', 'Internet', 'Kable', 'noon', 'until', 'MLM', 'slow', 'contact', 'Many', 'help', 'fail', ' Until ',' minutes', 'eat', 'pls',' thousands', 'parahhhhh', 'love', 'best', 'org', 'pay', 'internet', 'gangbang', 'mulu' ]</v>
      </c>
      <c r="D798" s="3">
        <v>1.0</v>
      </c>
    </row>
    <row r="799" ht="15.75" customHeight="1">
      <c r="A799" s="1">
        <v>848.0</v>
      </c>
      <c r="B799" s="3" t="s">
        <v>792</v>
      </c>
      <c r="C799" s="3" t="str">
        <f>IFERROR(__xludf.DUMMYFUNCTION("GOOGLETRANSLATE(B799,""id"",""en"")"),"['gymna', 'yaa', 'login', 'account', 'indihome', 'pdhal', 'pay']")</f>
        <v>['gymna', 'yaa', 'login', 'account', 'indihome', 'pdhal', 'pay']</v>
      </c>
      <c r="D799" s="3">
        <v>1.0</v>
      </c>
    </row>
    <row r="800" ht="15.75" customHeight="1">
      <c r="A800" s="1">
        <v>849.0</v>
      </c>
      <c r="B800" s="3" t="s">
        <v>793</v>
      </c>
      <c r="C800" s="3" t="str">
        <f>IFERROR(__xludf.DUMMYFUNCTION("GOOGLETRANSLATE(B800,""id"",""en"")"),"['service', 'poor', 'Often', 'trobel', 'enjoy', 'service', 'internet', 'call', 'many', 'finished', 'pulse', 'manyk', ' Lift ',' Hello ',' People ',' Call ',' Center ',' Lifting ',' Yesterday ',' Get ',' Bid ',' Reflected ',' Mbos', 'Berhentin', 'Call' , '"&amp;"difficult', 'dead', 'bills', 'njebluk', 'system', 'steady', 'Come', 'fix', 'service', 'customer', 'billion', 'fix']")</f>
        <v>['service', 'poor', 'Often', 'trobel', 'enjoy', 'service', 'internet', 'call', 'many', 'finished', 'pulse', 'manyk', ' Lift ',' Hello ',' People ',' Call ',' Center ',' Lifting ',' Yesterday ',' Get ',' Bid ',' Reflected ',' Mbos', 'Berhentin', 'Call' , 'difficult', 'dead', 'bills', 'njebluk', 'system', 'steady', 'Come', 'fix', 'service', 'customer', 'billion', 'fix']</v>
      </c>
      <c r="D800" s="3">
        <v>1.0</v>
      </c>
    </row>
    <row r="801" ht="15.75" customHeight="1">
      <c r="A801" s="1">
        <v>850.0</v>
      </c>
      <c r="B801" s="3" t="s">
        <v>794</v>
      </c>
      <c r="C801" s="3" t="str">
        <f>IFERROR(__xludf.DUMMYFUNCTION("GOOGLETRANSLATE(B801,""id"",""en"")"),"['application', 'slow', 'complicated', 'failed', 'enter', 'report', 'disorder']")</f>
        <v>['application', 'slow', 'complicated', 'failed', 'enter', 'report', 'disorder']</v>
      </c>
      <c r="D801" s="3">
        <v>1.0</v>
      </c>
    </row>
    <row r="802" ht="15.75" customHeight="1">
      <c r="A802" s="1">
        <v>851.0</v>
      </c>
      <c r="B802" s="3" t="s">
        <v>795</v>
      </c>
      <c r="C802" s="3" t="str">
        <f>IFERROR(__xludf.DUMMYFUNCTION("GOOGLETRANSLATE(B802,""id"",""en"")"),"['Please', 'Network', 'Benerin', 'ugly', 'Network', 'ugly', 'Pay', 'Reduction']")</f>
        <v>['Please', 'Network', 'Benerin', 'ugly', 'Network', 'ugly', 'Pay', 'Reduction']</v>
      </c>
      <c r="D802" s="3">
        <v>1.0</v>
      </c>
    </row>
    <row r="803" ht="15.75" customHeight="1">
      <c r="A803" s="1">
        <v>852.0</v>
      </c>
      <c r="B803" s="3" t="s">
        <v>796</v>
      </c>
      <c r="C803" s="3" t="str">
        <f>IFERROR(__xludf.DUMMYFUNCTION("GOOGLETRANSLATE(B803,""id"",""en"")"),"['APK', 'features', 'easy', 'use']")</f>
        <v>['APK', 'features', 'easy', 'use']</v>
      </c>
      <c r="D803" s="3">
        <v>5.0</v>
      </c>
    </row>
    <row r="804" ht="15.75" customHeight="1">
      <c r="A804" s="1">
        <v>853.0</v>
      </c>
      <c r="B804" s="3" t="s">
        <v>797</v>
      </c>
      <c r="C804" s="3" t="str">
        <f>IFERROR(__xludf.DUMMYFUNCTION("GOOGLETRANSLATE(B804,""id"",""en"")"),"['Log', 'Sis', 'Number', 'Registered', 'Log', 'Error']")</f>
        <v>['Log', 'Sis', 'Number', 'Registered', 'Log', 'Error']</v>
      </c>
      <c r="D804" s="3">
        <v>1.0</v>
      </c>
    </row>
    <row r="805" ht="15.75" customHeight="1">
      <c r="A805" s="1">
        <v>854.0</v>
      </c>
      <c r="B805" s="3" t="s">
        <v>798</v>
      </c>
      <c r="C805" s="3" t="str">
        <f>IFERROR(__xludf.DUMMYFUNCTION("GOOGLETRANSLATE(B805,""id"",""en"")"),"['check', 'usage', 'out', 'severe']")</f>
        <v>['check', 'usage', 'out', 'severe']</v>
      </c>
      <c r="D805" s="3">
        <v>1.0</v>
      </c>
    </row>
    <row r="806" ht="15.75" customHeight="1">
      <c r="A806" s="1">
        <v>855.0</v>
      </c>
      <c r="B806" s="3" t="s">
        <v>799</v>
      </c>
      <c r="C806" s="3" t="str">
        <f>IFERROR(__xludf.DUMMYFUNCTION("GOOGLETRANSLATE(B806,""id"",""en"")"),"['Bad', 'ATIII']")</f>
        <v>['Bad', 'ATIII']</v>
      </c>
      <c r="D806" s="3">
        <v>1.0</v>
      </c>
    </row>
    <row r="807" ht="15.75" customHeight="1">
      <c r="A807" s="1">
        <v>856.0</v>
      </c>
      <c r="B807" s="3" t="s">
        <v>800</v>
      </c>
      <c r="C807" s="3" t="str">
        <f>IFERROR(__xludf.DUMMYFUNCTION("GOOGLETRANSLATE(B807,""id"",""en"")"),"['Network', 'rotten', 'already', 'kapok', 'use', 'indihome', 'already', 'slow', 'expensive', 'service', 'professional']")</f>
        <v>['Network', 'rotten', 'already', 'kapok', 'use', 'indihome', 'already', 'slow', 'expensive', 'service', 'professional']</v>
      </c>
      <c r="D807" s="3">
        <v>1.0</v>
      </c>
    </row>
    <row r="808" ht="15.75" customHeight="1">
      <c r="A808" s="1">
        <v>857.0</v>
      </c>
      <c r="B808" s="3" t="s">
        <v>801</v>
      </c>
      <c r="C808" s="3" t="str">
        <f>IFERROR(__xludf.DUMMYFUNCTION("GOOGLETRANSLATE(B808,""id"",""en"")"),"['application', 'guoblookk', 'error']")</f>
        <v>['application', 'guoblookk', 'error']</v>
      </c>
      <c r="D808" s="3">
        <v>1.0</v>
      </c>
    </row>
    <row r="809" ht="15.75" customHeight="1">
      <c r="A809" s="1">
        <v>858.0</v>
      </c>
      <c r="B809" s="3" t="s">
        <v>802</v>
      </c>
      <c r="C809" s="3" t="str">
        <f>IFERROR(__xludf.DUMMYFUNCTION("GOOGLETRANSLATE(B809,""id"",""en"")"),"['update', 'homepagenya', 'slow', 'feature', 'missing', 'renew', 'speed', '']")</f>
        <v>['update', 'homepagenya', 'slow', 'feature', 'missing', 'renew', 'speed', '']</v>
      </c>
      <c r="D809" s="3">
        <v>1.0</v>
      </c>
    </row>
    <row r="810" ht="15.75" customHeight="1">
      <c r="A810" s="1">
        <v>859.0</v>
      </c>
      <c r="B810" s="3" t="s">
        <v>803</v>
      </c>
      <c r="C810" s="3" t="str">
        <f>IFERROR(__xludf.DUMMYFUNCTION("GOOGLETRANSLATE(B810,""id"",""en"")"),"['serious',' me ',' ask ',' application ',' open ',' picture ',' delete ',' data ',' login ',' complain ',' response ',' indihome ',' BUMN ',' Lost ',' Private ',' Pantesan ',' Rating ',' Bad ']")</f>
        <v>['serious',' me ',' ask ',' application ',' open ',' picture ',' delete ',' data ',' login ',' complain ',' response ',' indihome ',' BUMN ',' Lost ',' Private ',' Pantesan ',' Rating ',' Bad ']</v>
      </c>
      <c r="D810" s="3">
        <v>1.0</v>
      </c>
    </row>
    <row r="811" ht="15.75" customHeight="1">
      <c r="A811" s="1">
        <v>860.0</v>
      </c>
      <c r="B811" s="3" t="s">
        <v>804</v>
      </c>
      <c r="C811" s="3" t="str">
        <f>IFERROR(__xludf.DUMMYFUNCTION("GOOGLETRANSLATE(B811,""id"",""en"")"),"['Mendelek', 'Dipelek', 'Network', '']")</f>
        <v>['Mendelek', 'Dipelek', 'Network', '']</v>
      </c>
      <c r="D811" s="3">
        <v>1.0</v>
      </c>
    </row>
    <row r="812" ht="15.75" customHeight="1">
      <c r="A812" s="1">
        <v>861.0</v>
      </c>
      <c r="B812" s="3" t="s">
        <v>805</v>
      </c>
      <c r="C812" s="3" t="str">
        <f>IFERROR(__xludf.DUMMYFUNCTION("GOOGLETRANSLATE(B812,""id"",""en"")"),"['The application', 'good', 'search', 'package', 'easy']")</f>
        <v>['The application', 'good', 'search', 'package', 'easy']</v>
      </c>
      <c r="D812" s="3">
        <v>5.0</v>
      </c>
    </row>
    <row r="813" ht="15.75" customHeight="1">
      <c r="A813" s="1">
        <v>862.0</v>
      </c>
      <c r="B813" s="3" t="s">
        <v>806</v>
      </c>
      <c r="C813" s="3" t="str">
        <f>IFERROR(__xludf.DUMMYFUNCTION("GOOGLETRANSLATE(B813,""id"",""en"")"),"['Connection', 'Disconnect', 'Disconnect', 'Login', 'Applikasih', 'Fail']")</f>
        <v>['Connection', 'Disconnect', 'Disconnect', 'Login', 'Applikasih', 'Fail']</v>
      </c>
      <c r="D813" s="3">
        <v>1.0</v>
      </c>
    </row>
    <row r="814" ht="15.75" customHeight="1">
      <c r="A814" s="1">
        <v>863.0</v>
      </c>
      <c r="B814" s="3" t="s">
        <v>807</v>
      </c>
      <c r="C814" s="3" t="str">
        <f>IFERROR(__xludf.DUMMYFUNCTION("GOOGLETRANSLATE(B814,""id"",""en"")"),"['complaus',' Kisahku ',' user ',' indohome ',' want ',' input ',' wifi ',' indihome ',' fup ',' warning ',' play ',' ngelemotin ',' wifinya ',' gabisa ',' collect ',' task ',' school ',' see ',' taskpun ',' gabisa ',' ']")</f>
        <v>['complaus',' Kisahku ',' user ',' indohome ',' want ',' input ',' wifi ',' indihome ',' fup ',' warning ',' play ',' ngelemotin ',' wifinya ',' gabisa ',' collect ',' task ',' school ',' see ',' taskpun ',' gabisa ',' ']</v>
      </c>
      <c r="D814" s="3">
        <v>1.0</v>
      </c>
    </row>
    <row r="815" ht="15.75" customHeight="1">
      <c r="A815" s="1">
        <v>864.0</v>
      </c>
      <c r="B815" s="3" t="s">
        <v>808</v>
      </c>
      <c r="C815" s="3" t="str">
        <f>IFERROR(__xludf.DUMMYFUNCTION("GOOGLETRANSLATE(B815,""id"",""en"")"),"['Indihome', 'cave', 'slow', 'slow', 'area', 'madura', 'customer', 'disappointed', 'basics']")</f>
        <v>['Indihome', 'cave', 'slow', 'slow', 'area', 'madura', 'customer', 'disappointed', 'basics']</v>
      </c>
      <c r="D815" s="3">
        <v>1.0</v>
      </c>
    </row>
    <row r="816" ht="15.75" customHeight="1">
      <c r="A816" s="1">
        <v>865.0</v>
      </c>
      <c r="B816" s="3" t="s">
        <v>809</v>
      </c>
      <c r="C816" s="3" t="str">
        <f>IFERROR(__xludf.DUMMYFUNCTION("GOOGLETRANSLATE(B816,""id"",""en"")"),"['Disruption', 'MBay', 'Disruption', 'Enter', 'Application', 'Difficult', 'Bener', 'Signal', 'Kenceng', 'Duh', 'Provider', 'Disband', ' Napa ']")</f>
        <v>['Disruption', 'MBay', 'Disruption', 'Enter', 'Application', 'Difficult', 'Bener', 'Signal', 'Kenceng', 'Duh', 'Provider', 'Disband', ' Napa ']</v>
      </c>
      <c r="D816" s="3">
        <v>1.0</v>
      </c>
    </row>
    <row r="817" ht="15.75" customHeight="1">
      <c r="A817" s="1">
        <v>866.0</v>
      </c>
      <c r="B817" s="3" t="s">
        <v>810</v>
      </c>
      <c r="C817" s="3" t="str">
        <f>IFERROR(__xludf.DUMMYFUNCTION("GOOGLETRANSLATE(B817,""id"",""en"")"),"['Indihome', 'Severe', 'lag', 'network', 'Stabill', 'stak', 'red', 'play', 'games',' watch ',' YouTube ',' network ',' yellow ',' likes', 'down', 'sometimes',' missing ',' total ',' stable ',' wifi ',' brand ',' indihome ',' quality ',' search ',' quantit"&amp;"y ' , 'Customer', 'Sytem', 'wifi', 'network', 'slow', 'stable']")</f>
        <v>['Indihome', 'Severe', 'lag', 'network', 'Stabill', 'stak', 'red', 'play', 'games',' watch ',' YouTube ',' network ',' yellow ',' likes', 'down', 'sometimes',' missing ',' total ',' stable ',' wifi ',' brand ',' indihome ',' quality ',' search ',' quantity ' , 'Customer', 'Sytem', 'wifi', 'network', 'slow', 'stable']</v>
      </c>
      <c r="D817" s="3">
        <v>1.0</v>
      </c>
    </row>
    <row r="818" ht="15.75" customHeight="1">
      <c r="A818" s="1">
        <v>867.0</v>
      </c>
      <c r="B818" s="3" t="s">
        <v>811</v>
      </c>
      <c r="C818" s="3" t="str">
        <f>IFERROR(__xludf.DUMMYFUNCTION("GOOGLETRANSLATE(B818,""id"",""en"")"),"['Application', 'BGD', 'Open', 'Loading', 'trs']")</f>
        <v>['Application', 'BGD', 'Open', 'Loading', 'trs']</v>
      </c>
      <c r="D818" s="3">
        <v>1.0</v>
      </c>
    </row>
    <row r="819" ht="15.75" customHeight="1">
      <c r="A819" s="1">
        <v>868.0</v>
      </c>
      <c r="B819" s="3" t="s">
        <v>812</v>
      </c>
      <c r="C819" s="3" t="str">
        <f>IFERROR(__xludf.DUMMYFUNCTION("GOOGLETRANSLATE(B819,""id"",""en"")"),"['Season', 'really', 'network', 'connected', 'slow', 'really', 'ngadu', 'peel', 'call', 'center', 'drop out', 'gini', ' Services', 'please', 'customers',' already ',' a year ',' subscribe ',' ']")</f>
        <v>['Season', 'really', 'network', 'connected', 'slow', 'really', 'ngadu', 'peel', 'call', 'center', 'drop out', 'gini', ' Services', 'please', 'customers',' already ',' a year ',' subscribe ',' ']</v>
      </c>
      <c r="D819" s="3">
        <v>1.0</v>
      </c>
    </row>
    <row r="820" ht="15.75" customHeight="1">
      <c r="A820" s="1">
        <v>869.0</v>
      </c>
      <c r="B820" s="3" t="s">
        <v>813</v>
      </c>
      <c r="C820" s="3" t="str">
        <f>IFERROR(__xludf.DUMMYFUNCTION("GOOGLETRANSLATE(B820,""id"",""en"")"),"['Please', 'see', 'leftover', 'quota', 'wifi', 'taste', 'see', 'Drakor', 'really', 'loading', 'already', 'clock', ' Connection ',' data ',' smooth ',' Jaya ',' Kayak ',' Road ',' Toll ',' Korea ',' please ',' repaired ',' thank ',' love ']")</f>
        <v>['Please', 'see', 'leftover', 'quota', 'wifi', 'taste', 'see', 'Drakor', 'really', 'loading', 'already', 'clock', ' Connection ',' data ',' smooth ',' Jaya ',' Kayak ',' Road ',' Toll ',' Korea ',' please ',' repaired ',' thank ',' love ']</v>
      </c>
      <c r="D820" s="3">
        <v>2.0</v>
      </c>
    </row>
    <row r="821" ht="15.75" customHeight="1">
      <c r="A821" s="1">
        <v>870.0</v>
      </c>
      <c r="B821" s="3" t="s">
        <v>814</v>
      </c>
      <c r="C821" s="3" t="str">
        <f>IFERROR(__xludf.DUMMYFUNCTION("GOOGLETRANSLATE(B821,""id"",""en"")"),"['consistent', '']")</f>
        <v>['consistent', '']</v>
      </c>
      <c r="D821" s="3">
        <v>1.0</v>
      </c>
    </row>
    <row r="822" ht="15.75" customHeight="1">
      <c r="A822" s="1">
        <v>871.0</v>
      </c>
      <c r="B822" s="3" t="s">
        <v>208</v>
      </c>
      <c r="C822" s="3" t="str">
        <f>IFERROR(__xludf.DUMMYFUNCTION("GOOGLETRANSLATE(B822,""id"",""en"")"),"['login']")</f>
        <v>['login']</v>
      </c>
      <c r="D822" s="3">
        <v>1.0</v>
      </c>
    </row>
    <row r="823" ht="15.75" customHeight="1">
      <c r="A823" s="1">
        <v>872.0</v>
      </c>
      <c r="B823" s="3" t="s">
        <v>815</v>
      </c>
      <c r="C823" s="3" t="str">
        <f>IFERROR(__xludf.DUMMYFUNCTION("GOOGLETRANSLATE(B823,""id"",""en"")"),"['Increase']")</f>
        <v>['Increase']</v>
      </c>
      <c r="D823" s="3">
        <v>5.0</v>
      </c>
    </row>
    <row r="824" ht="15.75" customHeight="1">
      <c r="A824" s="1">
        <v>873.0</v>
      </c>
      <c r="B824" s="3" t="s">
        <v>816</v>
      </c>
      <c r="C824" s="3" t="str">
        <f>IFERROR(__xludf.DUMMYFUNCTION("GOOGLETRANSLATE(B824,""id"",""en"")"),"['Buy', 'Package', 'Mbps', 'Test', 'Speed', 'Mbps', 'Ngelag', 'emang', 'Indihome']")</f>
        <v>['Buy', 'Package', 'Mbps', 'Test', 'Speed', 'Mbps', 'Ngelag', 'emang', 'Indihome']</v>
      </c>
      <c r="D824" s="3">
        <v>1.0</v>
      </c>
    </row>
    <row r="825" ht="15.75" customHeight="1">
      <c r="A825" s="1">
        <v>874.0</v>
      </c>
      <c r="B825" s="3" t="s">
        <v>817</v>
      </c>
      <c r="C825" s="3" t="str">
        <f>IFERROR(__xludf.DUMMYFUNCTION("GOOGLETRANSLATE(B825,""id"",""en"")"),"['After', 'update', 'KOQ', 'Login', '']")</f>
        <v>['After', 'update', 'KOQ', 'Login', '']</v>
      </c>
      <c r="D825" s="3">
        <v>1.0</v>
      </c>
    </row>
    <row r="826" ht="15.75" customHeight="1">
      <c r="A826" s="1">
        <v>875.0</v>
      </c>
      <c r="B826" s="3" t="s">
        <v>818</v>
      </c>
      <c r="C826" s="3" t="str">
        <f>IFERROR(__xludf.DUMMYFUNCTION("GOOGLETRANSLATE(B826,""id"",""en"")"),"['already', 'Install', 'Indihome', 'needs',' child ',' learn ',' online ',' at home ',' child ',' satisfied ',' speed ',' network ',' Internet']")</f>
        <v>['already', 'Install', 'Indihome', 'needs',' child ',' learn ',' online ',' at home ',' child ',' satisfied ',' speed ',' network ',' Internet']</v>
      </c>
      <c r="D826" s="3">
        <v>4.0</v>
      </c>
    </row>
    <row r="827" ht="15.75" customHeight="1">
      <c r="A827" s="1">
        <v>876.0</v>
      </c>
      <c r="B827" s="3" t="s">
        <v>819</v>
      </c>
      <c r="C827" s="3" t="str">
        <f>IFERROR(__xludf.DUMMYFUNCTION("GOOGLETRANSLATE(B827,""id"",""en"")"),"['Indihome', 'expensive', 'doang', 'signal', 'poor']")</f>
        <v>['Indihome', 'expensive', 'doang', 'signal', 'poor']</v>
      </c>
      <c r="D827" s="3">
        <v>1.0</v>
      </c>
    </row>
    <row r="828" ht="15.75" customHeight="1">
      <c r="A828" s="1">
        <v>877.0</v>
      </c>
      <c r="B828" s="3" t="s">
        <v>820</v>
      </c>
      <c r="C828" s="3" t="str">
        <f>IFERROR(__xludf.DUMMYFUNCTION("GOOGLETRANSLATE(B828,""id"",""en"")"),"['Intereth', 'fast', 'mah', 'disorder', 'Mulu', '']")</f>
        <v>['Intereth', 'fast', 'mah', 'disorder', 'Mulu', '']</v>
      </c>
      <c r="D828" s="3">
        <v>1.0</v>
      </c>
    </row>
    <row r="829" ht="15.75" customHeight="1">
      <c r="A829" s="1">
        <v>878.0</v>
      </c>
      <c r="B829" s="3" t="s">
        <v>821</v>
      </c>
      <c r="C829" s="3" t="str">
        <f>IFERROR(__xludf.DUMMYFUNCTION("GOOGLETRANSLATE(B829,""id"",""en"")"),"['Difficult', 'Install it']")</f>
        <v>['Difficult', 'Install it']</v>
      </c>
      <c r="D829" s="3">
        <v>1.0</v>
      </c>
    </row>
    <row r="830" ht="15.75" customHeight="1">
      <c r="A830" s="1">
        <v>879.0</v>
      </c>
      <c r="B830" s="3" t="s">
        <v>822</v>
      </c>
      <c r="C830" s="3" t="str">
        <f>IFERROR(__xludf.DUMMYFUNCTION("GOOGLETRANSLATE(B830,""id"",""en"")"),"['application', 'accessed', 'after', 'Install', 'reset', 'login', 'poor', 'then', 'wifi', 'slow', 'use', 'sampek', ' unit ',' slow ',' dead ',' promo ',' package ',' cheap ',' pairs', 'customer', 'think', 'stop', 'subscription', 'get', 'fine' , 'Sorry', '"&amp;"Install', 'Indihome']")</f>
        <v>['application', 'accessed', 'after', 'Install', 'reset', 'login', 'poor', 'then', 'wifi', 'slow', 'use', 'sampek', ' unit ',' slow ',' dead ',' promo ',' package ',' cheap ',' pairs', 'customer', 'think', 'stop', 'subscription', 'get', 'fine' , 'Sorry', 'Install', 'Indihome']</v>
      </c>
      <c r="D830" s="3">
        <v>1.0</v>
      </c>
    </row>
    <row r="831" ht="15.75" customHeight="1">
      <c r="A831" s="1">
        <v>880.0</v>
      </c>
      <c r="B831" s="3" t="s">
        <v>823</v>
      </c>
      <c r="C831" s="3" t="str">
        <f>IFERROR(__xludf.DUMMYFUNCTION("GOOGLETRANSLATE(B831,""id"",""en"")"),"['Service', 'ugly']")</f>
        <v>['Service', 'ugly']</v>
      </c>
      <c r="D831" s="3">
        <v>1.0</v>
      </c>
    </row>
    <row r="832" ht="15.75" customHeight="1">
      <c r="A832" s="1">
        <v>881.0</v>
      </c>
      <c r="B832" s="3" t="s">
        <v>824</v>
      </c>
      <c r="C832" s="3" t="str">
        <f>IFERROR(__xludf.DUMMYFUNCTION("GOOGLETRANSLATE(B832,""id"",""en"")"),"['LemoOottt', 'Subscriptions', 'Mbps', 'Live', 'Mbps', 'tired', 'dech']")</f>
        <v>['LemoOottt', 'Subscriptions', 'Mbps', 'Live', 'Mbps', 'tired', 'dech']</v>
      </c>
      <c r="D832" s="3">
        <v>1.0</v>
      </c>
    </row>
    <row r="833" ht="15.75" customHeight="1">
      <c r="A833" s="1">
        <v>882.0</v>
      </c>
      <c r="B833" s="3" t="s">
        <v>825</v>
      </c>
      <c r="C833" s="3" t="str">
        <f>IFERROR(__xludf.DUMMYFUNCTION("GOOGLETRANSLATE(B833,""id"",""en"")"),"['Paid', 'Ngelag', 'hilarious', 'changed']")</f>
        <v>['Paid', 'Ngelag', 'hilarious', 'changed']</v>
      </c>
      <c r="D833" s="3">
        <v>1.0</v>
      </c>
    </row>
    <row r="834" ht="15.75" customHeight="1">
      <c r="A834" s="1">
        <v>883.0</v>
      </c>
      <c r="B834" s="3" t="s">
        <v>826</v>
      </c>
      <c r="C834" s="3" t="str">
        <f>IFERROR(__xludf.DUMMYFUNCTION("GOOGLETRANSLATE(B834,""id"",""en"")"),"['Register', 'Doang', 'Dead', 'Hardy', 'Company', 'Class', 'Indihome', 'UDH', 'Kayak', 'Application', 'Artificial', 'Village']")</f>
        <v>['Register', 'Doang', 'Dead', 'Hardy', 'Company', 'Class', 'Indihome', 'UDH', 'Kayak', 'Application', 'Artificial', 'Village']</v>
      </c>
      <c r="D834" s="3">
        <v>1.0</v>
      </c>
    </row>
    <row r="835" ht="15.75" customHeight="1">
      <c r="A835" s="1">
        <v>884.0</v>
      </c>
      <c r="B835" s="3" t="s">
        <v>827</v>
      </c>
      <c r="C835" s="3" t="str">
        <f>IFERROR(__xludf.DUMMYFUNCTION("GOOGLETRANSLATE(B835,""id"",""en"")"),"['Application', 'log', 'out', 'login', 'email', 'number', 'according to', 'connection', 'slow', ""]")</f>
        <v>['Application', 'log', 'out', 'login', 'email', 'number', 'according to', 'connection', 'slow', "]</v>
      </c>
      <c r="D835" s="3">
        <v>1.0</v>
      </c>
    </row>
    <row r="836" ht="15.75" customHeight="1">
      <c r="A836" s="1">
        <v>885.0</v>
      </c>
      <c r="B836" s="3" t="s">
        <v>828</v>
      </c>
      <c r="C836" s="3" t="str">
        <f>IFERROR(__xludf.DUMMYFUNCTION("GOOGLETRANSLATE(B836,""id"",""en"")"),"['Indihome', 'price', 'friendly', 'grateful', 'getting', 'pairs', 'in the area', 'home', ""]")</f>
        <v>['Indihome', 'price', 'friendly', 'grateful', 'getting', 'pairs', 'in the area', 'home', "]</v>
      </c>
      <c r="D836" s="3">
        <v>5.0</v>
      </c>
    </row>
    <row r="837" ht="15.75" customHeight="1">
      <c r="A837" s="1">
        <v>886.0</v>
      </c>
      <c r="B837" s="3" t="s">
        <v>829</v>
      </c>
      <c r="C837" s="3" t="str">
        <f>IFERROR(__xludf.DUMMYFUNCTION("GOOGLETRANSLATE(B837,""id"",""en"")"),"['Current', 'Muter', 'Application', 'Report', 'Complaint']")</f>
        <v>['Current', 'Muter', 'Application', 'Report', 'Complaint']</v>
      </c>
      <c r="D837" s="3">
        <v>1.0</v>
      </c>
    </row>
    <row r="838" ht="15.75" customHeight="1">
      <c r="A838" s="1">
        <v>887.0</v>
      </c>
      <c r="B838" s="3" t="s">
        <v>830</v>
      </c>
      <c r="C838" s="3" t="str">
        <f>IFERROR(__xludf.DUMMYFUNCTION("GOOGLETRANSLATE(B838,""id"",""en"")"),"['look', 'lbh', 'help', 'thx', '']")</f>
        <v>['look', 'lbh', 'help', 'thx', '']</v>
      </c>
      <c r="D838" s="3">
        <v>5.0</v>
      </c>
    </row>
    <row r="839" ht="15.75" customHeight="1">
      <c r="A839" s="1">
        <v>888.0</v>
      </c>
      <c r="B839" s="3" t="s">
        <v>831</v>
      </c>
      <c r="C839" s="3" t="str">
        <f>IFERROR(__xludf.DUMMYFUNCTION("GOOGLETRANSLATE(B839,""id"",""en"")"),"['Download']")</f>
        <v>['Download']</v>
      </c>
      <c r="D839" s="3">
        <v>1.0</v>
      </c>
    </row>
    <row r="840" ht="15.75" customHeight="1">
      <c r="A840" s="1">
        <v>889.0</v>
      </c>
      <c r="B840" s="3" t="s">
        <v>832</v>
      </c>
      <c r="C840" s="3" t="str">
        <f>IFERROR(__xludf.DUMMYFUNCTION("GOOGLETRANSLATE(B840,""id"",""en"")"),"['INDIHOME', 'LEMOOOOOOTTT', 'TETAIL', 'DCPLAIN', 'Throw']")</f>
        <v>['INDIHOME', 'LEMOOOOOOTTT', 'TETAIL', 'DCPLAIN', 'Throw']</v>
      </c>
      <c r="D840" s="3">
        <v>1.0</v>
      </c>
    </row>
    <row r="841" ht="15.75" customHeight="1">
      <c r="A841" s="1">
        <v>890.0</v>
      </c>
      <c r="B841" s="3" t="s">
        <v>833</v>
      </c>
      <c r="C841" s="3" t="str">
        <f>IFERROR(__xludf.DUMMYFUNCTION("GOOGLETRANSLATE(B841,""id"",""en"")"),"['Lemot', 'Teroosss']")</f>
        <v>['Lemot', 'Teroosss']</v>
      </c>
      <c r="D841" s="3">
        <v>1.0</v>
      </c>
    </row>
    <row r="842" ht="15.75" customHeight="1">
      <c r="A842" s="1">
        <v>891.0</v>
      </c>
      <c r="B842" s="3" t="s">
        <v>834</v>
      </c>
      <c r="C842" s="3" t="str">
        <f>IFERROR(__xludf.DUMMYFUNCTION("GOOGLETRANSLATE(B842,""id"",""en"")"),"['SERBA', 'LEMOTTT', 'Disruption', 'Continued', 'Upload', 'Download', 'Balance', 'Mending', 'Brand', 'Next to', 'Cheap', 'balance']")</f>
        <v>['SERBA', 'LEMOTTT', 'Disruption', 'Continued', 'Upload', 'Download', 'Balance', 'Mending', 'Brand', 'Next to', 'Cheap', 'balance']</v>
      </c>
      <c r="D842" s="3">
        <v>1.0</v>
      </c>
    </row>
    <row r="843" ht="15.75" customHeight="1">
      <c r="A843" s="1">
        <v>892.0</v>
      </c>
      <c r="B843" s="3" t="s">
        <v>835</v>
      </c>
      <c r="C843" s="3" t="str">
        <f>IFERROR(__xludf.DUMMYFUNCTION("GOOGLETRANSLATE(B843,""id"",""en"")"),"['Really', 'Bad']")</f>
        <v>['Really', 'Bad']</v>
      </c>
      <c r="D843" s="3">
        <v>1.0</v>
      </c>
    </row>
    <row r="844" ht="15.75" customHeight="1">
      <c r="A844" s="1">
        <v>893.0</v>
      </c>
      <c r="B844" s="3" t="s">
        <v>836</v>
      </c>
      <c r="C844" s="3" t="str">
        <f>IFERROR(__xludf.DUMMYFUNCTION("GOOGLETRANSLATE(B844,""id"",""en"")"),"['Application', 'Ngelag', 'slow', 'click', 'menu', 'loadinng']")</f>
        <v>['Application', 'Ngelag', 'slow', 'click', 'menu', 'loadinng']</v>
      </c>
      <c r="D844" s="3">
        <v>2.0</v>
      </c>
    </row>
    <row r="845" ht="15.75" customHeight="1">
      <c r="A845" s="1">
        <v>894.0</v>
      </c>
      <c r="B845" s="3" t="s">
        <v>837</v>
      </c>
      <c r="C845" s="3" t="str">
        <f>IFERROR(__xludf.DUMMYFUNCTION("GOOGLETRANSLATE(B845,""id"",""en"")"),"['Login', 'account', '']")</f>
        <v>['Login', 'account', '']</v>
      </c>
      <c r="D845" s="3">
        <v>3.0</v>
      </c>
    </row>
    <row r="846" ht="15.75" customHeight="1">
      <c r="A846" s="1">
        <v>895.0</v>
      </c>
      <c r="B846" s="3" t="s">
        <v>838</v>
      </c>
      <c r="C846" s="3" t="str">
        <f>IFERROR(__xludf.DUMMYFUNCTION("GOOGLETRANSLATE(B846,""id"",""en"")"),"['failed', 'login', 'already', 'try', 'no']")</f>
        <v>['failed', 'login', 'already', 'try', 'no']</v>
      </c>
      <c r="D846" s="3">
        <v>1.0</v>
      </c>
    </row>
    <row r="847" ht="15.75" customHeight="1">
      <c r="A847" s="1">
        <v>896.0</v>
      </c>
      <c r="B847" s="3" t="s">
        <v>839</v>
      </c>
      <c r="C847" s="3" t="str">
        <f>IFERROR(__xludf.DUMMYFUNCTION("GOOGLETRANSLATE(B847,""id"",""en"")"),"['Service', 'JELEKK', 'WIFI', 'WMS', 'Enter', 'Report', 'TLFN', 'Ditrlkom', 'Handle', 'None', 'officer', 'Technician', ' Many ',' times', 'reports',' underpeed ',' Nidak ',' Pay ',' Padahl ',' per month ',' pay ',' wifi ',' slow ',' no ',' responsible ' ,"&amp;" 'Center', 'seliver']")</f>
        <v>['Service', 'JELEKK', 'WIFI', 'WMS', 'Enter', 'Report', 'TLFN', 'Ditrlkom', 'Handle', 'None', 'officer', 'Technician', ' Many ',' times', 'reports',' underpeed ',' Nidak ',' Pay ',' Padahl ',' per month ',' pay ',' wifi ',' slow ',' no ',' responsible ' , 'Center', 'seliver']</v>
      </c>
      <c r="D847" s="3">
        <v>1.0</v>
      </c>
    </row>
    <row r="848" ht="15.75" customHeight="1">
      <c r="A848" s="1">
        <v>897.0</v>
      </c>
      <c r="B848" s="3" t="s">
        <v>840</v>
      </c>
      <c r="C848" s="3" t="str">
        <f>IFERROR(__xludf.DUMMYFUNCTION("GOOGLETRANSLATE(B848,""id"",""en"")"),"['Mantaaap', '']")</f>
        <v>['Mantaaap', '']</v>
      </c>
      <c r="D848" s="3">
        <v>5.0</v>
      </c>
    </row>
    <row r="849" ht="15.75" customHeight="1">
      <c r="A849" s="1">
        <v>898.0</v>
      </c>
      <c r="B849" s="3" t="s">
        <v>841</v>
      </c>
      <c r="C849" s="3" t="str">
        <f>IFERROR(__xludf.DUMMYFUNCTION("GOOGLETRANSLATE(B849,""id"",""en"")"),"['Display', 'Good', 'Kereen', '']")</f>
        <v>['Display', 'Good', 'Kereen', '']</v>
      </c>
      <c r="D849" s="3">
        <v>5.0</v>
      </c>
    </row>
    <row r="850" ht="15.75" customHeight="1">
      <c r="A850" s="1">
        <v>899.0</v>
      </c>
      <c r="B850" s="3" t="s">
        <v>842</v>
      </c>
      <c r="C850" s="3" t="str">
        <f>IFERROR(__xludf.DUMMYFUNCTION("GOOGLETRANSLATE(B850,""id"",""en"")"),"['subscribe', 'friend', 'relatives',' because 'stream', 'difficult', 'disruption', 'USB', 'Recommend', '']")</f>
        <v>['subscribe', 'friend', 'relatives',' because 'stream', 'difficult', 'disruption', 'USB', 'Recommend', '']</v>
      </c>
      <c r="D850" s="3">
        <v>1.0</v>
      </c>
    </row>
    <row r="851" ht="15.75" customHeight="1">
      <c r="A851" s="1">
        <v>900.0</v>
      </c>
      <c r="B851" s="3" t="s">
        <v>843</v>
      </c>
      <c r="C851" s="3" t="str">
        <f>IFERROR(__xludf.DUMMYFUNCTION("GOOGLETRANSLATE(B851,""id"",""en"")"),"['Send', 'Complaint', 'Disruption', 'Signal', 'Bermitious',' Heart ',' Ksh ',' Star ',' Shrs', 'Kaga', 'PNTS', 'DPT', ' star', '']")</f>
        <v>['Send', 'Complaint', 'Disruption', 'Signal', 'Bermitious',' Heart ',' Ksh ',' Star ',' Shrs', 'Kaga', 'PNTS', 'DPT', ' star', '']</v>
      </c>
      <c r="D851" s="3">
        <v>1.0</v>
      </c>
    </row>
    <row r="852" ht="15.75" customHeight="1">
      <c r="A852" s="1">
        <v>901.0</v>
      </c>
      <c r="B852" s="3" t="s">
        <v>844</v>
      </c>
      <c r="C852" s="3" t="str">
        <f>IFERROR(__xludf.DUMMYFUNCTION("GOOGLETRANSLATE(B852,""id"",""en"")"),"['bad connection']")</f>
        <v>['bad connection']</v>
      </c>
      <c r="D852" s="3">
        <v>1.0</v>
      </c>
    </row>
    <row r="853" ht="15.75" customHeight="1">
      <c r="A853" s="1">
        <v>902.0</v>
      </c>
      <c r="B853" s="3" t="s">
        <v>845</v>
      </c>
      <c r="C853" s="3" t="str">
        <f>IFERROR(__xludf.DUMMYFUNCTION("GOOGLETRANSLATE(B853,""id"",""en"")"),"['application', 'slow', 'loading', 'internet', 'slow', 'expensive', 'pulak']")</f>
        <v>['application', 'slow', 'loading', 'internet', 'slow', 'expensive', 'pulak']</v>
      </c>
      <c r="D853" s="3">
        <v>1.0</v>
      </c>
    </row>
    <row r="854" ht="15.75" customHeight="1">
      <c r="A854" s="1">
        <v>903.0</v>
      </c>
      <c r="B854" s="3" t="s">
        <v>846</v>
      </c>
      <c r="C854" s="3" t="str">
        <f>IFERROR(__xludf.DUMMYFUNCTION("GOOGLETRANSLATE(B854,""id"",""en"")"),"['wifi', 'BURIK', 'Haram']")</f>
        <v>['wifi', 'BURIK', 'Haram']</v>
      </c>
      <c r="D854" s="3">
        <v>1.0</v>
      </c>
    </row>
    <row r="855" ht="15.75" customHeight="1">
      <c r="A855" s="1">
        <v>904.0</v>
      </c>
      <c r="B855" s="3" t="s">
        <v>847</v>
      </c>
      <c r="C855" s="3" t="str">
        <f>IFERROR(__xludf.DUMMYFUNCTION("GOOGLETRANSLATE(B855,""id"",""en"")"),"['disgusting']")</f>
        <v>['disgusting']</v>
      </c>
      <c r="D855" s="3">
        <v>1.0</v>
      </c>
    </row>
    <row r="856" ht="15.75" customHeight="1">
      <c r="A856" s="1">
        <v>905.0</v>
      </c>
      <c r="B856" s="3" t="s">
        <v>848</v>
      </c>
      <c r="C856" s="3" t="str">
        <f>IFERROR(__xludf.DUMMYFUNCTION("GOOGLETRANSLATE(B856,""id"",""en"")"),"['application', 'failed', 'login']")</f>
        <v>['application', 'failed', 'login']</v>
      </c>
      <c r="D856" s="3">
        <v>1.0</v>
      </c>
    </row>
    <row r="857" ht="15.75" customHeight="1">
      <c r="A857" s="1">
        <v>906.0</v>
      </c>
      <c r="B857" s="3" t="s">
        <v>849</v>
      </c>
      <c r="C857" s="3" t="str">
        <f>IFERROR(__xludf.DUMMYFUNCTION("GOOGLETRANSLATE(B857,""id"",""en"")"),"['', 'FPS', 'Ngellag', 'Play', 'Ngeleq', 'Kek', 'Brain', 'Share', 'Lock', 'Child', 'Haram', 'mah', 'Delicious ',' money ',' Pay ',' little ',' little ',' disorder ',' times', 'fps',' rb ',' udh ',' fps', 'that's',' mah ', 'FPS', 'RB', 'Cuih', 'Thank', 'On"&amp;"e', 'Dead', 'Planting']")</f>
        <v>['', 'FPS', 'Ngellag', 'Play', 'Ngeleq', 'Kek', 'Brain', 'Share', 'Lock', 'Child', 'Haram', 'mah', 'Delicious ',' money ',' Pay ',' little ',' little ',' disorder ',' times', 'fps',' rb ',' udh ',' fps', 'that's',' mah ', 'FPS', 'RB', 'Cuih', 'Thank', 'One', 'Dead', 'Planting']</v>
      </c>
      <c r="D857" s="3">
        <v>1.0</v>
      </c>
    </row>
    <row r="858" ht="15.75" customHeight="1">
      <c r="A858" s="1">
        <v>907.0</v>
      </c>
      <c r="B858" s="3" t="s">
        <v>850</v>
      </c>
      <c r="C858" s="3" t="str">
        <f>IFERROR(__xludf.DUMMYFUNCTION("GOOGLETRANSLATE(B858,""id"",""en"")"),"['Lemot', 'Heavy']")</f>
        <v>['Lemot', 'Heavy']</v>
      </c>
      <c r="D858" s="3">
        <v>1.0</v>
      </c>
    </row>
    <row r="859" ht="15.75" customHeight="1">
      <c r="A859" s="1">
        <v>908.0</v>
      </c>
      <c r="B859" s="3" t="s">
        <v>851</v>
      </c>
      <c r="C859" s="3" t="str">
        <f>IFERROR(__xludf.DUMMYFUNCTION("GOOGLETRANSLATE(B859,""id"",""en"")"),"['rotten']")</f>
        <v>['rotten']</v>
      </c>
      <c r="D859" s="3">
        <v>1.0</v>
      </c>
    </row>
    <row r="860" ht="15.75" customHeight="1">
      <c r="A860" s="1">
        <v>909.0</v>
      </c>
      <c r="B860" s="3" t="s">
        <v>852</v>
      </c>
      <c r="C860" s="3" t="str">
        <f>IFERROR(__xludf.DUMMYFUNCTION("GOOGLETRANSLATE(B860,""id"",""en"")"),"['Internet', 'rotten', 'fees',' monthly ',' expensive ',' application ',' molya ',' disorder ',' mulu ',' forced ',' me ',' make ',' Internet']")</f>
        <v>['Internet', 'rotten', 'fees',' monthly ',' expensive ',' application ',' molya ',' disorder ',' mulu ',' forced ',' me ',' make ',' Internet']</v>
      </c>
      <c r="D860" s="3">
        <v>1.0</v>
      </c>
    </row>
    <row r="861" ht="15.75" customHeight="1">
      <c r="A861" s="1">
        <v>910.0</v>
      </c>
      <c r="B861" s="3" t="s">
        <v>853</v>
      </c>
      <c r="C861" s="3" t="str">
        <f>IFERROR(__xludf.DUMMYFUNCTION("GOOGLETRANSLATE(B861,""id"",""en"")"),"['ugly', 'really', 'the application', 'slow', 'severe', 'maintenance', 'Males', 'really', 'Professional', 'really', ""]")</f>
        <v>['ugly', 'really', 'the application', 'slow', 'severe', 'maintenance', 'Males', 'really', 'Professional', 'really', "]</v>
      </c>
      <c r="D861" s="3">
        <v>1.0</v>
      </c>
    </row>
    <row r="862" ht="15.75" customHeight="1">
      <c r="A862" s="1">
        <v>911.0</v>
      </c>
      <c r="B862" s="3" t="s">
        <v>854</v>
      </c>
      <c r="C862" s="3" t="str">
        <f>IFERROR(__xludf.DUMMYFUNCTION("GOOGLETRANSLATE(B862,""id"",""en"")"),"['Worst', 'at the same time', 'network', 'iternet', 'application', 'operate', 'complaint', 'network', 'cellular', 'fast', 'use', 'internet', ' Where ',' complain ', ""]")</f>
        <v>['Worst', 'at the same time', 'network', 'iternet', 'application', 'operate', 'complaint', 'network', 'cellular', 'fast', 'use', 'internet', ' Where ',' complain ', "]</v>
      </c>
      <c r="D862" s="3">
        <v>1.0</v>
      </c>
    </row>
    <row r="863" ht="15.75" customHeight="1">
      <c r="A863" s="1">
        <v>913.0</v>
      </c>
      <c r="B863" s="3" t="s">
        <v>855</v>
      </c>
      <c r="C863" s="3" t="str">
        <f>IFERROR(__xludf.DUMMYFUNCTION("GOOGLETRANSLATE(B863,""id"",""en"")"),"['Out', 'update', 'log', 'out', 'login', 'user', 'teesedia', 'speed', 'MB', 'login', 'poor']")</f>
        <v>['Out', 'update', 'log', 'out', 'login', 'user', 'teesedia', 'speed', 'MB', 'login', 'poor']</v>
      </c>
      <c r="D863" s="3">
        <v>1.0</v>
      </c>
    </row>
    <row r="864" ht="15.75" customHeight="1">
      <c r="A864" s="1">
        <v>914.0</v>
      </c>
      <c r="B864" s="3" t="s">
        <v>856</v>
      </c>
      <c r="C864" s="3" t="str">
        <f>IFERROR(__xludf.DUMMYFUNCTION("GOOGLETRANSLATE(B864,""id"",""en"")"),"['application', 'slow', 'complete', 'boundary', 'quota']")</f>
        <v>['application', 'slow', 'complete', 'boundary', 'quota']</v>
      </c>
      <c r="D864" s="3">
        <v>1.0</v>
      </c>
    </row>
    <row r="865" ht="15.75" customHeight="1">
      <c r="A865" s="1">
        <v>915.0</v>
      </c>
      <c r="B865" s="3" t="s">
        <v>857</v>
      </c>
      <c r="C865" s="3" t="str">
        <f>IFERROR(__xludf.DUMMYFUNCTION("GOOGLETRANSLATE(B865,""id"",""en"")"),"['Benerin', 'Application', '']")</f>
        <v>['Benerin', 'Application', '']</v>
      </c>
      <c r="D865" s="3">
        <v>1.0</v>
      </c>
    </row>
    <row r="866" ht="15.75" customHeight="1">
      <c r="A866" s="1">
        <v>916.0</v>
      </c>
      <c r="B866" s="3" t="s">
        <v>858</v>
      </c>
      <c r="C866" s="3" t="str">
        <f>IFERROR(__xludf.DUMMYFUNCTION("GOOGLETRANSLATE(B866,""id"",""en"")"),"['Network', 'PON', 'Tel', 'Dead', 'Internet', 'Dead', 'Pay', 'Current', 'Funny One', 'Application', 'Access',' Mobile ',' Data ',' Sampe ',' Customer ',' Disappointed ',' ']")</f>
        <v>['Network', 'PON', 'Tel', 'Dead', 'Internet', 'Dead', 'Pay', 'Current', 'Funny One', 'Application', 'Access',' Mobile ',' Data ',' Sampe ',' Customer ',' Disappointed ',' ']</v>
      </c>
      <c r="D866" s="3">
        <v>1.0</v>
      </c>
    </row>
    <row r="867" ht="15.75" customHeight="1">
      <c r="A867" s="1">
        <v>917.0</v>
      </c>
      <c r="B867" s="3" t="s">
        <v>859</v>
      </c>
      <c r="C867" s="3" t="str">
        <f>IFERROR(__xludf.DUMMYFUNCTION("GOOGLETRANSLATE(B867,""id"",""en"")"),"['Network', 'rare', 'setabilia']")</f>
        <v>['Network', 'rare', 'setabilia']</v>
      </c>
      <c r="D867" s="3">
        <v>1.0</v>
      </c>
    </row>
    <row r="868" ht="15.75" customHeight="1">
      <c r="A868" s="1">
        <v>918.0</v>
      </c>
      <c r="B868" s="3" t="s">
        <v>860</v>
      </c>
      <c r="C868" s="3" t="str">
        <f>IFERROR(__xludf.DUMMYFUNCTION("GOOGLETRANSLATE(B868,""id"",""en"")"),"['Speed', 'network', 'sihih', 'smooth', 'open', 'the application']")</f>
        <v>['Speed', 'network', 'sihih', 'smooth', 'open', 'the application']</v>
      </c>
      <c r="D868" s="3">
        <v>3.0</v>
      </c>
    </row>
    <row r="869" ht="15.75" customHeight="1">
      <c r="A869" s="1">
        <v>919.0</v>
      </c>
      <c r="B869" s="3" t="s">
        <v>861</v>
      </c>
      <c r="C869" s="3" t="str">
        <f>IFERROR(__xludf.DUMMYFUNCTION("GOOGLETRANSLATE(B869,""id"",""en"")"),"['CMN', 'BLG', 'Indihome', 'Ngeleg', 'HDUUH', '']")</f>
        <v>['CMN', 'BLG', 'Indihome', 'Ngeleg', 'HDUUH', '']</v>
      </c>
      <c r="D869" s="3">
        <v>1.0</v>
      </c>
    </row>
    <row r="870" ht="15.75" customHeight="1">
      <c r="A870" s="1">
        <v>920.0</v>
      </c>
      <c r="B870" s="3" t="s">
        <v>862</v>
      </c>
      <c r="C870" s="3" t="str">
        <f>IFERROR(__xludf.DUMMYFUNCTION("GOOGLETRANSLATE(B870,""id"",""en"")"),"['Error', 'opened']")</f>
        <v>['Error', 'opened']</v>
      </c>
      <c r="D870" s="3">
        <v>1.0</v>
      </c>
    </row>
    <row r="871" ht="15.75" customHeight="1">
      <c r="A871" s="1">
        <v>921.0</v>
      </c>
      <c r="B871" s="3" t="s">
        <v>863</v>
      </c>
      <c r="C871" s="3" t="str">
        <f>IFERROR(__xludf.DUMMYFUNCTION("GOOGLETRANSLATE(B871,""id"",""en"")"),"['Slow', 'The application']")</f>
        <v>['Slow', 'The application']</v>
      </c>
      <c r="D871" s="3">
        <v>1.0</v>
      </c>
    </row>
    <row r="872" ht="15.75" customHeight="1">
      <c r="A872" s="1">
        <v>922.0</v>
      </c>
      <c r="B872" s="3" t="s">
        <v>864</v>
      </c>
      <c r="C872" s="3" t="str">
        <f>IFERROR(__xludf.DUMMYFUNCTION("GOOGLETRANSLATE(B872,""id"",""en"")"),"['', 'Login', 'Loading']")</f>
        <v>['', 'Login', 'Loading']</v>
      </c>
      <c r="D872" s="3">
        <v>1.0</v>
      </c>
    </row>
    <row r="873" ht="15.75" customHeight="1">
      <c r="A873" s="1">
        <v>923.0</v>
      </c>
      <c r="B873" s="3" t="s">
        <v>865</v>
      </c>
      <c r="C873" s="3" t="str">
        <f>IFERROR(__xludf.DUMMYFUNCTION("GOOGLETRANSLATE(B873,""id"",""en"")"),"['slow connection']")</f>
        <v>['slow connection']</v>
      </c>
      <c r="D873" s="3">
        <v>1.0</v>
      </c>
    </row>
    <row r="874" ht="15.75" customHeight="1">
      <c r="A874" s="1">
        <v>924.0</v>
      </c>
      <c r="B874" s="3" t="s">
        <v>866</v>
      </c>
      <c r="C874" s="3" t="str">
        <f>IFERROR(__xludf.DUMMYFUNCTION("GOOGLETRANSLATE(B874,""id"",""en"")"),"['wifi', 'apps',' no ',' the difference ',' disorder ',' no ',' send ',' complaint ',' no ',' check ',' paid ',' told ',' Cepet ',' turn ',' disorder ',' service ',' slow ',' bet ',' please ',' fix ',' signal ',' apps']")</f>
        <v>['wifi', 'apps',' no ',' the difference ',' disorder ',' no ',' send ',' complaint ',' no ',' check ',' paid ',' told ',' Cepet ',' turn ',' disorder ',' service ',' slow ',' bet ',' please ',' fix ',' signal ',' apps']</v>
      </c>
      <c r="D874" s="3">
        <v>1.0</v>
      </c>
    </row>
    <row r="875" ht="15.75" customHeight="1">
      <c r="A875" s="1">
        <v>925.0</v>
      </c>
      <c r="B875" s="3" t="s">
        <v>867</v>
      </c>
      <c r="C875" s="3" t="str">
        <f>IFERROR(__xludf.DUMMYFUNCTION("GOOGLETRANSLATE(B875,""id"",""en"")"),"['Application', 'garbage']")</f>
        <v>['Application', 'garbage']</v>
      </c>
      <c r="D875" s="3">
        <v>1.0</v>
      </c>
    </row>
    <row r="876" ht="15.75" customHeight="1">
      <c r="A876" s="1">
        <v>926.0</v>
      </c>
      <c r="B876" s="3" t="s">
        <v>868</v>
      </c>
      <c r="C876" s="3" t="str">
        <f>IFERROR(__xludf.DUMMYFUNCTION("GOOGLETRANSLATE(B876,""id"",""en"")"),"['application', 'garbage', 'really', 'login', 'telephone', 'network', 'wifi', 'slow', '']")</f>
        <v>['application', 'garbage', 'really', 'login', 'telephone', 'network', 'wifi', 'slow', '']</v>
      </c>
      <c r="D876" s="3">
        <v>1.0</v>
      </c>
    </row>
    <row r="877" ht="15.75" customHeight="1">
      <c r="A877" s="1">
        <v>927.0</v>
      </c>
      <c r="B877" s="3" t="s">
        <v>869</v>
      </c>
      <c r="C877" s="3" t="str">
        <f>IFERROR(__xludf.DUMMYFUNCTION("GOOGLETRANSLATE(B877,""id"",""en"")"),"['Download', 'Install', 'Register', 'Difficult', 'Very', 'Top', 'APK']")</f>
        <v>['Download', 'Install', 'Register', 'Difficult', 'Very', 'Top', 'APK']</v>
      </c>
      <c r="D877" s="3">
        <v>1.0</v>
      </c>
    </row>
    <row r="878" ht="15.75" customHeight="1">
      <c r="A878" s="1">
        <v>928.0</v>
      </c>
      <c r="B878" s="3" t="s">
        <v>870</v>
      </c>
      <c r="C878" s="3" t="str">
        <f>IFERROR(__xludf.DUMMYFUNCTION("GOOGLETRANSLATE(B878,""id"",""en"")"),"['Please', 'Update', 'Application', 'Open', '']")</f>
        <v>['Please', 'Update', 'Application', 'Open', '']</v>
      </c>
      <c r="D878" s="3">
        <v>1.0</v>
      </c>
    </row>
    <row r="879" ht="15.75" customHeight="1">
      <c r="A879" s="1">
        <v>929.0</v>
      </c>
      <c r="B879" s="3" t="s">
        <v>871</v>
      </c>
      <c r="C879" s="3" t="str">
        <f>IFERROR(__xludf.DUMMYFUNCTION("GOOGLETRANSLATE(B879,""id"",""en"")"),"['Sometimes', 'difficult', 'login', 'krg', 'max', '']")</f>
        <v>['Sometimes', 'difficult', 'login', 'krg', 'max', '']</v>
      </c>
      <c r="D879" s="3">
        <v>3.0</v>
      </c>
    </row>
    <row r="880" ht="15.75" customHeight="1">
      <c r="A880" s="1">
        <v>930.0</v>
      </c>
      <c r="B880" s="3" t="s">
        <v>872</v>
      </c>
      <c r="C880" s="3" t="str">
        <f>IFERROR(__xludf.DUMMYFUNCTION("GOOGLETRANSLATE(B880,""id"",""en"")"),"['Indihome', 'disorder']")</f>
        <v>['Indihome', 'disorder']</v>
      </c>
      <c r="D880" s="3">
        <v>1.0</v>
      </c>
    </row>
    <row r="881" ht="15.75" customHeight="1">
      <c r="A881" s="1">
        <v>931.0</v>
      </c>
      <c r="B881" s="3" t="s">
        <v>873</v>
      </c>
      <c r="C881" s="3" t="str">
        <f>IFERROR(__xludf.DUMMYFUNCTION("GOOGLETRANSLATE(B881,""id"",""en"")"),"['Complaint', 'responds', 'late', 'payment', '']")</f>
        <v>['Complaint', 'responds', 'late', 'payment', '']</v>
      </c>
      <c r="D881" s="3">
        <v>1.0</v>
      </c>
    </row>
    <row r="882" ht="15.75" customHeight="1">
      <c r="A882" s="1">
        <v>932.0</v>
      </c>
      <c r="B882" s="3" t="s">
        <v>874</v>
      </c>
      <c r="C882" s="3" t="str">
        <f>IFERROR(__xludf.DUMMYFUNCTION("GOOGLETRANSLATE(B882,""id"",""en"")"),"['PLIS', 'WOI', 'INDIHOME', 'EAT', 'Internet', 'lag', 'Mulu', 'oath', 'Males',' want ',' replace ',' wifi ',' Indihome ',' Biarin ',' Gada ',' buy ',' Indihome ',' skarang ']")</f>
        <v>['PLIS', 'WOI', 'INDIHOME', 'EAT', 'Internet', 'lag', 'Mulu', 'oath', 'Males',' want ',' replace ',' wifi ',' Indihome ',' Biarin ',' Gada ',' buy ',' Indihome ',' skarang ']</v>
      </c>
      <c r="D882" s="3">
        <v>1.0</v>
      </c>
    </row>
    <row r="883" ht="15.75" customHeight="1">
      <c r="A883" s="1">
        <v>933.0</v>
      </c>
      <c r="B883" s="3" t="s">
        <v>875</v>
      </c>
      <c r="C883" s="3" t="str">
        <f>IFERROR(__xludf.DUMMYFUNCTION("GOOGLETRANSLATE(B883,""id"",""en"")"),"['application', 'poor', 'opened', 'Soak']")</f>
        <v>['application', 'poor', 'opened', 'Soak']</v>
      </c>
      <c r="D883" s="3">
        <v>4.0</v>
      </c>
    </row>
    <row r="884" ht="15.75" customHeight="1">
      <c r="A884" s="1">
        <v>935.0</v>
      </c>
      <c r="B884" s="3" t="s">
        <v>876</v>
      </c>
      <c r="C884" s="3" t="str">
        <f>IFERROR(__xludf.DUMMYFUNCTION("GOOGLETRANSLATE(B884,""id"",""en"")"),"['Pay', 'late', 'turn', 'kerin', 'consumer', 'response', 'slow', ""]")</f>
        <v>['Pay', 'late', 'turn', 'kerin', 'consumer', 'response', 'slow', "]</v>
      </c>
      <c r="D884" s="3">
        <v>2.0</v>
      </c>
    </row>
    <row r="885" ht="15.75" customHeight="1">
      <c r="A885" s="1">
        <v>936.0</v>
      </c>
      <c r="B885" s="3" t="s">
        <v>877</v>
      </c>
      <c r="C885" s="3" t="str">
        <f>IFERROR(__xludf.DUMMYFUNCTION("GOOGLETRANSLATE(B885,""id"",""en"")"),"['Steady', 'Indihome', 'skrg', 'UDH', 'Fast', 'response', 'blessing', 'update']")</f>
        <v>['Steady', 'Indihome', 'skrg', 'UDH', 'Fast', 'response', 'blessing', 'update']</v>
      </c>
      <c r="D885" s="3">
        <v>5.0</v>
      </c>
    </row>
    <row r="886" ht="15.75" customHeight="1">
      <c r="A886" s="1">
        <v>937.0</v>
      </c>
      <c r="B886" s="3" t="s">
        <v>82</v>
      </c>
      <c r="C886" s="3" t="str">
        <f>IFERROR(__xludf.DUMMYFUNCTION("GOOGLETRANSLATE(B886,""id"",""en"")"),"['user', 'Friendly']")</f>
        <v>['user', 'Friendly']</v>
      </c>
      <c r="D886" s="3">
        <v>5.0</v>
      </c>
    </row>
    <row r="887" ht="15.75" customHeight="1">
      <c r="A887" s="1">
        <v>938.0</v>
      </c>
      <c r="B887" s="3" t="s">
        <v>878</v>
      </c>
      <c r="C887" s="3" t="str">
        <f>IFERROR(__xludf.DUMMYFUNCTION("GOOGLETRANSLATE(B887,""id"",""en"")"),"['application', 'slow', 'access', 'application', 'web']")</f>
        <v>['application', 'slow', 'access', 'application', 'web']</v>
      </c>
      <c r="D887" s="3">
        <v>1.0</v>
      </c>
    </row>
    <row r="888" ht="15.75" customHeight="1">
      <c r="A888" s="1">
        <v>939.0</v>
      </c>
      <c r="B888" s="3" t="s">
        <v>879</v>
      </c>
      <c r="C888" s="3" t="str">
        <f>IFERROR(__xludf.DUMMYFUNCTION("GOOGLETRANSLATE(B888,""id"",""en"")"),"['Empok', 'Indihome', 'a month', 'usage', 'laptop', 'slow', 'emotion']")</f>
        <v>['Empok', 'Indihome', 'a month', 'usage', 'laptop', 'slow', 'emotion']</v>
      </c>
      <c r="D888" s="3">
        <v>1.0</v>
      </c>
    </row>
    <row r="889" ht="15.75" customHeight="1">
      <c r="A889" s="1">
        <v>940.0</v>
      </c>
      <c r="B889" s="3" t="s">
        <v>880</v>
      </c>
      <c r="C889" s="3" t="str">
        <f>IFERROR(__xludf.DUMMYFUNCTION("GOOGLETRANSLATE(B889,""id"",""en"")"),"['Response', 'Fast', 'People', 'Different', 'Focus', 'Customer']")</f>
        <v>['Response', 'Fast', 'People', 'Different', 'Focus', 'Customer']</v>
      </c>
      <c r="D889" s="3">
        <v>1.0</v>
      </c>
    </row>
    <row r="890" ht="15.75" customHeight="1">
      <c r="A890" s="1">
        <v>941.0</v>
      </c>
      <c r="B890" s="3" t="s">
        <v>881</v>
      </c>
      <c r="C890" s="3" t="str">
        <f>IFERROR(__xludf.DUMMYFUNCTION("GOOGLETRANSLATE(B890,""id"",""en"")"),"['Class', 'Telkom', 'Application', 'Heavy', 'Install', 'Kirain', 'Gegara', 'Internet', 'Check', 'OPrator', ""]")</f>
        <v>['Class', 'Telkom', 'Application', 'Heavy', 'Install', 'Kirain', 'Gegara', 'Internet', 'Check', 'OPrator', "]</v>
      </c>
      <c r="D890" s="3">
        <v>1.0</v>
      </c>
    </row>
    <row r="891" ht="15.75" customHeight="1">
      <c r="A891" s="1">
        <v>942.0</v>
      </c>
      <c r="B891" s="3" t="s">
        <v>882</v>
      </c>
      <c r="C891" s="3" t="str">
        <f>IFERROR(__xludf.DUMMYFUNCTION("GOOGLETRANSLATE(B891,""id"",""en"")"),"['Njiir', 'Application', 'Open', 'Data', 'Trus', 'Kompingan', 'GMN', '']")</f>
        <v>['Njiir', 'Application', 'Open', 'Data', 'Trus', 'Kompingan', 'GMN', '']</v>
      </c>
      <c r="D891" s="3">
        <v>1.0</v>
      </c>
    </row>
    <row r="892" ht="15.75" customHeight="1">
      <c r="A892" s="1">
        <v>943.0</v>
      </c>
      <c r="B892" s="3" t="s">
        <v>883</v>
      </c>
      <c r="C892" s="3" t="str">
        <f>IFERROR(__xludf.DUMMYFUNCTION("GOOGLETRANSLATE(B892,""id"",""en"")"),"['application', 'slow', 'lazy', 'arrest', 'complaints', 'difficult']")</f>
        <v>['application', 'slow', 'lazy', 'arrest', 'complaints', 'difficult']</v>
      </c>
      <c r="D892" s="3">
        <v>1.0</v>
      </c>
    </row>
    <row r="893" ht="15.75" customHeight="1">
      <c r="A893" s="1">
        <v>944.0</v>
      </c>
      <c r="B893" s="3" t="s">
        <v>884</v>
      </c>
      <c r="C893" s="3" t="str">
        <f>IFERROR(__xludf.DUMMYFUNCTION("GOOGLETRANSLATE(B893,""id"",""en"")"),"['Cool', 'bangetttt']")</f>
        <v>['Cool', 'bangetttt']</v>
      </c>
      <c r="D893" s="3">
        <v>5.0</v>
      </c>
    </row>
    <row r="894" ht="15.75" customHeight="1">
      <c r="A894" s="1">
        <v>945.0</v>
      </c>
      <c r="B894" s="3" t="s">
        <v>885</v>
      </c>
      <c r="C894" s="3" t="str">
        <f>IFERROR(__xludf.DUMMYFUNCTION("GOOGLETRANSLATE(B894,""id"",""en"")"),"['Application', 'boss', 'every time', 'entered', 'sorry', 'improve', 'service', ""]")</f>
        <v>['Application', 'boss', 'every time', 'entered', 'sorry', 'improve', 'service', "]</v>
      </c>
      <c r="D894" s="3">
        <v>1.0</v>
      </c>
    </row>
    <row r="895" ht="15.75" customHeight="1">
      <c r="A895" s="1">
        <v>946.0</v>
      </c>
      <c r="B895" s="3" t="s">
        <v>886</v>
      </c>
      <c r="C895" s="3" t="str">
        <f>IFERROR(__xludf.DUMMYFUNCTION("GOOGLETRANSLATE(B895,""id"",""en"")"),"['The application', 'slow', 'make', 'connection', 'anything', 'enter', 'menu', 'help', '']")</f>
        <v>['The application', 'slow', 'make', 'connection', 'anything', 'enter', 'menu', 'help', '']</v>
      </c>
      <c r="D895" s="3">
        <v>1.0</v>
      </c>
    </row>
    <row r="896" ht="15.75" customHeight="1">
      <c r="A896" s="1">
        <v>947.0</v>
      </c>
      <c r="B896" s="3" t="s">
        <v>887</v>
      </c>
      <c r="C896" s="3" t="str">
        <f>IFERROR(__xludf.DUMMYFUNCTION("GOOGLETRANSLATE(B896,""id"",""en"")"),"['Pay', 'Ontime', 'Network', 'Slow', 'Mbps',' Make ',' Smart ',' Network ',' Sometimes', 'Lost', 'Used', 'Like', ' Sukax ',' fix ',' ugliness', 'wifix']")</f>
        <v>['Pay', 'Ontime', 'Network', 'Slow', 'Mbps',' Make ',' Smart ',' Network ',' Sometimes', 'Lost', 'Used', 'Like', ' Sukax ',' fix ',' ugliness', 'wifix']</v>
      </c>
      <c r="D896" s="3">
        <v>1.0</v>
      </c>
    </row>
    <row r="897" ht="15.75" customHeight="1">
      <c r="A897" s="1">
        <v>948.0</v>
      </c>
      <c r="B897" s="3" t="s">
        <v>888</v>
      </c>
      <c r="C897" s="3" t="str">
        <f>IFERROR(__xludf.DUMMYFUNCTION("GOOGLETRANSLATE(B897,""id"",""en"")"),"['Loading', 'Troos', 'signal', 'missing', 'appears']")</f>
        <v>['Loading', 'Troos', 'signal', 'missing', 'appears']</v>
      </c>
      <c r="D897" s="3">
        <v>2.0</v>
      </c>
    </row>
    <row r="898" ht="15.75" customHeight="1">
      <c r="A898" s="1">
        <v>949.0</v>
      </c>
      <c r="B898" s="3" t="s">
        <v>889</v>
      </c>
      <c r="C898" s="3" t="str">
        <f>IFERROR(__xludf.DUMMYFUNCTION("GOOGLETRANSLATE(B898,""id"",""en"")"),"['Loading', 'Loading', 'Update', 'Complaints', 'Internet', 'Dead', 'Rain', 'Please', 'Help', ""]")</f>
        <v>['Loading', 'Loading', 'Update', 'Complaints', 'Internet', 'Dead', 'Rain', 'Please', 'Help', "]</v>
      </c>
      <c r="D898" s="3">
        <v>1.0</v>
      </c>
    </row>
    <row r="899" ht="15.75" customHeight="1">
      <c r="A899" s="1">
        <v>950.0</v>
      </c>
      <c r="B899" s="3" t="s">
        <v>890</v>
      </c>
      <c r="C899" s="3" t="str">
        <f>IFERROR(__xludf.DUMMYFUNCTION("GOOGLETRANSLATE(B899,""id"",""en"")"),"['application', 'signal', 'open', 'web', 'open', 'application', 'myindihome', 'slow']")</f>
        <v>['application', 'signal', 'open', 'web', 'open', 'application', 'myindihome', 'slow']</v>
      </c>
      <c r="D899" s="3">
        <v>1.0</v>
      </c>
    </row>
    <row r="900" ht="15.75" customHeight="1">
      <c r="A900" s="1">
        <v>951.0</v>
      </c>
      <c r="B900" s="3" t="s">
        <v>891</v>
      </c>
      <c r="C900" s="3" t="str">
        <f>IFERROR(__xludf.DUMMYFUNCTION("GOOGLETRANSLATE(B900,""id"",""en"")"),"['steady', 'SIH', 'Exchange', 'Points', 'Easy', 'Bangett', ""]")</f>
        <v>['steady', 'SIH', 'Exchange', 'Points', 'Easy', 'Bangett', "]</v>
      </c>
      <c r="D900" s="3">
        <v>5.0</v>
      </c>
    </row>
    <row r="901" ht="15.75" customHeight="1">
      <c r="A901" s="1">
        <v>952.0</v>
      </c>
      <c r="B901" s="3" t="s">
        <v>892</v>
      </c>
      <c r="C901" s="3" t="str">
        <f>IFERROR(__xludf.DUMMYFUNCTION("GOOGLETRANSLATE(B901,""id"",""en"")"),"['Gabisa', 'Login', 'Please', 'Wait']")</f>
        <v>['Gabisa', 'Login', 'Please', 'Wait']</v>
      </c>
      <c r="D901" s="3">
        <v>1.0</v>
      </c>
    </row>
    <row r="902" ht="15.75" customHeight="1">
      <c r="A902" s="1">
        <v>953.0</v>
      </c>
      <c r="B902" s="3" t="s">
        <v>893</v>
      </c>
      <c r="C902" s="3" t="str">
        <f>IFERROR(__xludf.DUMMYFUNCTION("GOOGLETRANSLATE(B902,""id"",""en"")"),"['difficult', 'entry', 'application', 'improvement', ""]")</f>
        <v>['difficult', 'entry', 'application', 'improvement', "]</v>
      </c>
      <c r="D902" s="3">
        <v>1.0</v>
      </c>
    </row>
    <row r="903" ht="15.75" customHeight="1">
      <c r="A903" s="1">
        <v>956.0</v>
      </c>
      <c r="B903" s="3" t="s">
        <v>894</v>
      </c>
      <c r="C903" s="3" t="str">
        <f>IFERROR(__xludf.DUMMYFUNCTION("GOOGLETRANSLATE(B903,""id"",""en"")"),"['Comfortable', 'slow', 'according to', ""]")</f>
        <v>['Comfortable', 'slow', 'according to', "]</v>
      </c>
      <c r="D903" s="3">
        <v>1.0</v>
      </c>
    </row>
    <row r="904" ht="15.75" customHeight="1">
      <c r="A904" s="1">
        <v>957.0</v>
      </c>
      <c r="B904" s="3" t="s">
        <v>895</v>
      </c>
      <c r="C904" s="3" t="str">
        <f>IFERROR(__xludf.DUMMYFUNCTION("GOOGLETRANSLATE(B904,""id"",""en"")"),"['sambalaaa', 'Jellena', 'Network', 'toloo', 'lose', 'truska', 'play', 'begee']")</f>
        <v>['sambalaaa', 'Jellena', 'Network', 'toloo', 'lose', 'truska', 'play', 'begee']</v>
      </c>
      <c r="D904" s="3">
        <v>1.0</v>
      </c>
    </row>
    <row r="905" ht="15.75" customHeight="1">
      <c r="A905" s="1">
        <v>958.0</v>
      </c>
      <c r="B905" s="3" t="s">
        <v>896</v>
      </c>
      <c r="C905" s="3" t="str">
        <f>IFERROR(__xludf.DUMMYFUNCTION("GOOGLETRANSLATE(B905,""id"",""en"")"),"['Hello', 'Indonesia', 'Myindihome', 'APK', 'Belongs',' Provider ',' Indihome ',' Service ',' Best ',' Network ',' Speed ​​',' Speed ​​',' Kenceng ',' complaints', 'complaints',' swift ',' clock ',' nonstop ',' technician ',' swift ',' obstacle ',' handy "&amp;"',' technician ',' direct ',' glide ' , 'Indihome', 'The', 'Best', 'Install', 'Indihome', 'Ribet', 'Network', 'Available', 'Region', 'Indonesia', 'Cool', 'Indihime', ' ']")</f>
        <v>['Hello', 'Indonesia', 'Myindihome', 'APK', 'Belongs',' Provider ',' Indihome ',' Service ',' Best ',' Network ',' Speed ​​',' Speed ​​',' Kenceng ',' complaints', 'complaints',' swift ',' clock ',' nonstop ',' technician ',' swift ',' obstacle ',' handy ',' technician ',' direct ',' glide ' , 'Indihome', 'The', 'Best', 'Install', 'Indihome', 'Ribet', 'Network', 'Available', 'Region', 'Indonesia', 'Cool', 'Indihime', ' ']</v>
      </c>
      <c r="D905" s="3">
        <v>5.0</v>
      </c>
    </row>
    <row r="906" ht="15.75" customHeight="1">
      <c r="A906" s="1">
        <v>959.0</v>
      </c>
      <c r="B906" s="3" t="s">
        <v>897</v>
      </c>
      <c r="C906" s="3" t="str">
        <f>IFERROR(__xludf.DUMMYFUNCTION("GOOGLETRANSLATE(B906,""id"",""en"")"),"['update', 'difficult', 'open', 'menu', 'try', 'sisni', '']")</f>
        <v>['update', 'difficult', 'open', 'menu', 'try', 'sisni', '']</v>
      </c>
      <c r="D906" s="3">
        <v>1.0</v>
      </c>
    </row>
    <row r="907" ht="15.75" customHeight="1">
      <c r="A907" s="1">
        <v>960.0</v>
      </c>
      <c r="B907" s="3" t="s">
        <v>898</v>
      </c>
      <c r="C907" s="3" t="str">
        <f>IFERROR(__xludf.DUMMYFUNCTION("GOOGLETRANSLATE(B907,""id"",""en"")"),"['Center', 'Help', 'Teaked', '']")</f>
        <v>['Center', 'Help', 'Teaked', '']</v>
      </c>
      <c r="D907" s="3">
        <v>1.0</v>
      </c>
    </row>
    <row r="908" ht="15.75" customHeight="1">
      <c r="A908" s="1">
        <v>961.0</v>
      </c>
      <c r="B908" s="3" t="s">
        <v>899</v>
      </c>
      <c r="C908" s="3" t="str">
        <f>IFERROR(__xludf.DUMMYFUNCTION("GOOGLETRANSLATE(B908,""id"",""en"")"),"['Come on', 'Install', 'Indihone']")</f>
        <v>['Come on', 'Install', 'Indihone']</v>
      </c>
      <c r="D908" s="3">
        <v>1.0</v>
      </c>
    </row>
    <row r="909" ht="15.75" customHeight="1">
      <c r="A909" s="1">
        <v>962.0</v>
      </c>
      <c r="B909" s="3" t="s">
        <v>900</v>
      </c>
      <c r="C909" s="3" t="str">
        <f>IFERROR(__xludf.DUMMYFUNCTION("GOOGLETRANSLATE(B909,""id"",""en"")"),"['Loading']")</f>
        <v>['Loading']</v>
      </c>
      <c r="D909" s="3">
        <v>2.0</v>
      </c>
    </row>
    <row r="910" ht="15.75" customHeight="1">
      <c r="A910" s="1">
        <v>963.0</v>
      </c>
      <c r="B910" s="3" t="s">
        <v>901</v>
      </c>
      <c r="C910" s="3" t="str">
        <f>IFERROR(__xludf.DUMMYFUNCTION("GOOGLETRANSLATE(B910,""id"",""en"")"),"['Paying', 'Knp', 'Bill', 'Leave', 'Miss', 'Network', 'wifi', ""]")</f>
        <v>['Paying', 'Knp', 'Bill', 'Leave', 'Miss', 'Network', 'wifi', "]</v>
      </c>
      <c r="D910" s="3">
        <v>2.0</v>
      </c>
    </row>
    <row r="911" ht="15.75" customHeight="1">
      <c r="A911" s="1">
        <v>964.0</v>
      </c>
      <c r="B911" s="3" t="s">
        <v>902</v>
      </c>
      <c r="C911" s="3" t="str">
        <f>IFERROR(__xludf.DUMMYFUNCTION("GOOGLETRANSLATE(B911,""id"",""en"")"),"['Hopefully', 'Pontianak', 'West Kalimantar', 'Operator', 'Competitors',' Indihome ',' Moving ',' Severe ',' Very ',' Disorders', 'Intention', 'Really', ' Benerinnya ']")</f>
        <v>['Hopefully', 'Pontianak', 'West Kalimantar', 'Operator', 'Competitors',' Indihome ',' Moving ',' Severe ',' Very ',' Disorders', 'Intention', 'Really', ' Benerinnya ']</v>
      </c>
      <c r="D911" s="3">
        <v>1.0</v>
      </c>
    </row>
    <row r="912" ht="15.75" customHeight="1">
      <c r="A912" s="1">
        <v>965.0</v>
      </c>
      <c r="B912" s="3" t="s">
        <v>903</v>
      </c>
      <c r="C912" s="3" t="str">
        <f>IFERROR(__xludf.DUMMYFUNCTION("GOOGLETRANSLATE(B912,""id"",""en"")"),"['GMN', 'Fall', 'Tempo', 'Date', 'Payment', 'Error', 'WiFi', 'Fighted', 'Matiin', 'Change', 'restart', 'here' ugly ',' really ',' service ']")</f>
        <v>['GMN', 'Fall', 'Tempo', 'Date', 'Payment', 'Error', 'WiFi', 'Fighted', 'Matiin', 'Change', 'restart', 'here' ugly ',' really ',' service ']</v>
      </c>
      <c r="D912" s="3">
        <v>3.0</v>
      </c>
    </row>
    <row r="913" ht="15.75" customHeight="1">
      <c r="A913" s="1">
        <v>966.0</v>
      </c>
      <c r="B913" s="3" t="s">
        <v>904</v>
      </c>
      <c r="C913" s="3" t="str">
        <f>IFERROR(__xludf.DUMMYFUNCTION("GOOGLETRANSLATE(B913,""id"",""en"")"),"['Application', 'Indihom', 'easy', 'access', 'pakek', 'wafi', 'petrified', 'brpa', 'prngkat', 'saving']")</f>
        <v>['Application', 'Indihom', 'easy', 'access', 'pakek', 'wafi', 'petrified', 'brpa', 'prngkat', 'saving']</v>
      </c>
      <c r="D913" s="3">
        <v>5.0</v>
      </c>
    </row>
    <row r="914" ht="15.75" customHeight="1">
      <c r="A914" s="1">
        <v>967.0</v>
      </c>
      <c r="B914" s="3" t="s">
        <v>905</v>
      </c>
      <c r="C914" s="3" t="str">
        <f>IFERROR(__xludf.DUMMYFUNCTION("GOOGLETRANSLATE(B914,""id"",""en"")"),"['Network', 'Indihome', 'Sangay', 'Bad', 'Signal', 'Good', 'Lemoott', 'Dann', 'Disconnected', 'Serimg', 'Los',' Disconnected ',' Tomorrow ',' Please ',' Fix ',' Systemny ',' Donk ',' ']")</f>
        <v>['Network', 'Indihome', 'Sangay', 'Bad', 'Signal', 'Good', 'Lemoott', 'Dann', 'Disconnected', 'Serimg', 'Los',' Disconnected ',' Tomorrow ',' Please ',' Fix ',' Systemny ',' Donk ',' ']</v>
      </c>
      <c r="D914" s="3">
        <v>3.0</v>
      </c>
    </row>
    <row r="915" ht="15.75" customHeight="1">
      <c r="A915" s="1">
        <v>968.0</v>
      </c>
      <c r="B915" s="3" t="s">
        <v>906</v>
      </c>
      <c r="C915" s="3" t="str">
        <f>IFERROR(__xludf.DUMMYFUNCTION("GOOGLETRANSLATE(B915,""id"",""en"")"),"['Bad', 'app', 'login', 'difficult', 'udh', 'enter', 'email', 'wrong', 'login', 'fix', 'app', '']")</f>
        <v>['Bad', 'app', 'login', 'difficult', 'udh', 'enter', 'email', 'wrong', 'login', 'fix', 'app', '']</v>
      </c>
      <c r="D915" s="3">
        <v>1.0</v>
      </c>
    </row>
    <row r="916" ht="15.75" customHeight="1">
      <c r="A916" s="1">
        <v>969.0</v>
      </c>
      <c r="B916" s="3" t="s">
        <v>907</v>
      </c>
      <c r="C916" s="3" t="str">
        <f>IFERROR(__xludf.DUMMYFUNCTION("GOOGLETRANSLATE(B916,""id"",""en"")"),"['Network', 'silly', 'poor', 'kocag', 'money', 'doang', 'network', 'kaga', 'according to', ""]")</f>
        <v>['Network', 'silly', 'poor', 'kocag', 'money', 'doang', 'network', 'kaga', 'according to', "]</v>
      </c>
      <c r="D916" s="3">
        <v>1.0</v>
      </c>
    </row>
    <row r="917" ht="15.75" customHeight="1">
      <c r="A917" s="1">
        <v>970.0</v>
      </c>
      <c r="B917" s="3" t="s">
        <v>908</v>
      </c>
      <c r="C917" s="3" t="str">
        <f>IFERROR(__xludf.DUMMYFUNCTION("GOOGLETRANSLATE(B917,""id"",""en"")"),"['Bad', 'network', 'original', 'mah', 'mending', 'provider', 'next door', 'dri', 'nyesel', 'first']")</f>
        <v>['Bad', 'network', 'original', 'mah', 'mending', 'provider', 'next door', 'dri', 'nyesel', 'first']</v>
      </c>
      <c r="D917" s="3">
        <v>1.0</v>
      </c>
    </row>
    <row r="918" ht="15.75" customHeight="1">
      <c r="A918" s="1">
        <v>971.0</v>
      </c>
      <c r="B918" s="3" t="s">
        <v>909</v>
      </c>
      <c r="C918" s="3" t="str">
        <f>IFERROR(__xludf.DUMMYFUNCTION("GOOGLETRANSLATE(B918,""id"",""en"")"),"['App', 'slow', 'network', 'subscription', 'MB', 'difficult', 'open', 'app']")</f>
        <v>['App', 'slow', 'network', 'subscription', 'MB', 'difficult', 'open', 'app']</v>
      </c>
      <c r="D918" s="3">
        <v>1.0</v>
      </c>
    </row>
    <row r="919" ht="15.75" customHeight="1">
      <c r="A919" s="1">
        <v>972.0</v>
      </c>
      <c r="B919" s="3" t="s">
        <v>910</v>
      </c>
      <c r="C919" s="3" t="str">
        <f>IFERROR(__xludf.DUMMYFUNCTION("GOOGLETRANSLATE(B919,""id"",""en"")"),"['ETT', 'Leet', 'Provider', 'Mao', 'Money', 'Doang', 'Nawar', 'Nawarin', ""]")</f>
        <v>['ETT', 'Leet', 'Provider', 'Mao', 'Money', 'Doang', 'Nawar', 'Nawarin', "]</v>
      </c>
      <c r="D919" s="3">
        <v>1.0</v>
      </c>
    </row>
    <row r="920" ht="15.75" customHeight="1">
      <c r="A920" s="1">
        <v>973.0</v>
      </c>
      <c r="B920" s="3" t="s">
        <v>911</v>
      </c>
      <c r="C920" s="3" t="str">
        <f>IFERROR(__xludf.DUMMYFUNCTION("GOOGLETRANSLATE(B920,""id"",""en"")"),"['Mbps', 'ngeleg', 'really', 'open', 'YouTube', 'Tiktok']")</f>
        <v>['Mbps', 'ngeleg', 'really', 'open', 'YouTube', 'Tiktok']</v>
      </c>
      <c r="D920" s="3">
        <v>1.0</v>
      </c>
    </row>
    <row r="921" ht="15.75" customHeight="1">
      <c r="A921" s="1">
        <v>974.0</v>
      </c>
      <c r="B921" s="3" t="s">
        <v>912</v>
      </c>
      <c r="C921" s="3" t="str">
        <f>IFERROR(__xludf.DUMMYFUNCTION("GOOGLETRANSLATE(B921,""id"",""en"")"),"['application', 'lemooot', 'report', 'lemoot', '']")</f>
        <v>['application', 'lemooot', 'report', 'lemoot', '']</v>
      </c>
      <c r="D921" s="3">
        <v>1.0</v>
      </c>
    </row>
    <row r="922" ht="15.75" customHeight="1">
      <c r="A922" s="1">
        <v>975.0</v>
      </c>
      <c r="B922" s="3" t="s">
        <v>21</v>
      </c>
      <c r="C922" s="3" t="str">
        <f>IFERROR(__xludf.DUMMYFUNCTION("GOOGLETRANSLATE(B922,""id"",""en"")"),"Of course")</f>
        <v>Of course</v>
      </c>
      <c r="D922" s="3">
        <v>1.0</v>
      </c>
    </row>
    <row r="923" ht="15.75" customHeight="1">
      <c r="A923" s="1">
        <v>976.0</v>
      </c>
      <c r="B923" s="3" t="s">
        <v>913</v>
      </c>
      <c r="C923" s="3" t="str">
        <f>IFERROR(__xludf.DUMMYFUNCTION("GOOGLETRANSLATE(B923,""id"",""en"")"),"['obstacle', 'steady']")</f>
        <v>['obstacle', 'steady']</v>
      </c>
      <c r="D923" s="3">
        <v>5.0</v>
      </c>
    </row>
    <row r="924" ht="15.75" customHeight="1">
      <c r="A924" s="1">
        <v>977.0</v>
      </c>
      <c r="B924" s="3" t="s">
        <v>914</v>
      </c>
      <c r="C924" s="3" t="str">
        <f>IFERROR(__xludf.DUMMYFUNCTION("GOOGLETRANSLATE(B924,""id"",""en"")"),"['Stop', 'subscription']")</f>
        <v>['Stop', 'subscription']</v>
      </c>
      <c r="D924" s="3">
        <v>5.0</v>
      </c>
    </row>
    <row r="925" ht="15.75" customHeight="1">
      <c r="A925" s="1">
        <v>978.0</v>
      </c>
      <c r="B925" s="3" t="s">
        <v>915</v>
      </c>
      <c r="C925" s="3" t="str">
        <f>IFERROR(__xludf.DUMMYFUNCTION("GOOGLETRANSLATE(B925,""id"",""en"")"),"['Really', 'service', 'bad', '']")</f>
        <v>['Really', 'service', 'bad', '']</v>
      </c>
      <c r="D925" s="3">
        <v>1.0</v>
      </c>
    </row>
    <row r="926" ht="15.75" customHeight="1">
      <c r="A926" s="1">
        <v>979.0</v>
      </c>
      <c r="B926" s="3" t="s">
        <v>916</v>
      </c>
      <c r="C926" s="3" t="str">
        <f>IFERROR(__xludf.DUMMYFUNCTION("GOOGLETRANSLATE(B926,""id"",""en"")"),"['Awaited', 'presence', ""]")</f>
        <v>['Awaited', 'presence', "]</v>
      </c>
      <c r="D926" s="3">
        <v>4.0</v>
      </c>
    </row>
    <row r="927" ht="15.75" customHeight="1">
      <c r="A927" s="1">
        <v>980.0</v>
      </c>
      <c r="B927" s="3" t="s">
        <v>5</v>
      </c>
      <c r="C927" s="3" t="str">
        <f>IFERROR(__xludf.DUMMYFUNCTION("GOOGLETRANSLATE(B927,""id"",""en"")"),"['slow']")</f>
        <v>['slow']</v>
      </c>
      <c r="D927" s="3">
        <v>1.0</v>
      </c>
    </row>
    <row r="928" ht="15.75" customHeight="1">
      <c r="A928" s="1">
        <v>982.0</v>
      </c>
      <c r="B928" s="3" t="s">
        <v>917</v>
      </c>
      <c r="C928" s="3" t="str">
        <f>IFERROR(__xludf.DUMMYFUNCTION("GOOGLETRANSLATE(B928,""id"",""en"")"),"['Update', 'Application', 'Ceck', 'Senguan', 'Monthly', 'Heavy', 'Application']")</f>
        <v>['Update', 'Application', 'Ceck', 'Senguan', 'Monthly', 'Heavy', 'Application']</v>
      </c>
      <c r="D928" s="3">
        <v>1.0</v>
      </c>
    </row>
    <row r="929" ht="15.75" customHeight="1">
      <c r="A929" s="1">
        <v>984.0</v>
      </c>
      <c r="B929" s="3" t="s">
        <v>918</v>
      </c>
      <c r="C929" s="3" t="str">
        <f>IFERROR(__xludf.DUMMYFUNCTION("GOOGLETRANSLATE(B929,""id"",""en"")"),"['Application', 'pasmau', 'pngaduan', 'connection', 'trutu', 'emlah', 'menu', 'trsdia', 'inudent', 'bill', 'point', ""]")</f>
        <v>['Application', 'pasmau', 'pngaduan', 'connection', 'trutu', 'emlah', 'menu', 'trsdia', 'inudent', 'bill', 'point', "]</v>
      </c>
      <c r="D929" s="3">
        <v>1.0</v>
      </c>
    </row>
    <row r="930" ht="15.75" customHeight="1">
      <c r="A930" s="1">
        <v>985.0</v>
      </c>
      <c r="B930" s="3" t="s">
        <v>919</v>
      </c>
      <c r="C930" s="3" t="str">
        <f>IFERROR(__xludf.DUMMYFUNCTION("GOOGLETRANSLATE(B930,""id"",""en"")"),"['', 'Login', 'poor']")</f>
        <v>['', 'Login', 'poor']</v>
      </c>
      <c r="D930" s="3">
        <v>1.0</v>
      </c>
    </row>
    <row r="931" ht="15.75" customHeight="1">
      <c r="A931" s="1">
        <v>986.0</v>
      </c>
      <c r="B931" s="3" t="s">
        <v>920</v>
      </c>
      <c r="C931" s="3" t="str">
        <f>IFERROR(__xludf.DUMMYFUNCTION("GOOGLETRANSLATE(B931,""id"",""en"")"),"['Wahhh', 'Thank you', 'Good', 'Application', 'Recomend']")</f>
        <v>['Wahhh', 'Thank you', 'Good', 'Application', 'Recomend']</v>
      </c>
      <c r="D931" s="3">
        <v>5.0</v>
      </c>
    </row>
    <row r="932" ht="15.75" customHeight="1">
      <c r="A932" s="1">
        <v>987.0</v>
      </c>
      <c r="B932" s="3" t="s">
        <v>921</v>
      </c>
      <c r="C932" s="3" t="str">
        <f>IFERROR(__xludf.DUMMYFUNCTION("GOOGLETRANSLATE(B932,""id"",""en"")"),"['The application', 'help', 'really']")</f>
        <v>['The application', 'help', 'really']</v>
      </c>
      <c r="D932" s="3">
        <v>5.0</v>
      </c>
    </row>
    <row r="933" ht="15.75" customHeight="1">
      <c r="A933" s="1">
        <v>988.0</v>
      </c>
      <c r="B933" s="3" t="s">
        <v>922</v>
      </c>
      <c r="C933" s="3" t="str">
        <f>IFERROR(__xludf.DUMMYFUNCTION("GOOGLETRANSLATE(B933,""id"",""en"")"),"['WiFi', 'getting', 'disorder', 'SIH', 'Yesterday', 'disorder', 'disorder', 'again', ""]")</f>
        <v>['WiFi', 'getting', 'disorder', 'SIH', 'Yesterday', 'disorder', 'disorder', 'again', "]</v>
      </c>
      <c r="D933" s="3">
        <v>1.0</v>
      </c>
    </row>
    <row r="934" ht="15.75" customHeight="1">
      <c r="A934" s="1">
        <v>989.0</v>
      </c>
      <c r="B934" s="3" t="s">
        <v>923</v>
      </c>
      <c r="C934" s="3" t="str">
        <f>IFERROR(__xludf.DUMMYFUNCTION("GOOGLETRANSLATE(B934,""id"",""en"")"),"['Thank you', 'response', 'Please', 'Keep', 'Quality', 'company', 'BUMN', 'Negri', 'People', 'Support', 'Iringi', 'Quality', ' Sarry ',' service ',' competent ',' thanks', '']")</f>
        <v>['Thank you', 'response', 'Please', 'Keep', 'Quality', 'company', 'BUMN', 'Negri', 'People', 'Support', 'Iringi', 'Quality', ' Sarry ',' service ',' competent ',' thanks', '']</v>
      </c>
      <c r="D934" s="3">
        <v>5.0</v>
      </c>
    </row>
    <row r="935" ht="15.75" customHeight="1">
      <c r="A935" s="1">
        <v>990.0</v>
      </c>
      <c r="B935" s="3" t="s">
        <v>924</v>
      </c>
      <c r="C935" s="3" t="str">
        <f>IFERROR(__xludf.DUMMYFUNCTION("GOOGLETRANSLATE(B935,""id"",""en"")"),"['Try', 'Application', 'Light', 'Easy', 'Access',' Internet ',' Indihome ',' Lemot ',' Open ',' Application ',' Current ',' Jaya ',' Turning ',' Open ',' Application ',' Indihome ',' Leet ',' Loading ',' Teeroooosss', '']")</f>
        <v>['Try', 'Application', 'Light', 'Easy', 'Access',' Internet ',' Indihome ',' Lemot ',' Open ',' Application ',' Current ',' Jaya ',' Turning ',' Open ',' Application ',' Indihome ',' Leet ',' Loading ',' Teeroooosss', '']</v>
      </c>
      <c r="D935" s="3">
        <v>1.0</v>
      </c>
    </row>
    <row r="936" ht="15.75" customHeight="1">
      <c r="A936" s="1">
        <v>992.0</v>
      </c>
      <c r="B936" s="3" t="s">
        <v>925</v>
      </c>
      <c r="C936" s="3" t="str">
        <f>IFERROR(__xludf.DUMMYFUNCTION("GOOGLETRANSLATE(B936,""id"",""en"")"),"['Service', 'slow']")</f>
        <v>['Service', 'slow']</v>
      </c>
      <c r="D936" s="3">
        <v>1.0</v>
      </c>
    </row>
    <row r="937" ht="15.75" customHeight="1">
      <c r="A937" s="1">
        <v>993.0</v>
      </c>
      <c r="B937" s="3" t="s">
        <v>926</v>
      </c>
      <c r="C937" s="3" t="str">
        <f>IFERROR(__xludf.DUMMYFUNCTION("GOOGLETRANSLATE(B937,""id"",""en"")"),"['Application', 'Cool', 'Look', 'Bill', 'Details',' then ',' Tuker ',' Pawn ',' Code ',' Code ',' The ',' Best ',' ']")</f>
        <v>['Application', 'Cool', 'Look', 'Bill', 'Details',' then ',' Tuker ',' Pawn ',' Code ',' Code ',' The ',' Best ',' ']</v>
      </c>
      <c r="D937" s="3">
        <v>5.0</v>
      </c>
    </row>
    <row r="938" ht="15.75" customHeight="1">
      <c r="A938" s="1">
        <v>994.0</v>
      </c>
      <c r="B938" s="3" t="s">
        <v>927</v>
      </c>
      <c r="C938" s="3" t="str">
        <f>IFERROR(__xludf.DUMMYFUNCTION("GOOGLETRANSLATE(B938,""id"",""en"")"),"['Dipake', 'subscription', 'Video', 'signal', 'broke', 'broke', 'lag', 'watch', 'soccer', 'ball', 'baye', 'please', ' repaired ',' Assalamualaikum ',' warahmatullah ',' barokatuh ',' trimakasih ']")</f>
        <v>['Dipake', 'subscription', 'Video', 'signal', 'broke', 'broke', 'lag', 'watch', 'soccer', 'ball', 'baye', 'please', ' repaired ',' Assalamualaikum ',' warahmatullah ',' barokatuh ',' trimakasih ']</v>
      </c>
      <c r="D938" s="3">
        <v>5.0</v>
      </c>
    </row>
    <row r="939" ht="15.75" customHeight="1">
      <c r="A939" s="1">
        <v>995.0</v>
      </c>
      <c r="B939" s="3" t="s">
        <v>928</v>
      </c>
      <c r="C939" s="3" t="str">
        <f>IFERROR(__xludf.DUMMYFUNCTION("GOOGLETRANSLATE(B939,""id"",""en"")"),"['application', 'whataaaaa', 'forgiveness',' ngeelus', 'chest', 'deh', 'ngeblank', 'white', 'stuck', 'what', 'procedure', 'BUMN', ' Recruiting ',' Team ',' Developer ',' Forgiveness', 'Search', 'Graduates',' ITB ']")</f>
        <v>['application', 'whataaaaa', 'forgiveness',' ngeelus', 'chest', 'deh', 'ngeblank', 'white', 'stuck', 'what', 'procedure', 'BUMN', ' Recruiting ',' Team ',' Developer ',' Forgiveness', 'Search', 'Graduates',' ITB ']</v>
      </c>
      <c r="D939" s="3">
        <v>1.0</v>
      </c>
    </row>
    <row r="940" ht="15.75" customHeight="1">
      <c r="A940" s="1">
        <v>996.0</v>
      </c>
      <c r="B940" s="3" t="s">
        <v>929</v>
      </c>
      <c r="C940" s="3" t="str">
        <f>IFERROR(__xludf.DUMMYFUNCTION("GOOGLETRANSLATE(B940,""id"",""en"")"),"['Please', 'Accelerated', 'Improvement', 'Application', 'Myindihome', 'Latest', 'Difficult', 'Collect', 'Myindihome', 'Description', 'Please', 'Sorry', ' improvement ',' service ',' accessed ',' normal ',' love ',' star ',' thank you ']")</f>
        <v>['Please', 'Accelerated', 'Improvement', 'Application', 'Myindihome', 'Latest', 'Difficult', 'Collect', 'Myindihome', 'Description', 'Please', 'Sorry', ' improvement ',' service ',' accessed ',' normal ',' love ',' star ',' thank you ']</v>
      </c>
      <c r="D940" s="3">
        <v>2.0</v>
      </c>
    </row>
    <row r="941" ht="15.75" customHeight="1">
      <c r="A941" s="1">
        <v>997.0</v>
      </c>
      <c r="B941" s="3" t="s">
        <v>930</v>
      </c>
      <c r="C941" s="3" t="str">
        <f>IFERROR(__xludf.DUMMYFUNCTION("GOOGLETRANSLATE(B941,""id"",""en"")"),"['Change', 'interface', 'appears',' message ',' annoying ',' telkom ',' company ',' class', 'service', 'gini', 'gini', 'fun', ' Watch ',' Interrupted ',' Message ',' Display ',' Interface ',' Think ',' Message ',' Appears', 'Disturbs',' Comfort ',' Consum"&amp;"er ', ""]")</f>
        <v>['Change', 'interface', 'appears',' message ',' annoying ',' telkom ',' company ',' class', 'service', 'gini', 'gini', 'fun', ' Watch ',' Interrupted ',' Message ',' Display ',' Interface ',' Think ',' Message ',' Appears', 'Disturbs',' Comfort ',' Consumer ', "]</v>
      </c>
      <c r="D941" s="3">
        <v>1.0</v>
      </c>
    </row>
    <row r="942" ht="15.75" customHeight="1">
      <c r="A942" s="1">
        <v>999.0</v>
      </c>
      <c r="B942" s="3" t="s">
        <v>931</v>
      </c>
      <c r="C942" s="3" t="str">
        <f>IFERROR(__xludf.DUMMYFUNCTION("GOOGLETRANSLATE(B942,""id"",""en"")"),"['Out', 'update', 'version', 'Cool', 'App', 'Feature', 'features', 'sophisticated', ""]")</f>
        <v>['Out', 'update', 'version', 'Cool', 'App', 'Feature', 'features', 'sophisticated', "]</v>
      </c>
      <c r="D942" s="3">
        <v>5.0</v>
      </c>
    </row>
    <row r="943" ht="15.75" customHeight="1">
      <c r="A943" s="1">
        <v>1000.0</v>
      </c>
      <c r="B943" s="3" t="s">
        <v>932</v>
      </c>
      <c r="C943" s="3" t="str">
        <f>IFERROR(__xludf.DUMMYFUNCTION("GOOGLETRANSLATE(B943,""id"",""en"")"),"['response', 'technicians',' slow ',' pakek ',' money ',' already ',' pakek ',' internet ',' wifi ',' already ',' report ',' action ',' Technicians', 'Disappointed', 'Service', 'Address',' Jln ',' Tanjung ',' API ',' API ',' Hallway ',' Dakota ',' Palemba"&amp;"ng ']")</f>
        <v>['response', 'technicians',' slow ',' pakek ',' money ',' already ',' pakek ',' internet ',' wifi ',' already ',' report ',' action ',' Technicians', 'Disappointed', 'Service', 'Address',' Jln ',' Tanjung ',' API ',' API ',' Hallway ',' Dakota ',' Palembang ']</v>
      </c>
      <c r="D943" s="3">
        <v>1.0</v>
      </c>
    </row>
    <row r="944" ht="15.75" customHeight="1">
      <c r="A944" s="1">
        <v>1001.0</v>
      </c>
      <c r="B944" s="3" t="s">
        <v>933</v>
      </c>
      <c r="C944" s="3" t="str">
        <f>IFERROR(__xludf.DUMMYFUNCTION("GOOGLETRANSLATE(B944,""id"",""en"")"),"['update', 'difficult', 'login']")</f>
        <v>['update', 'difficult', 'login']</v>
      </c>
      <c r="D944" s="3">
        <v>1.0</v>
      </c>
    </row>
    <row r="945" ht="15.75" customHeight="1">
      <c r="A945" s="1">
        <v>1002.0</v>
      </c>
      <c r="B945" s="3" t="s">
        <v>934</v>
      </c>
      <c r="C945" s="3" t="str">
        <f>IFERROR(__xludf.DUMMYFUNCTION("GOOGLETRANSLATE(B945,""id"",""en"")"),"['Help', 'See', 'Bill', 'Details']")</f>
        <v>['Help', 'See', 'Bill', 'Details']</v>
      </c>
      <c r="D945" s="3">
        <v>5.0</v>
      </c>
    </row>
    <row r="946" ht="15.75" customHeight="1">
      <c r="A946" s="1">
        <v>1003.0</v>
      </c>
      <c r="B946" s="3" t="s">
        <v>935</v>
      </c>
      <c r="C946" s="3" t="str">
        <f>IFERROR(__xludf.DUMMYFUNCTION("GOOGLETRANSLATE(B946,""id"",""en"")"),"['Cool', 'the application', 'makes it easier', 'see', 'bill', 'detail']")</f>
        <v>['Cool', 'the application', 'makes it easier', 'see', 'bill', 'detail']</v>
      </c>
      <c r="D946" s="3">
        <v>5.0</v>
      </c>
    </row>
    <row r="947" ht="15.75" customHeight="1">
      <c r="A947" s="1">
        <v>1004.0</v>
      </c>
      <c r="B947" s="3" t="s">
        <v>936</v>
      </c>
      <c r="C947" s="3" t="str">
        <f>IFERROR(__xludf.DUMMYFUNCTION("GOOGLETRANSLATE(B947,""id"",""en"")"),"['update', 'application', 'slow', 'application', 'better', 'update', 'please', 'overcome', '']")</f>
        <v>['update', 'application', 'slow', 'application', 'better', 'update', 'please', 'overcome', '']</v>
      </c>
      <c r="D947" s="3">
        <v>1.0</v>
      </c>
    </row>
    <row r="948" ht="15.75" customHeight="1">
      <c r="A948" s="1">
        <v>1006.0</v>
      </c>
      <c r="B948" s="3" t="s">
        <v>937</v>
      </c>
      <c r="C948" s="3" t="str">
        <f>IFERROR(__xludf.DUMMYFUNCTION("GOOGLETRANSLATE(B948,""id"",""en"")"),"['', 'internet', 'contact', 'help', 'follow', 'business', 'forced', 'closed', 'indihome', 'close', 'sustenance', 'people', "" ]")</f>
        <v>['', 'internet', 'contact', 'help', 'follow', 'business', 'forced', 'closed', 'indihome', 'close', 'sustenance', 'people', " ]</v>
      </c>
      <c r="D948" s="3">
        <v>1.0</v>
      </c>
    </row>
    <row r="949" ht="15.75" customHeight="1">
      <c r="A949" s="1">
        <v>1007.0</v>
      </c>
      <c r="B949" s="3" t="s">
        <v>938</v>
      </c>
      <c r="C949" s="3" t="str">
        <f>IFERROR(__xludf.DUMMYFUNCTION("GOOGLETRANSLATE(B949,""id"",""en"")"),"['money', 'you', 'beast', 'complaint', 'disorder', 'service', 'you', 'ignore', 'date', 'payment', 'fast', 'times',' You ',' fine ',' emang ',' animal ']")</f>
        <v>['money', 'you', 'beast', 'complaint', 'disorder', 'service', 'you', 'ignore', 'date', 'payment', 'fast', 'times',' You ',' fine ',' emang ',' animal ']</v>
      </c>
      <c r="D949" s="3">
        <v>1.0</v>
      </c>
    </row>
    <row r="950" ht="15.75" customHeight="1">
      <c r="A950" s="1">
        <v>1008.0</v>
      </c>
      <c r="B950" s="3" t="s">
        <v>939</v>
      </c>
      <c r="C950" s="3" t="str">
        <f>IFERROR(__xludf.DUMMYFUNCTION("GOOGLETRANSLATE(B950,""id"",""en"")"),"['Application', 'Screen', 'White', 'Hang']")</f>
        <v>['Application', 'Screen', 'White', 'Hang']</v>
      </c>
      <c r="D950" s="3">
        <v>1.0</v>
      </c>
    </row>
    <row r="951" ht="15.75" customHeight="1">
      <c r="A951" s="1">
        <v>1009.0</v>
      </c>
      <c r="B951" s="3" t="s">
        <v>940</v>
      </c>
      <c r="C951" s="3" t="str">
        <f>IFERROR(__xludf.DUMMYFUNCTION("GOOGLETRANSLATE(B951,""id"",""en"")"),"['version', 'the latest', 'really']")</f>
        <v>['version', 'the latest', 'really']</v>
      </c>
      <c r="D951" s="3">
        <v>5.0</v>
      </c>
    </row>
    <row r="952" ht="15.75" customHeight="1">
      <c r="A952" s="1">
        <v>1010.0</v>
      </c>
      <c r="B952" s="3" t="s">
        <v>941</v>
      </c>
      <c r="C952" s="3" t="str">
        <f>IFERROR(__xludf.DUMMYFUNCTION("GOOGLETRANSLATE(B952,""id"",""en"")"),"['application', 'recomindasi', 'useful', 'really', 'essence', 'help', '']")</f>
        <v>['application', 'recomindasi', 'useful', 'really', 'essence', 'help', '']</v>
      </c>
      <c r="D952" s="3">
        <v>5.0</v>
      </c>
    </row>
    <row r="953" ht="15.75" customHeight="1">
      <c r="A953" s="1">
        <v>1011.0</v>
      </c>
      <c r="B953" s="3" t="s">
        <v>942</v>
      </c>
      <c r="C953" s="3" t="str">
        <f>IFERROR(__xludf.DUMMYFUNCTION("GOOGLETRANSLATE(B953,""id"",""en"")"),"['Verification', 'Substitution', 'Difficult', 'Call', 'Call', 'Times',' Broken ',' Credit ',' Results', 'Please', 'Fix', 'Service', ' ']")</f>
        <v>['Verification', 'Substitution', 'Difficult', 'Call', 'Call', 'Times',' Broken ',' Credit ',' Results', 'Please', 'Fix', 'Service', ' ']</v>
      </c>
      <c r="D953" s="3">
        <v>1.0</v>
      </c>
    </row>
    <row r="954" ht="15.75" customHeight="1">
      <c r="A954" s="1">
        <v>1012.0</v>
      </c>
      <c r="B954" s="3" t="s">
        <v>943</v>
      </c>
      <c r="C954" s="3" t="str">
        <f>IFERROR(__xludf.DUMMYFUNCTION("GOOGLETRANSLATE(B954,""id"",""en"")"),"['Application', 'Cool']")</f>
        <v>['Application', 'Cool']</v>
      </c>
      <c r="D954" s="3">
        <v>5.0</v>
      </c>
    </row>
    <row r="955" ht="15.75" customHeight="1">
      <c r="A955" s="1">
        <v>1013.0</v>
      </c>
      <c r="B955" s="3" t="s">
        <v>944</v>
      </c>
      <c r="C955" s="3" t="str">
        <f>IFERROR(__xludf.DUMMYFUNCTION("GOOGLETRANSLATE(B955,""id"",""en"")"),"['Information', 'fast', 'accurate']")</f>
        <v>['Information', 'fast', 'accurate']</v>
      </c>
      <c r="D955" s="3">
        <v>5.0</v>
      </c>
    </row>
    <row r="956" ht="15.75" customHeight="1">
      <c r="A956" s="1">
        <v>1014.0</v>
      </c>
      <c r="B956" s="3" t="s">
        <v>945</v>
      </c>
      <c r="C956" s="3" t="str">
        <f>IFERROR(__xludf.DUMMYFUNCTION("GOOGLETRANSLATE(B956,""id"",""en"")"),"['Cool', 'really', 'the applications']")</f>
        <v>['Cool', 'really', 'the applications']</v>
      </c>
      <c r="D956" s="3">
        <v>5.0</v>
      </c>
    </row>
    <row r="957" ht="15.75" customHeight="1">
      <c r="A957" s="1">
        <v>1015.0</v>
      </c>
      <c r="B957" s="3" t="s">
        <v>946</v>
      </c>
      <c r="C957" s="3" t="str">
        <f>IFERROR(__xludf.DUMMYFUNCTION("GOOGLETRANSLATE(B957,""id"",""en"")"),"['Application', 'user', 'friendly', 'features', 'features', 'easy', 'user']")</f>
        <v>['Application', 'user', 'friendly', 'features', 'features', 'easy', 'user']</v>
      </c>
      <c r="D957" s="3">
        <v>5.0</v>
      </c>
    </row>
    <row r="958" ht="15.75" customHeight="1">
      <c r="A958" s="1">
        <v>1016.0</v>
      </c>
      <c r="B958" s="3" t="s">
        <v>354</v>
      </c>
      <c r="C958" s="3" t="str">
        <f>IFERROR(__xludf.DUMMYFUNCTION("GOOGLETRANSLATE(B958,""id"",""en"")"),"['satisfying']")</f>
        <v>['satisfying']</v>
      </c>
      <c r="D958" s="3">
        <v>5.0</v>
      </c>
    </row>
    <row r="959" ht="15.75" customHeight="1">
      <c r="A959" s="1">
        <v>1017.0</v>
      </c>
      <c r="B959" s="3" t="s">
        <v>947</v>
      </c>
      <c r="C959" s="3" t="str">
        <f>IFERROR(__xludf.DUMMYFUNCTION("GOOGLETRANSLATE(B959,""id"",""en"")"),"['Slow', 'access', '']")</f>
        <v>['Slow', 'access', '']</v>
      </c>
      <c r="D959" s="3">
        <v>1.0</v>
      </c>
    </row>
    <row r="960" ht="15.75" customHeight="1">
      <c r="A960" s="1">
        <v>1018.0</v>
      </c>
      <c r="B960" s="3" t="s">
        <v>948</v>
      </c>
      <c r="C960" s="3" t="str">
        <f>IFERROR(__xludf.DUMMYFUNCTION("GOOGLETRANSLATE(B960,""id"",""en"")"),"['application', 'good', 'server', 'update', 'login', ""]")</f>
        <v>['application', 'good', 'server', 'update', 'login', "]</v>
      </c>
      <c r="D960" s="3">
        <v>1.0</v>
      </c>
    </row>
    <row r="961" ht="15.75" customHeight="1">
      <c r="A961" s="1">
        <v>1020.0</v>
      </c>
      <c r="B961" s="3" t="s">
        <v>949</v>
      </c>
      <c r="C961" s="3" t="str">
        <f>IFERROR(__xludf.DUMMYFUNCTION("GOOGLETRANSLATE(B961,""id"",""en"")"),"['Update', 'Myindihome', 'Latest', 'Login', 'Applicable', 'Please', 'Repair']")</f>
        <v>['Update', 'Myindihome', 'Latest', 'Login', 'Applicable', 'Please', 'Repair']</v>
      </c>
      <c r="D961" s="3">
        <v>3.0</v>
      </c>
    </row>
    <row r="962" ht="15.75" customHeight="1">
      <c r="A962" s="1">
        <v>1021.0</v>
      </c>
      <c r="B962" s="3" t="s">
        <v>950</v>
      </c>
      <c r="C962" s="3" t="str">
        <f>IFERROR(__xludf.DUMMYFUNCTION("GOOGLETRANSLATE(B962,""id"",""en"")"),"['experience', 'wear', 'application', 'satisfying', 'service', 'features',' application ',' handy ',' order ',' package ',' subscribe ',' process', ' Fast ',' see ',' Points', 'exchanged', 'voucher', 'voucher', 'interesting']")</f>
        <v>['experience', 'wear', 'application', 'satisfying', 'service', 'features',' application ',' handy ',' order ',' package ',' subscribe ',' process', ' Fast ',' see ',' Points', 'exchanged', 'voucher', 'voucher', 'interesting']</v>
      </c>
      <c r="D962" s="3">
        <v>5.0</v>
      </c>
    </row>
    <row r="963" ht="15.75" customHeight="1">
      <c r="A963" s="1">
        <v>1022.0</v>
      </c>
      <c r="B963" s="3" t="s">
        <v>951</v>
      </c>
      <c r="C963" s="3" t="str">
        <f>IFERROR(__xludf.DUMMYFUNCTION("GOOGLETRANSLATE(B963,""id"",""en"")"),"['Cool', 'makes it easy', 'user']")</f>
        <v>['Cool', 'makes it easy', 'user']</v>
      </c>
      <c r="D963" s="3">
        <v>5.0</v>
      </c>
    </row>
    <row r="964" ht="15.75" customHeight="1">
      <c r="A964" s="1">
        <v>1023.0</v>
      </c>
      <c r="B964" s="3" t="s">
        <v>952</v>
      </c>
      <c r="C964" s="3" t="str">
        <f>IFERROR(__xludf.DUMMYFUNCTION("GOOGLETRANSLATE(B964,""id"",""en"")"),"['Ribet', 'Login', 'STTS', 'subscribe', 'recognizes', 'system', 'strange', 'maslah', 'Please', 'help', 'thank you']")</f>
        <v>['Ribet', 'Login', 'STTS', 'subscribe', 'recognizes', 'system', 'strange', 'maslah', 'Please', 'help', 'thank you']</v>
      </c>
      <c r="D964" s="3">
        <v>1.0</v>
      </c>
    </row>
    <row r="965" ht="15.75" customHeight="1">
      <c r="A965" s="1">
        <v>1024.0</v>
      </c>
      <c r="B965" s="3" t="s">
        <v>953</v>
      </c>
      <c r="C965" s="3" t="str">
        <f>IFERROR(__xludf.DUMMYFUNCTION("GOOGLETRANSLATE(B965,""id"",""en"")"),"['submit', 'transfer', 'address',' notified ',' process', 'waiting', 'progress',' pay ',' full ',' bill ',' internet ',' cheater ',' ']")</f>
        <v>['submit', 'transfer', 'address',' notified ',' process', 'waiting', 'progress',' pay ',' full ',' bill ',' internet ',' cheater ',' ']</v>
      </c>
      <c r="D965" s="3">
        <v>1.0</v>
      </c>
    </row>
    <row r="966" ht="15.75" customHeight="1">
      <c r="A966" s="1">
        <v>1025.0</v>
      </c>
      <c r="B966" s="3" t="s">
        <v>954</v>
      </c>
      <c r="C966" s="3" t="str">
        <f>IFERROR(__xludf.DUMMYFUNCTION("GOOGLETRANSLATE(B966,""id"",""en"")"),"['application', 'easy', 'useful', 'pandemic', '']")</f>
        <v>['application', 'easy', 'useful', 'pandemic', '']</v>
      </c>
      <c r="D966" s="3">
        <v>5.0</v>
      </c>
    </row>
    <row r="967" ht="15.75" customHeight="1">
      <c r="A967" s="1">
        <v>1026.0</v>
      </c>
      <c r="B967" s="3" t="s">
        <v>955</v>
      </c>
      <c r="C967" s="3" t="str">
        <f>IFERROR(__xludf.DUMMYFUNCTION("GOOGLETRANSLATE(B967,""id"",""en"")"),"['Steady', 'update', 'hope', 'in the future', '']")</f>
        <v>['Steady', 'update', 'hope', 'in the future', '']</v>
      </c>
      <c r="D967" s="3">
        <v>5.0</v>
      </c>
    </row>
    <row r="968" ht="15.75" customHeight="1">
      <c r="A968" s="1">
        <v>1027.0</v>
      </c>
      <c r="B968" s="3" t="s">
        <v>956</v>
      </c>
      <c r="C968" s="3" t="str">
        <f>IFERROR(__xludf.DUMMYFUNCTION("GOOGLETRANSLATE(B968,""id"",""en"")"),"['Application', 'geeblek', 'oath', 'unfaedah', '']")</f>
        <v>['Application', 'geeblek', 'oath', 'unfaedah', '']</v>
      </c>
      <c r="D968" s="3">
        <v>1.0</v>
      </c>
    </row>
    <row r="969" ht="15.75" customHeight="1">
      <c r="A969" s="1">
        <v>1029.0</v>
      </c>
      <c r="B969" s="3" t="s">
        <v>957</v>
      </c>
      <c r="C969" s="3" t="str">
        <f>IFERROR(__xludf.DUMMYFUNCTION("GOOGLETRANSLATE(B969,""id"",""en"")"),"['sumpeh', 'application', 'good', 'really', 'I', 'Sampe', 'dumbfounded', 'see', 'features',' Top ',' Abis', 'Loe', ' Loe ',' Pade ',' Updatein ',' Application ',' Loe ',' Nesel ',' Ntar ',' Kaga ',' Update ', ""]")</f>
        <v>['sumpeh', 'application', 'good', 'really', 'I', 'Sampe', 'dumbfounded', 'see', 'features',' Top ',' Abis', 'Loe', ' Loe ',' Pade ',' Updatein ',' Application ',' Loe ',' Nesel ',' Ntar ',' Kaga ',' Update ', "]</v>
      </c>
      <c r="D969" s="3">
        <v>5.0</v>
      </c>
    </row>
    <row r="970" ht="15.75" customHeight="1">
      <c r="A970" s="1">
        <v>1030.0</v>
      </c>
      <c r="B970" s="3" t="s">
        <v>958</v>
      </c>
      <c r="C970" s="3" t="str">
        <f>IFERROR(__xludf.DUMMYFUNCTION("GOOGLETRANSLATE(B970,""id"",""en"")"),"['APP', 'Parahh', 'slow', 'really', 'Please', 'Neace', 'App', 'Lemot', 'Internet', 'Udh', 'fast']")</f>
        <v>['APP', 'Parahh', 'slow', 'really', 'Please', 'Neace', 'App', 'Lemot', 'Internet', 'Udh', 'fast']</v>
      </c>
      <c r="D970" s="3">
        <v>1.0</v>
      </c>
    </row>
    <row r="971" ht="15.75" customHeight="1">
      <c r="A971" s="1">
        <v>1031.0</v>
      </c>
      <c r="B971" s="3" t="s">
        <v>959</v>
      </c>
      <c r="C971" s="3" t="str">
        <f>IFERROR(__xludf.DUMMYFUNCTION("GOOGLETRANSLATE(B971,""id"",""en"")"),"['Application', 'Helping', 'Points', 'Sometimes', 'Difficult', 'Exchange']")</f>
        <v>['Application', 'Helping', 'Points', 'Sometimes', 'Difficult', 'Exchange']</v>
      </c>
      <c r="D971" s="3">
        <v>4.0</v>
      </c>
    </row>
    <row r="972" ht="15.75" customHeight="1">
      <c r="A972" s="1">
        <v>1032.0</v>
      </c>
      <c r="B972" s="3" t="s">
        <v>960</v>
      </c>
      <c r="C972" s="3" t="str">
        <f>IFERROR(__xludf.DUMMYFUNCTION("GOOGLETRANSLATE(B972,""id"",""en"")"),"['Out', 'Update', 'Display', 'Cool', 'Detai', 'Bngett', 'Easy', 'Check', 'Bill', 'Device', 'Connect', 'Klau', ' Reports', 'disorders',' easy ',' ']")</f>
        <v>['Out', 'Update', 'Display', 'Cool', 'Detai', 'Bngett', 'Easy', 'Check', 'Bill', 'Device', 'Connect', 'Klau', ' Reports', 'disorders',' easy ',' ']</v>
      </c>
      <c r="D972" s="3">
        <v>5.0</v>
      </c>
    </row>
    <row r="973" ht="15.75" customHeight="1">
      <c r="A973" s="1">
        <v>1034.0</v>
      </c>
      <c r="B973" s="3" t="s">
        <v>961</v>
      </c>
      <c r="C973" s="3" t="str">
        <f>IFERROR(__xludf.DUMMYFUNCTION("GOOGLETRANSLATE(B973,""id"",""en"")"),"['oath', 'Bener', 'Speed', 'Maen', 'Ride', 'Ajj', 'Confirmation', 'Customer', 'Customer', 'Loss',' Paying ',' Pinter ',' BNGD ',' oath ',' thank ',' love ',' Indihome ',' polite ',' original ',' ethics', 'marketing']")</f>
        <v>['oath', 'Bener', 'Speed', 'Maen', 'Ride', 'Ajj', 'Confirmation', 'Customer', 'Customer', 'Loss',' Paying ',' Pinter ',' BNGD ',' oath ',' thank ',' love ',' Indihome ',' polite ',' original ',' ethics', 'marketing']</v>
      </c>
      <c r="D973" s="3">
        <v>1.0</v>
      </c>
    </row>
    <row r="974" ht="15.75" customHeight="1">
      <c r="A974" s="1">
        <v>1035.0</v>
      </c>
      <c r="B974" s="3" t="s">
        <v>962</v>
      </c>
      <c r="C974" s="3" t="str">
        <f>IFERROR(__xludf.DUMMYFUNCTION("GOOGLETRANSLATE(B974,""id"",""en"")"),"['Cool', 'App']")</f>
        <v>['Cool', 'App']</v>
      </c>
      <c r="D974" s="3">
        <v>5.0</v>
      </c>
    </row>
    <row r="975" ht="15.75" customHeight="1">
      <c r="A975" s="1">
        <v>1036.0</v>
      </c>
      <c r="B975" s="3" t="s">
        <v>963</v>
      </c>
      <c r="C975" s="3" t="str">
        <f>IFERROR(__xludf.DUMMYFUNCTION("GOOGLETRANSLATE(B975,""id"",""en"")"),"['Cool', 'The application']")</f>
        <v>['Cool', 'The application']</v>
      </c>
      <c r="D975" s="3">
        <v>5.0</v>
      </c>
    </row>
    <row r="976" ht="15.75" customHeight="1">
      <c r="A976" s="1">
        <v>1038.0</v>
      </c>
      <c r="B976" s="3" t="s">
        <v>964</v>
      </c>
      <c r="C976" s="3" t="str">
        <f>IFERROR(__xludf.DUMMYFUNCTION("GOOGLETRANSLATE(B976,""id"",""en"")"),"['Display', 'Different', 'Cool']")</f>
        <v>['Display', 'Different', 'Cool']</v>
      </c>
      <c r="D976" s="3">
        <v>5.0</v>
      </c>
    </row>
    <row r="977" ht="15.75" customHeight="1">
      <c r="A977" s="1">
        <v>1039.0</v>
      </c>
      <c r="B977" s="3" t="s">
        <v>965</v>
      </c>
      <c r="C977" s="3" t="str">
        <f>IFERROR(__xludf.DUMMYFUNCTION("GOOGLETRANSLATE(B977,""id"",""en"")"),"['Cool', 'bnget', 'the application', '']")</f>
        <v>['Cool', 'bnget', 'the application', '']</v>
      </c>
      <c r="D977" s="3">
        <v>5.0</v>
      </c>
    </row>
    <row r="978" ht="15.75" customHeight="1">
      <c r="A978" s="1">
        <v>1040.0</v>
      </c>
      <c r="B978" s="3" t="s">
        <v>966</v>
      </c>
      <c r="C978" s="3" t="str">
        <f>IFERROR(__xludf.DUMMYFUNCTION("GOOGLETRANSLATE(B978,""id"",""en"")"),"['Hopefully', 'smooth', 'The network']")</f>
        <v>['Hopefully', 'smooth', 'The network']</v>
      </c>
      <c r="D978" s="3">
        <v>5.0</v>
      </c>
    </row>
    <row r="979" ht="15.75" customHeight="1">
      <c r="A979" s="1">
        <v>1041.0</v>
      </c>
      <c r="B979" s="3" t="s">
        <v>967</v>
      </c>
      <c r="C979" s="3" t="str">
        <f>IFERROR(__xludf.DUMMYFUNCTION("GOOGLETRANSLATE(B979,""id"",""en"")"),"['Information', 'Callcenter', 'linglung']")</f>
        <v>['Information', 'Callcenter', 'linglung']</v>
      </c>
      <c r="D979" s="3">
        <v>1.0</v>
      </c>
    </row>
    <row r="980" ht="15.75" customHeight="1">
      <c r="A980" s="1">
        <v>1042.0</v>
      </c>
      <c r="B980" s="3" t="s">
        <v>968</v>
      </c>
      <c r="C980" s="3" t="str">
        <f>IFERROR(__xludf.DUMMYFUNCTION("GOOGLETRANSLATE(B980,""id"",""en"")"),"['Contents',' App ',' Details', 'Complete', 'Move', 'Package', 'Upgrade', 'Speed', 'See', 'Package', 'Cheap', 'Speed', ' LBH ',' compared ',' package ',' break up ',' contract ',' pairs', ""]")</f>
        <v>['Contents',' App ',' Details', 'Complete', 'Move', 'Package', 'Upgrade', 'Speed', 'See', 'Package', 'Cheap', 'Speed', ' LBH ',' compared ',' package ',' break up ',' contract ',' pairs', "]</v>
      </c>
      <c r="D980" s="3">
        <v>5.0</v>
      </c>
    </row>
    <row r="981" ht="15.75" customHeight="1">
      <c r="A981" s="1">
        <v>1044.0</v>
      </c>
      <c r="B981" s="3" t="s">
        <v>969</v>
      </c>
      <c r="C981" s="3" t="str">
        <f>IFERROR(__xludf.DUMMYFUNCTION("GOOGLETRANSLATE(B981,""id"",""en"")"),"['Upgrade', 'Tululan', 'Please', 'Sorry', 'Repair', 'Service', 'Min', 'Try', 'Fix', '']")</f>
        <v>['Upgrade', 'Tululan', 'Please', 'Sorry', 'Repair', 'Service', 'Min', 'Try', 'Fix', '']</v>
      </c>
      <c r="D981" s="3">
        <v>1.0</v>
      </c>
    </row>
    <row r="982" ht="15.75" customHeight="1">
      <c r="A982" s="1">
        <v>1045.0</v>
      </c>
      <c r="B982" s="3" t="s">
        <v>970</v>
      </c>
      <c r="C982" s="3" t="str">
        <f>IFERROR(__xludf.DUMMYFUNCTION("GOOGLETRANSLATE(B982,""id"",""en"")"),"['The application', 'dynamic', 'good', 'Increases',' Exchange ',' Points', 'Application', 'Easy', 'Fast', 'Lay', 'Out', 'Application', ' Easy ',' understood ',' informative ',' system ',' handling ',' ganguan ',' Like ',' send ',' code ',' handle ',' hand"&amp;"led ', ""]")</f>
        <v>['The application', 'dynamic', 'good', 'Increases',' Exchange ',' Points', 'Application', 'Easy', 'Fast', 'Lay', 'Out', 'Application', ' Easy ',' understood ',' informative ',' system ',' handling ',' ganguan ',' Like ',' send ',' code ',' handle ',' handled ', "]</v>
      </c>
      <c r="D982" s="3">
        <v>4.0</v>
      </c>
    </row>
    <row r="983" ht="15.75" customHeight="1">
      <c r="A983" s="1">
        <v>1046.0</v>
      </c>
      <c r="B983" s="3" t="s">
        <v>971</v>
      </c>
      <c r="C983" s="3" t="str">
        <f>IFERROR(__xludf.DUMMYFUNCTION("GOOGLETRANSLATE(B983,""id"",""en"")"),"['Wow', 'user', 'Friendly']")</f>
        <v>['Wow', 'user', 'Friendly']</v>
      </c>
      <c r="D983" s="3">
        <v>5.0</v>
      </c>
    </row>
    <row r="984" ht="15.75" customHeight="1">
      <c r="A984" s="1">
        <v>1047.0</v>
      </c>
      <c r="B984" s="3" t="s">
        <v>972</v>
      </c>
      <c r="C984" s="3" t="str">
        <f>IFERROR(__xludf.DUMMYFUNCTION("GOOGLETRANSLATE(B984,""id"",""en"")"),"['Pay', 'million', 'per month', 'quality', 'kek', 'price', 'thousand']")</f>
        <v>['Pay', 'million', 'per month', 'quality', 'kek', 'price', 'thousand']</v>
      </c>
      <c r="D984" s="3">
        <v>1.0</v>
      </c>
    </row>
    <row r="985" ht="15.75" customHeight="1">
      <c r="A985" s="1">
        <v>1048.0</v>
      </c>
      <c r="B985" s="3" t="s">
        <v>973</v>
      </c>
      <c r="C985" s="3" t="str">
        <f>IFERROR(__xludf.DUMMYFUNCTION("GOOGLETRANSLATE(B985,""id"",""en"")"),"['The application', 'Cool', 'Bangett', 'Liat', 'Bill', 'Details', ""]")</f>
        <v>['The application', 'Cool', 'Bangett', 'Liat', 'Bill', 'Details', "]</v>
      </c>
      <c r="D985" s="3">
        <v>5.0</v>
      </c>
    </row>
    <row r="986" ht="15.75" customHeight="1">
      <c r="A986" s="1">
        <v>1049.0</v>
      </c>
      <c r="B986" s="3" t="s">
        <v>21</v>
      </c>
      <c r="C986" s="3" t="str">
        <f>IFERROR(__xludf.DUMMYFUNCTION("GOOGLETRANSLATE(B986,""id"",""en"")"),"Of course")</f>
        <v>Of course</v>
      </c>
      <c r="D986" s="3">
        <v>4.0</v>
      </c>
    </row>
    <row r="987" ht="15.75" customHeight="1">
      <c r="A987" s="1">
        <v>1050.0</v>
      </c>
      <c r="B987" s="3" t="s">
        <v>974</v>
      </c>
      <c r="C987" s="3" t="str">
        <f>IFERROR(__xludf.DUMMYFUNCTION("GOOGLETRANSLATE(B987,""id"",""en"")"),"['Application', 'Needed', 'Pandemic', 'Hopefully', 'Enhanced', 'In the future', ""]")</f>
        <v>['Application', 'Needed', 'Pandemic', 'Hopefully', 'Enhanced', 'In the future', "]</v>
      </c>
      <c r="D987" s="3">
        <v>5.0</v>
      </c>
    </row>
    <row r="988" ht="15.75" customHeight="1">
      <c r="A988" s="1">
        <v>1052.0</v>
      </c>
      <c r="B988" s="3" t="s">
        <v>975</v>
      </c>
      <c r="C988" s="3" t="str">
        <f>IFERROR(__xludf.DUMMYFUNCTION("GOOGLETRANSLATE(B988,""id"",""en"")"),"['application', 'good', 'useful', 'see', 'bill', 'detail']")</f>
        <v>['application', 'good', 'useful', 'see', 'bill', 'detail']</v>
      </c>
      <c r="D988" s="3">
        <v>5.0</v>
      </c>
    </row>
    <row r="989" ht="15.75" customHeight="1">
      <c r="A989" s="1">
        <v>1053.0</v>
      </c>
      <c r="B989" s="3" t="s">
        <v>976</v>
      </c>
      <c r="C989" s="3" t="str">
        <f>IFERROR(__xludf.DUMMYFUNCTION("GOOGLETRANSLATE(B989,""id"",""en"")"),"['The application', 'opened', 'aka', 'Ngeblank', 'Download', 'Kalai', 'Open', 'Check', 'Bill', 'Tel', 'How', 'Liat', ' Info ',' promo ']")</f>
        <v>['The application', 'opened', 'aka', 'Ngeblank', 'Download', 'Kalai', 'Open', 'Check', 'Bill', 'Tel', 'How', 'Liat', ' Info ',' promo ']</v>
      </c>
      <c r="D989" s="3">
        <v>2.0</v>
      </c>
    </row>
    <row r="990" ht="15.75" customHeight="1">
      <c r="A990" s="1">
        <v>1054.0</v>
      </c>
      <c r="B990" s="3" t="s">
        <v>977</v>
      </c>
      <c r="C990" s="3" t="str">
        <f>IFERROR(__xludf.DUMMYFUNCTION("GOOGLETRANSLATE(B990,""id"",""en"")"),"['Indihome', 'difficult', 'Ngaduin', 'complaints',' high school ',' Lord ',' Slalu ',' Wrong ',' pdhal ',' nomer ',' Udh ',' right ',' Telek ']")</f>
        <v>['Indihome', 'difficult', 'Ngaduin', 'complaints',' high school ',' Lord ',' Slalu ',' Wrong ',' pdhal ',' nomer ',' Udh ',' right ',' Telek ']</v>
      </c>
      <c r="D990" s="3">
        <v>2.0</v>
      </c>
    </row>
    <row r="991" ht="15.75" customHeight="1">
      <c r="A991" s="1">
        <v>1055.0</v>
      </c>
      <c r="B991" s="3" t="s">
        <v>978</v>
      </c>
      <c r="C991" s="3" t="str">
        <f>IFERROR(__xludf.DUMMYFUNCTION("GOOGLETRANSLATE(B991,""id"",""en"")"),"['wifi', 'seamless', 'product', 'offered', 'tutorial', 'talking', 'wide']")</f>
        <v>['wifi', 'seamless', 'product', 'offered', 'tutorial', 'talking', 'wide']</v>
      </c>
      <c r="D991" s="3">
        <v>1.0</v>
      </c>
    </row>
    <row r="992" ht="15.75" customHeight="1">
      <c r="A992" s="1">
        <v>1056.0</v>
      </c>
      <c r="B992" s="3" t="s">
        <v>979</v>
      </c>
      <c r="C992" s="3" t="str">
        <f>IFERROR(__xludf.DUMMYFUNCTION("GOOGLETRANSLATE(B992,""id"",""en"")"),"['report', 'stop', 'subscribe', 'bill', 'pay', 'pay', 'pay', 'subscribe', 'stop', 'subscription', 'report', 'pay', ' bills', 'okay', 'follow', 'pay', 'trs',' officer ',' okay ',' stop ',' subscribe ',' koq ',' bill ',' org ',' difficult ' , 'difficult', '"&amp;"stop', 'subscribe', 'can "",' ']")</f>
        <v>['report', 'stop', 'subscribe', 'bill', 'pay', 'pay', 'pay', 'subscribe', 'stop', 'subscription', 'report', 'pay', ' bills', 'okay', 'follow', 'pay', 'trs',' officer ',' okay ',' stop ',' subscribe ',' koq ',' bill ',' org ',' difficult ' , 'difficult', 'stop', 'subscribe', 'can ",' ']</v>
      </c>
      <c r="D992" s="3">
        <v>1.0</v>
      </c>
    </row>
    <row r="993" ht="15.75" customHeight="1">
      <c r="A993" s="1">
        <v>1057.0</v>
      </c>
      <c r="B993" s="3" t="s">
        <v>980</v>
      </c>
      <c r="C993" s="3" t="str">
        <f>IFERROR(__xludf.DUMMYFUNCTION("GOOGLETRANSLATE(B993,""id"",""en"")"),"['Indihome', 'Win', 'Rame', 'Doang', 'Kuah', 'Good']")</f>
        <v>['Indihome', 'Win', 'Rame', 'Doang', 'Kuah', 'Good']</v>
      </c>
      <c r="D993" s="3">
        <v>1.0</v>
      </c>
    </row>
    <row r="994" ht="15.75" customHeight="1">
      <c r="A994" s="1">
        <v>1058.0</v>
      </c>
      <c r="B994" s="3" t="s">
        <v>981</v>
      </c>
      <c r="C994" s="3" t="str">
        <f>IFERROR(__xludf.DUMMYFUNCTION("GOOGLETRANSLATE(B994,""id"",""en"")"),"['Registration', 'Date', 'Sep', 'Phone', 'Officer', 'Indihome', 'Date', 'Sep', 'Promise', 'Clock', 'Officer', 'Indihome', ' Check ',' Network ',' Call ',' Call ',' Center ',' Promise ',' Contact ',' Facebook ',' Promise ',' Send ',' Email ',' Promise ',' "&amp;"Wrong ' , 'deny', 'promise', 'get used to', '']")</f>
        <v>['Registration', 'Date', 'Sep', 'Phone', 'Officer', 'Indihome', 'Date', 'Sep', 'Promise', 'Clock', 'Officer', 'Indihome', ' Check ',' Network ',' Call ',' Call ',' Center ',' Promise ',' Contact ',' Facebook ',' Promise ',' Send ',' Email ',' Promise ',' Wrong ' , 'deny', 'promise', 'get used to', '']</v>
      </c>
      <c r="D994" s="3">
        <v>1.0</v>
      </c>
    </row>
    <row r="995" ht="15.75" customHeight="1">
      <c r="A995" s="1">
        <v>1059.0</v>
      </c>
      <c r="B995" s="3" t="s">
        <v>982</v>
      </c>
      <c r="C995" s="3" t="str">
        <f>IFERROR(__xludf.DUMMYFUNCTION("GOOGLETRANSLATE(B995,""id"",""en"")"),"['bill', 'paid', 'appears', 'cs', 'help', 'strange', 'please']")</f>
        <v>['bill', 'paid', 'appears', 'cs', 'help', 'strange', 'please']</v>
      </c>
      <c r="D995" s="3">
        <v>1.0</v>
      </c>
    </row>
    <row r="996" ht="15.75" customHeight="1">
      <c r="A996" s="1">
        <v>1060.0</v>
      </c>
      <c r="B996" s="3" t="s">
        <v>983</v>
      </c>
      <c r="C996" s="3" t="str">
        <f>IFERROR(__xludf.DUMMYFUNCTION("GOOGLETRANSLATE(B996,""id"",""en"")"),"['tlng', 'disorder', 'use', 'please', 'person', 'telkom', 'cpt', 'lined', '']")</f>
        <v>['tlng', 'disorder', 'use', 'please', 'person', 'telkom', 'cpt', 'lined', '']</v>
      </c>
      <c r="D996" s="3">
        <v>1.0</v>
      </c>
    </row>
    <row r="997" ht="15.75" customHeight="1">
      <c r="A997" s="1">
        <v>1061.0</v>
      </c>
      <c r="B997" s="3" t="s">
        <v>984</v>
      </c>
      <c r="C997" s="3" t="str">
        <f>IFERROR(__xludf.DUMMYFUNCTION("GOOGLETRANSLATE(B997,""id"",""en"")"),"['Application', 'opened']")</f>
        <v>['Application', 'opened']</v>
      </c>
      <c r="D997" s="3">
        <v>1.0</v>
      </c>
    </row>
    <row r="998" ht="15.75" customHeight="1">
      <c r="A998" s="1">
        <v>1062.0</v>
      </c>
      <c r="B998" s="3" t="s">
        <v>985</v>
      </c>
      <c r="C998" s="3" t="str">
        <f>IFERROR(__xludf.DUMMYFUNCTION("GOOGLETRANSLATE(B998,""id"",""en"")"),"['Like', 'Display', 'Myindihome', 'Hope', 'Performing', 'Best']")</f>
        <v>['Like', 'Display', 'Myindihome', 'Hope', 'Performing', 'Best']</v>
      </c>
      <c r="D998" s="3">
        <v>5.0</v>
      </c>
    </row>
    <row r="999" ht="15.75" customHeight="1">
      <c r="A999" s="1">
        <v>1063.0</v>
      </c>
      <c r="B999" s="3" t="s">
        <v>986</v>
      </c>
      <c r="C999" s="3" t="str">
        <f>IFERROR(__xludf.DUMMYFUNCTION("GOOGLETRANSLATE(B999,""id"",""en"")"),"['The application', 'good', 'useful', 'informative', 'service', 'friendly', 'features', 'features', 'useful', 'comfortable', 'according to', 'function']")</f>
        <v>['The application', 'good', 'useful', 'informative', 'service', 'friendly', 'features', 'features', 'useful', 'comfortable', 'according to', 'function']</v>
      </c>
      <c r="D999" s="3">
        <v>5.0</v>
      </c>
    </row>
    <row r="1000" ht="15.75" customHeight="1">
      <c r="A1000" s="1">
        <v>1064.0</v>
      </c>
      <c r="B1000" s="3" t="s">
        <v>987</v>
      </c>
      <c r="C1000" s="3" t="str">
        <f>IFERROR(__xludf.DUMMYFUNCTION("GOOGLETRANSLATE(B1000,""id"",""en"")"),"['Indihome', 'Number', 'One']")</f>
        <v>['Indihome', 'Number', 'One']</v>
      </c>
      <c r="D1000" s="3">
        <v>5.0</v>
      </c>
    </row>
    <row r="1001" ht="15.75" customHeight="1">
      <c r="A1001" s="1">
        <v>1065.0</v>
      </c>
      <c r="B1001" s="3" t="s">
        <v>988</v>
      </c>
      <c r="C1001" s="3" t="str">
        <f>IFERROR(__xludf.DUMMYFUNCTION("GOOGLETRANSLATE(B1001,""id"",""en"")"),"['Mantappp']")</f>
        <v>['Mantappp']</v>
      </c>
      <c r="D1001" s="3">
        <v>4.0</v>
      </c>
    </row>
    <row r="1002" ht="15.75" customHeight="1">
      <c r="A1002" s="1">
        <v>1066.0</v>
      </c>
      <c r="B1002" s="3" t="s">
        <v>989</v>
      </c>
      <c r="C1002" s="3" t="str">
        <f>IFERROR(__xludf.DUMMYFUNCTION("GOOGLETRANSLATE(B1002,""id"",""en"")"),"['Pairs',' wifi ',' Indihome ',' hope ',' activity ',' related ',' internet ',' run ',' smooth ',' tapiii ',' hit ',' zonk ',' activities', 'video', 'converence', 'network', 'missing', 'internet', 'access',' and then ',' skali ',' times', 'thereaaa', 'dra"&amp;"ma', 'network' , 'repaired', 'tools', 'colored', 'red', 'requested', 'enhanced', 'quality', 'tired', 'report', ""]")</f>
        <v>['Pairs',' wifi ',' Indihome ',' hope ',' activity ',' related ',' internet ',' run ',' smooth ',' tapiii ',' hit ',' zonk ',' activities', 'video', 'converence', 'network', 'missing', 'internet', 'access',' and then ',' skali ',' times', 'thereaaa', 'drama', 'network' , 'repaired', 'tools', 'colored', 'red', 'requested', 'enhanced', 'quality', 'tired', 'report', "]</v>
      </c>
      <c r="D1002" s="3">
        <v>2.0</v>
      </c>
    </row>
    <row r="1003" ht="15.75" customHeight="1">
      <c r="A1003" s="1">
        <v>1067.0</v>
      </c>
      <c r="B1003" s="3" t="s">
        <v>990</v>
      </c>
      <c r="C1003" s="3" t="str">
        <f>IFERROR(__xludf.DUMMYFUNCTION("GOOGLETRANSLATE(B1003,""id"",""en"")"),"['already', 'renewal', 'status',' isolir ',' plaza ',' telkom ',' email ',' status', 'open', 'isoir', 'send', 'email', ' The answer is', 'Muter', 'Ngeapain', 'Plaza', 'Telkom', 'Hedeh', ""]")</f>
        <v>['already', 'renewal', 'status',' isolir ',' plaza ',' telkom ',' email ',' status', 'open', 'isoir', 'send', 'email', ' The answer is', 'Muter', 'Ngeapain', 'Plaza', 'Telkom', 'Hedeh', "]</v>
      </c>
      <c r="D1003" s="3">
        <v>1.0</v>
      </c>
    </row>
    <row r="1004" ht="15.75" customHeight="1">
      <c r="A1004" s="1">
        <v>1069.0</v>
      </c>
      <c r="B1004" s="3" t="s">
        <v>991</v>
      </c>
      <c r="C1004" s="3" t="str">
        <f>IFERROR(__xludf.DUMMYFUNCTION("GOOGLETRANSLATE(B1004,""id"",""en"")"),"['Thank you', 'Indihome', 'already', 'Fix', 'Network', 'Wait', ""]")</f>
        <v>['Thank you', 'Indihome', 'already', 'Fix', 'Network', 'Wait', "]</v>
      </c>
      <c r="D1004" s="3">
        <v>5.0</v>
      </c>
    </row>
    <row r="1005" ht="15.75" customHeight="1">
      <c r="A1005" s="1">
        <v>1070.0</v>
      </c>
      <c r="B1005" s="3" t="s">
        <v>992</v>
      </c>
      <c r="C1005" s="3" t="str">
        <f>IFERROR(__xludf.DUMMYFUNCTION("GOOGLETRANSLATE(B1005,""id"",""en"")"),"['Indihome', 'Bolot', 'Tel', 'Wooi', 'Tel', 'HRS', 'Easy', 'Dip', 'Customer', 'Speed', 'Easy', 'Turning', ' downgrade ',' difficult ',' forgiveness', 'unclean', 'update', 'sept', 'indihome', 'dead', 'knp', 'disorder']")</f>
        <v>['Indihome', 'Bolot', 'Tel', 'Wooi', 'Tel', 'HRS', 'Easy', 'Dip', 'Customer', 'Speed', 'Easy', 'Turning', ' downgrade ',' difficult ',' forgiveness', 'unclean', 'update', 'sept', 'indihome', 'dead', 'knp', 'disorder']</v>
      </c>
      <c r="D1005" s="3">
        <v>1.0</v>
      </c>
    </row>
    <row r="1006" ht="15.75" customHeight="1">
      <c r="A1006" s="1">
        <v>1071.0</v>
      </c>
      <c r="B1006" s="3" t="s">
        <v>993</v>
      </c>
      <c r="C1006" s="3" t="str">
        <f>IFERROR(__xludf.DUMMYFUNCTION("GOOGLETRANSLATE(B1006,""id"",""en"")"),"['Network', 'Indihome', 'Nggk', 'Connection', 'Lost', 'Lost', 'Connect', 'Region', 'Jombang', 'Kec', 'Jogoroto', 'Fix', ' Technicians', 'Tomorrow', 'Lost', 'Please', 'Note', 'Indihome', '']")</f>
        <v>['Network', 'Indihome', 'Nggk', 'Connection', 'Lost', 'Lost', 'Connect', 'Region', 'Jombang', 'Kec', 'Jogoroto', 'Fix', ' Technicians', 'Tomorrow', 'Lost', 'Please', 'Note', 'Indihome', '']</v>
      </c>
      <c r="D1006" s="3">
        <v>2.0</v>
      </c>
    </row>
    <row r="1007" ht="15.75" customHeight="1">
      <c r="A1007" s="1">
        <v>1072.0</v>
      </c>
      <c r="B1007" s="3" t="s">
        <v>994</v>
      </c>
      <c r="C1007" s="3" t="str">
        <f>IFERROR(__xludf.DUMMYFUNCTION("GOOGLETRANSLATE(B1007,""id"",""en"")"),"['Loggi', 'Wait', 'SMS', 'OTP', 'Entered', 'OTP', 'FAILURE', 'LOGGIN', '']")</f>
        <v>['Loggi', 'Wait', 'SMS', 'OTP', 'Entered', 'OTP', 'FAILURE', 'LOGGIN', '']</v>
      </c>
      <c r="D1007" s="3">
        <v>1.0</v>
      </c>
    </row>
    <row r="1008" ht="15.75" customHeight="1">
      <c r="A1008" s="1">
        <v>1073.0</v>
      </c>
      <c r="B1008" s="3" t="s">
        <v>995</v>
      </c>
      <c r="C1008" s="3" t="str">
        <f>IFERROR(__xludf.DUMMYFUNCTION("GOOGLETRANSLATE(B1008,""id"",""en"")"),"['The application', 'slow']")</f>
        <v>['The application', 'slow']</v>
      </c>
      <c r="D1008" s="3">
        <v>1.0</v>
      </c>
    </row>
    <row r="1009" ht="15.75" customHeight="1">
      <c r="A1009" s="1">
        <v>1074.0</v>
      </c>
      <c r="B1009" s="3" t="s">
        <v>996</v>
      </c>
      <c r="C1009" s="3" t="str">
        <f>IFERROR(__xludf.DUMMYFUNCTION("GOOGLETRANSLATE(B1009,""id"",""en"")"),"['great', 'really', 'the application', 'Mantau', 'network', 'bill', 'use', 'wifi', 'look', 'interesting', 'easy', 'see', ' Indihome ',' Payment ',' Indihome ',' Best ',' Dahh ',' Application ',' Downlod ',' Rich ',' Video ',' Free ',' Satisfied ',' Premiu"&amp;"m ',' Cheap ' , '']")</f>
        <v>['great', 'really', 'the application', 'Mantau', 'network', 'bill', 'use', 'wifi', 'look', 'interesting', 'easy', 'see', ' Indihome ',' Payment ',' Indihome ',' Best ',' Dahh ',' Application ',' Downlod ',' Rich ',' Video ',' Free ',' Satisfied ',' Premium ',' Cheap ' , '']</v>
      </c>
      <c r="D1009" s="3">
        <v>5.0</v>
      </c>
    </row>
    <row r="1010" ht="15.75" customHeight="1">
      <c r="A1010" s="1">
        <v>1075.0</v>
      </c>
      <c r="B1010" s="3" t="s">
        <v>997</v>
      </c>
      <c r="C1010" s="3" t="str">
        <f>IFERROR(__xludf.DUMMYFUNCTION("GOOGLETRANSLATE(B1010,""id"",""en"")"),"['Application', 'Myindihome', 'SERBA', 'Easy', 'Features', 'Check', 'Bill', 'Check', 'Points', 'Hurry', 'Install', ""]")</f>
        <v>['Application', 'Myindihome', 'SERBA', 'Easy', 'Features', 'Check', 'Bill', 'Check', 'Points', 'Hurry', 'Install', "]</v>
      </c>
      <c r="D1010" s="3">
        <v>5.0</v>
      </c>
    </row>
    <row r="1011" ht="15.75" customHeight="1">
      <c r="A1011" s="1">
        <v>1076.0</v>
      </c>
      <c r="B1011" s="3" t="s">
        <v>998</v>
      </c>
      <c r="C1011" s="3" t="str">
        <f>IFERROR(__xludf.DUMMYFUNCTION("GOOGLETRANSLATE(B1011,""id"",""en"")"),"['Help', 'Online']")</f>
        <v>['Help', 'Online']</v>
      </c>
      <c r="D1011" s="3">
        <v>5.0</v>
      </c>
    </row>
    <row r="1012" ht="15.75" customHeight="1">
      <c r="A1012" s="1">
        <v>1077.0</v>
      </c>
      <c r="B1012" s="3" t="s">
        <v>999</v>
      </c>
      <c r="C1012" s="3" t="str">
        <f>IFERROR(__xludf.DUMMYFUNCTION("GOOGLETRANSLATE(B1012,""id"",""en"")"),"['application', 'effective', 'help', 'practical', 'complaints',' direct ',' contact ',' see ',' progress', 'dar', 'history', 'complaint', ' Services', 'Gercep', 'Constraints',' Repaired ',' Fast ',' Check ',' Network ',' Details', 'Bill', 'Direct', 'Appli"&amp;"cation', 'The Network', 'Kenceng' , 'really', 'top', 'basically', ""]")</f>
        <v>['application', 'effective', 'help', 'practical', 'complaints',' direct ',' contact ',' see ',' progress', 'dar', 'history', 'complaint', ' Services', 'Gercep', 'Constraints',' Repaired ',' Fast ',' Check ',' Network ',' Details', 'Bill', 'Direct', 'Application', 'The Network', 'Kenceng' , 'really', 'top', 'basically', "]</v>
      </c>
      <c r="D1012" s="3">
        <v>5.0</v>
      </c>
    </row>
    <row r="1013" ht="15.75" customHeight="1">
      <c r="A1013" s="1">
        <v>1078.0</v>
      </c>
      <c r="B1013" s="3" t="s">
        <v>1000</v>
      </c>
      <c r="C1013" s="3" t="str">
        <f>IFERROR(__xludf.DUMMYFUNCTION("GOOGLETRANSLATE(B1013,""id"",""en"")"),"['Loading', 'Mulu', 'gabisa', 'enter']")</f>
        <v>['Loading', 'Mulu', 'gabisa', 'enter']</v>
      </c>
      <c r="D1013" s="3">
        <v>1.0</v>
      </c>
    </row>
    <row r="1014" ht="15.75" customHeight="1">
      <c r="A1014" s="1">
        <v>1079.0</v>
      </c>
      <c r="B1014" s="3" t="s">
        <v>1001</v>
      </c>
      <c r="C1014" s="3" t="str">
        <f>IFERROR(__xludf.DUMMYFUNCTION("GOOGLETRANSLATE(B1014,""id"",""en"")"),"['Disruption', 'Jerus', 'Mampus', 'Pay', 'Full', 'Error', 'Full', 'Rich', 'Company', 'Bankrupt', 'Community']")</f>
        <v>['Disruption', 'Jerus', 'Mampus', 'Pay', 'Full', 'Error', 'Full', 'Rich', 'Company', 'Bankrupt', 'Community']</v>
      </c>
      <c r="D1014" s="3">
        <v>1.0</v>
      </c>
    </row>
    <row r="1015" ht="15.75" customHeight="1">
      <c r="A1015" s="1">
        <v>1080.0</v>
      </c>
      <c r="B1015" s="3" t="s">
        <v>1002</v>
      </c>
      <c r="C1015" s="3" t="str">
        <f>IFERROR(__xludf.DUMMYFUNCTION("GOOGLETRANSLATE(B1015,""id"",""en"")"),"['Indihome', 'only', 'service', 'internet', 'entry', 'area', 'help', 'home', ""]")</f>
        <v>['Indihome', 'only', 'service', 'internet', 'entry', 'area', 'help', 'home', "]</v>
      </c>
      <c r="D1015" s="3">
        <v>5.0</v>
      </c>
    </row>
    <row r="1016" ht="15.75" customHeight="1">
      <c r="A1016" s="1">
        <v>1081.0</v>
      </c>
      <c r="B1016" s="3" t="s">
        <v>1003</v>
      </c>
      <c r="C1016" s="3" t="str">
        <f>IFERROR(__xludf.DUMMYFUNCTION("GOOGLETRANSLATE(B1016,""id"",""en"")"),"['Indihome', 'ugly', 'net', 'how', 'streaming', 'lag', 'see']")</f>
        <v>['Indihome', 'ugly', 'net', 'how', 'streaming', 'lag', 'see']</v>
      </c>
      <c r="D1016" s="3">
        <v>1.0</v>
      </c>
    </row>
    <row r="1017" ht="15.75" customHeight="1">
      <c r="A1017" s="1">
        <v>1082.0</v>
      </c>
      <c r="B1017" s="3" t="s">
        <v>1004</v>
      </c>
      <c r="C1017" s="3" t="str">
        <f>IFERROR(__xludf.DUMMYFUNCTION("GOOGLETRANSLATE(B1017,""id"",""en"")"),"['application', 'myindihome', 'complaint', 'service', 'application', 'bad', 'times',' try ',' failed ',' billing ',' pay ',' gercep ',' ']")</f>
        <v>['application', 'myindihome', 'complaint', 'service', 'application', 'bad', 'times',' try ',' failed ',' billing ',' pay ',' gercep ',' ']</v>
      </c>
      <c r="D1017" s="3">
        <v>2.0</v>
      </c>
    </row>
    <row r="1018" ht="15.75" customHeight="1">
      <c r="A1018" s="1">
        <v>1083.0</v>
      </c>
      <c r="B1018" s="3" t="s">
        <v>1005</v>
      </c>
      <c r="C1018" s="3" t="str">
        <f>IFERROR(__xludf.DUMMYFUNCTION("GOOGLETRANSLATE(B1018,""id"",""en"")"),"['Service', 'Mola', 'access']")</f>
        <v>['Service', 'Mola', 'access']</v>
      </c>
      <c r="D1018" s="3">
        <v>2.0</v>
      </c>
    </row>
    <row r="1019" ht="15.75" customHeight="1">
      <c r="A1019" s="1">
        <v>1084.0</v>
      </c>
      <c r="B1019" s="3" t="s">
        <v>1006</v>
      </c>
      <c r="C1019" s="3" t="str">
        <f>IFERROR(__xludf.DUMMYFUNCTION("GOOGLETRANSLATE(B1019,""id"",""en"")"),"['WiFi', 'fast', 'fast', 'quality', 'process', 'installation', 'etc.']")</f>
        <v>['WiFi', 'fast', 'fast', 'quality', 'process', 'installation', 'etc.']</v>
      </c>
      <c r="D1019" s="3">
        <v>1.0</v>
      </c>
    </row>
    <row r="1020" ht="15.75" customHeight="1">
      <c r="A1020" s="1">
        <v>1085.0</v>
      </c>
      <c r="B1020" s="3" t="s">
        <v>1007</v>
      </c>
      <c r="C1020" s="3" t="str">
        <f>IFERROR(__xludf.DUMMYFUNCTION("GOOGLETRANSLATE(B1020,""id"",""en"")"),"['how', 'method', 'payment', 'ilang', 'please', 'fix', 'payroll', ""]")</f>
        <v>['how', 'method', 'payment', 'ilang', 'please', 'fix', 'payroll', "]</v>
      </c>
      <c r="D1020" s="3">
        <v>1.0</v>
      </c>
    </row>
    <row r="1021" ht="15.75" customHeight="1">
      <c r="A1021" s="1">
        <v>1086.0</v>
      </c>
      <c r="B1021" s="3" t="s">
        <v>1008</v>
      </c>
      <c r="C1021" s="3" t="str">
        <f>IFERROR(__xludf.DUMMYFUNCTION("GOOGLETRANSLATE(B1021,""id"",""en"")"),"['Please', 'service', 'complain', 'accelerated', 'response', 'service', 'complain', 'bad', 'please', 'connection', 'internet', 'stable', ' little ',' a little ',' slow ',' payment ']")</f>
        <v>['Please', 'service', 'complain', 'accelerated', 'response', 'service', 'complain', 'bad', 'please', 'connection', 'internet', 'stable', ' little ',' a little ',' slow ',' payment ']</v>
      </c>
      <c r="D1021" s="3">
        <v>1.0</v>
      </c>
    </row>
    <row r="1022" ht="15.75" customHeight="1">
      <c r="A1022" s="1">
        <v>1087.0</v>
      </c>
      <c r="B1022" s="3" t="s">
        <v>1009</v>
      </c>
      <c r="C1022" s="3" t="str">
        <f>IFERROR(__xludf.DUMMYFUNCTION("GOOGLETRANSLATE(B1022,""id"",""en"")"),"['', 'BLM', 'bills', 'monthly', 'tlg', 'repaired', 'systemny']")</f>
        <v>['', 'BLM', 'bills', 'monthly', 'tlg', 'repaired', 'systemny']</v>
      </c>
      <c r="D1022" s="3">
        <v>1.0</v>
      </c>
    </row>
    <row r="1023" ht="15.75" customHeight="1">
      <c r="A1023" s="1">
        <v>1088.0</v>
      </c>
      <c r="B1023" s="3" t="s">
        <v>1010</v>
      </c>
      <c r="C1023" s="3" t="str">
        <f>IFERROR(__xludf.DUMMYFUNCTION("GOOGLETRANSLATE(B1023,""id"",""en"")"),"['service', 'fast', 'resolved', 'branch', 'friendly']")</f>
        <v>['service', 'fast', 'resolved', 'branch', 'friendly']</v>
      </c>
      <c r="D1023" s="3">
        <v>5.0</v>
      </c>
    </row>
    <row r="1024" ht="15.75" customHeight="1">
      <c r="A1024" s="1">
        <v>1089.0</v>
      </c>
      <c r="B1024" s="3" t="s">
        <v>1011</v>
      </c>
      <c r="C1024" s="3" t="str">
        <f>IFERROR(__xludf.DUMMYFUNCTION("GOOGLETRANSLATE(B1024,""id"",""en"")"),"['Application', 'Helping', 'Update', 'Version', 'Latest', 'Improved', 'Continue', ""]")</f>
        <v>['Application', 'Helping', 'Update', 'Version', 'Latest', 'Improved', 'Continue', "]</v>
      </c>
      <c r="D1024" s="3">
        <v>5.0</v>
      </c>
    </row>
    <row r="1025" ht="15.75" customHeight="1">
      <c r="A1025" s="1">
        <v>1090.0</v>
      </c>
      <c r="B1025" s="3" t="s">
        <v>1012</v>
      </c>
      <c r="C1025" s="3" t="str">
        <f>IFERROR(__xludf.DUMMYFUNCTION("GOOGLETRANSLATE(B1025,""id"",""en"")"),"['madukin', 'number', 'write', 'number', 'valid', 'number', 'emlaly', 'indihomen', 'what']")</f>
        <v>['madukin', 'number', 'write', 'number', 'valid', 'number', 'emlaly', 'indihomen', 'what']</v>
      </c>
      <c r="D1025" s="3">
        <v>2.0</v>
      </c>
    </row>
    <row r="1026" ht="15.75" customHeight="1">
      <c r="A1026" s="1">
        <v>1091.0</v>
      </c>
      <c r="B1026" s="3" t="s">
        <v>1013</v>
      </c>
      <c r="C1026" s="3" t="str">
        <f>IFERROR(__xludf.DUMMYFUNCTION("GOOGLETRANSLATE(B1026,""id"",""en"")"),"['Goodd']")</f>
        <v>['Goodd']</v>
      </c>
      <c r="D1026" s="3">
        <v>5.0</v>
      </c>
    </row>
    <row r="1027" ht="15.75" customHeight="1">
      <c r="A1027" s="1">
        <v>1092.0</v>
      </c>
      <c r="B1027" s="3" t="s">
        <v>1014</v>
      </c>
      <c r="C1027" s="3" t="str">
        <f>IFERROR(__xludf.DUMMYFUNCTION("GOOGLETRANSLATE(B1027,""id"",""en"")"),"['try']")</f>
        <v>['try']</v>
      </c>
      <c r="D1027" s="3">
        <v>5.0</v>
      </c>
    </row>
    <row r="1028" ht="15.75" customHeight="1">
      <c r="A1028" s="1">
        <v>1093.0</v>
      </c>
      <c r="B1028" s="3" t="s">
        <v>1015</v>
      </c>
      <c r="C1028" s="3" t="str">
        <f>IFERROR(__xludf.DUMMYFUNCTION("GOOGLETRANSLATE(B1028,""id"",""en"")"),"['Excuse', 'Sis',' wifi ',' Indihomen ',' used ',' download ',' application ',' Google ',' Playstore ',' click ',' Download ',' read ',' TUMGGU ',' FAIL ',' Many ',' times', 'cs',' friendly ',' offered ',' free ',' upgrade ',' Mbps', 'cs',' nyolot ',' imp"&amp;"ressed ' , 'force', 'try', 'promo', 'cs', 'thank', 'promo', 'tsb', 'heavy', 'heart', '']")</f>
        <v>['Excuse', 'Sis',' wifi ',' Indihomen ',' used ',' download ',' application ',' Google ',' Playstore ',' click ',' Download ',' read ',' TUMGGU ',' FAIL ',' Many ',' times', 'cs',' friendly ',' offered ',' free ',' upgrade ',' Mbps', 'cs',' nyolot ',' impressed ' , 'force', 'try', 'promo', 'cs', 'thank', 'promo', 'tsb', 'heavy', 'heart', '']</v>
      </c>
      <c r="D1028" s="3">
        <v>1.0</v>
      </c>
    </row>
    <row r="1029" ht="15.75" customHeight="1">
      <c r="A1029" s="1">
        <v>1094.0</v>
      </c>
      <c r="B1029" s="3" t="s">
        <v>1016</v>
      </c>
      <c r="C1029" s="3" t="str">
        <f>IFERROR(__xludf.DUMMYFUNCTION("GOOGLETRANSLATE(B1029,""id"",""en"")"),"['service', 'chat', 'bad', 'responding', 'customer']")</f>
        <v>['service', 'chat', 'bad', 'responding', 'customer']</v>
      </c>
      <c r="D1029" s="3">
        <v>1.0</v>
      </c>
    </row>
    <row r="1030" ht="15.75" customHeight="1">
      <c r="A1030" s="1">
        <v>1095.0</v>
      </c>
      <c r="B1030" s="3" t="s">
        <v>1017</v>
      </c>
      <c r="C1030" s="3" t="str">
        <f>IFERROR(__xludf.DUMMYFUNCTION("GOOGLETRANSLATE(B1030,""id"",""en"")"),"['use', 'Indihome', 'smooth', 'trimakasih', 'indihome', 'smoga', 'smakin', 'forward']")</f>
        <v>['use', 'Indihome', 'smooth', 'trimakasih', 'indihome', 'smoga', 'smakin', 'forward']</v>
      </c>
      <c r="D1030" s="3">
        <v>5.0</v>
      </c>
    </row>
    <row r="1031" ht="15.75" customHeight="1">
      <c r="A1031" s="1">
        <v>1096.0</v>
      </c>
      <c r="B1031" s="3" t="s">
        <v>1018</v>
      </c>
      <c r="C1031" s="3" t="str">
        <f>IFERROR(__xludf.DUMMYFUNCTION("GOOGLETRANSLATE(B1031,""id"",""en"")"),"['woi', 'indohome', 'angry', 'udh', 'yrs',' ngellag ',' trs', 'person', 'buy', 'ngelag', 'udh', 'yr', ' Ngellag ',' Gosha ']")</f>
        <v>['woi', 'indohome', 'angry', 'udh', 'yrs',' ngellag ',' trs', 'person', 'buy', 'ngelag', 'udh', 'yr', ' Ngellag ',' Gosha ']</v>
      </c>
      <c r="D1031" s="3">
        <v>1.0</v>
      </c>
    </row>
    <row r="1032" ht="15.75" customHeight="1">
      <c r="A1032" s="1">
        <v>1097.0</v>
      </c>
      <c r="B1032" s="3" t="s">
        <v>1019</v>
      </c>
      <c r="C1032" s="3" t="str">
        <f>IFERROR(__xludf.DUMMYFUNCTION("GOOGLETRANSLATE(B1032,""id"",""en"")"),"['WiFi', 'connection', 'Ngelapor', 'Ngeapor', 'Network', 'Ngelapor', 'Change', 'Provider', 'Disappointed', 'Times',' A Week ',' Daily ',' Access', 'Internet', 'troublesome', 'at home', 'online']")</f>
        <v>['WiFi', 'connection', 'Ngelapor', 'Ngeapor', 'Network', 'Ngelapor', 'Change', 'Provider', 'Disappointed', 'Times',' A Week ',' Daily ',' Access', 'Internet', 'troublesome', 'at home', 'online']</v>
      </c>
      <c r="D1032" s="3">
        <v>1.0</v>
      </c>
    </row>
    <row r="1033" ht="15.75" customHeight="1">
      <c r="A1033" s="1">
        <v>1099.0</v>
      </c>
      <c r="B1033" s="3" t="s">
        <v>1020</v>
      </c>
      <c r="C1033" s="3" t="str">
        <f>IFERROR(__xludf.DUMMYFUNCTION("GOOGLETRANSLATE(B1033,""id"",""en"")"),"['application', 'test', 'launch', 'dluan', 'report', 'disorder', 'internet', 'good', 'update', '']")</f>
        <v>['application', 'test', 'launch', 'dluan', 'report', 'disorder', 'internet', 'good', 'update', '']</v>
      </c>
      <c r="D1033" s="3">
        <v>1.0</v>
      </c>
    </row>
    <row r="1034" ht="15.75" customHeight="1">
      <c r="A1034" s="1">
        <v>1100.0</v>
      </c>
      <c r="B1034" s="3" t="s">
        <v>1021</v>
      </c>
      <c r="C1034" s="3" t="str">
        <f>IFERROR(__xludf.DUMMYFUNCTION("GOOGLETRANSLATE(B1034,""id"",""en"")"),"['Indihome', 'service', 'quality', '']")</f>
        <v>['Indihome', 'service', 'quality', '']</v>
      </c>
      <c r="D1034" s="3">
        <v>5.0</v>
      </c>
    </row>
    <row r="1035" ht="15.75" customHeight="1">
      <c r="A1035" s="1">
        <v>1101.0</v>
      </c>
      <c r="B1035" s="3" t="s">
        <v>1022</v>
      </c>
      <c r="C1035" s="3" t="str">
        <f>IFERROR(__xludf.DUMMYFUNCTION("GOOGLETRANSLATE(B1035,""id"",""en"")"),"['Indihome', 'mantaaap', 'pisan', 'laah']")</f>
        <v>['Indihome', 'mantaaap', 'pisan', 'laah']</v>
      </c>
      <c r="D1035" s="3">
        <v>5.0</v>
      </c>
    </row>
    <row r="1036" ht="15.75" customHeight="1">
      <c r="A1036" s="1">
        <v>1102.0</v>
      </c>
      <c r="B1036" s="3" t="s">
        <v>1023</v>
      </c>
      <c r="C1036" s="3" t="str">
        <f>IFERROR(__xludf.DUMMYFUNCTION("GOOGLETRANSLATE(B1036,""id"",""en"")"),"['The application', 'makes it easy', 'use', 'wifi', 'rare', 'disorder', 'network', 'stable', 'easy', 'aspect', 'application', 'service', ' ']")</f>
        <v>['The application', 'makes it easy', 'use', 'wifi', 'rare', 'disorder', 'network', 'stable', 'easy', 'aspect', 'application', 'service', ' ']</v>
      </c>
      <c r="D1036" s="3">
        <v>5.0</v>
      </c>
    </row>
    <row r="1037" ht="15.75" customHeight="1">
      <c r="A1037" s="1">
        <v>1103.0</v>
      </c>
      <c r="B1037" s="3" t="s">
        <v>1024</v>
      </c>
      <c r="C1037" s="3" t="str">
        <f>IFERROR(__xludf.DUMMYFUNCTION("GOOGLETRANSLATE(B1037,""id"",""en"")"),"['use', 'wifi', 'indihome', 'smooth', 'jaya', 'use', 'download', 'kenceng', 'some', 'times',' obstacle ',' disconnected ',' network ',' handling ',' CPT ',' good ',' ']")</f>
        <v>['use', 'wifi', 'indihome', 'smooth', 'jaya', 'use', 'download', 'kenceng', 'some', 'times',' obstacle ',' disconnected ',' network ',' handling ',' CPT ',' good ',' ']</v>
      </c>
      <c r="D1037" s="3">
        <v>5.0</v>
      </c>
    </row>
    <row r="1038" ht="15.75" customHeight="1">
      <c r="A1038" s="1">
        <v>1105.0</v>
      </c>
      <c r="B1038" s="3" t="s">
        <v>1025</v>
      </c>
      <c r="C1038" s="3" t="str">
        <f>IFERROR(__xludf.DUMMYFUNCTION("GOOGLETRANSLATE(B1038,""id"",""en"")"),"['Woy', 'list', 'already', 'number', 'active', 'name', 'already', 'according to', 'email', 'password', 'tetep', 'list', ' ']")</f>
        <v>['Woy', 'list', 'already', 'number', 'active', 'name', 'already', 'according to', 'email', 'password', 'tetep', 'list', ' ']</v>
      </c>
      <c r="D1038" s="3">
        <v>1.0</v>
      </c>
    </row>
    <row r="1039" ht="15.75" customHeight="1">
      <c r="A1039" s="1">
        <v>1106.0</v>
      </c>
      <c r="B1039" s="3" t="s">
        <v>1026</v>
      </c>
      <c r="C1039" s="3" t="str">
        <f>IFERROR(__xludf.DUMMYFUNCTION("GOOGLETRANSLATE(B1039,""id"",""en"")"),"['Leet', 'response', 'Rest', 'Fire', 'Loading', 'Data']")</f>
        <v>['Leet', 'response', 'Rest', 'Fire', 'Loading', 'Data']</v>
      </c>
      <c r="D1039" s="3">
        <v>1.0</v>
      </c>
    </row>
    <row r="1040" ht="15.75" customHeight="1">
      <c r="A1040" s="1">
        <v>1107.0</v>
      </c>
      <c r="B1040" s="3" t="s">
        <v>1027</v>
      </c>
      <c r="C1040" s="3" t="str">
        <f>IFERROR(__xludf.DUMMYFUNCTION("GOOGLETRANSLATE(B1040,""id"",""en"")"),"['Ohhh']")</f>
        <v>['Ohhh']</v>
      </c>
      <c r="D1040" s="3">
        <v>5.0</v>
      </c>
    </row>
    <row r="1041" ht="15.75" customHeight="1">
      <c r="A1041" s="1">
        <v>1108.0</v>
      </c>
      <c r="B1041" s="3" t="s">
        <v>1028</v>
      </c>
      <c r="C1041" s="3" t="str">
        <f>IFERROR(__xludf.DUMMYFUNCTION("GOOGLETRANSLATE(B1041,""id"",""en"")"),"['The application', 'good', 'really', 'smooth', 'hope', 'good', 'fore', 'fightinggggg', ""]")</f>
        <v>['The application', 'good', 'really', 'smooth', 'hope', 'good', 'fore', 'fightinggggg', "]</v>
      </c>
      <c r="D1041" s="3">
        <v>5.0</v>
      </c>
    </row>
    <row r="1042" ht="15.75" customHeight="1">
      <c r="A1042" s="1">
        <v>1109.0</v>
      </c>
      <c r="B1042" s="3" t="s">
        <v>1029</v>
      </c>
      <c r="C1042" s="3" t="str">
        <f>IFERROR(__xludf.DUMMYFUNCTION("GOOGLETRANSLATE(B1042,""id"",""en"")"),"['application', 'mantaapp', 'gaisss',' regret ',' download ',' apply ',' rich ',' real ',' love ',' kedia ',' aka ',' Dripada ',' Dipendem ',' Sukt ']")</f>
        <v>['application', 'mantaapp', 'gaisss',' regret ',' download ',' apply ',' rich ',' real ',' love ',' kedia ',' aka ',' Dripada ',' Dipendem ',' Sukt ']</v>
      </c>
      <c r="D1042" s="3">
        <v>5.0</v>
      </c>
    </row>
    <row r="1043" ht="15.75" customHeight="1">
      <c r="A1043" s="1">
        <v>1110.0</v>
      </c>
      <c r="B1043" s="3" t="s">
        <v>1030</v>
      </c>
      <c r="C1043" s="3" t="str">
        <f>IFERROR(__xludf.DUMMYFUNCTION("GOOGLETRANSLATE(B1043,""id"",""en"")"),"['employees', 'slow', 'service', 'pairs', 'wifinya', 'double', 'pairs', 'myid', 'myin', 'gmna']")</f>
        <v>['employees', 'slow', 'service', 'pairs', 'wifinya', 'double', 'pairs', 'myid', 'myin', 'gmna']</v>
      </c>
      <c r="D1043" s="3">
        <v>1.0</v>
      </c>
    </row>
    <row r="1044" ht="15.75" customHeight="1">
      <c r="A1044" s="1">
        <v>1111.0</v>
      </c>
      <c r="B1044" s="3" t="s">
        <v>1031</v>
      </c>
      <c r="C1044" s="3" t="str">
        <f>IFERROR(__xludf.DUMMYFUNCTION("GOOGLETRANSLATE(B1044,""id"",""en"")"),"['App', 'Myindihome', 'SNGT', 'Help', 'Dlm', 'Information', 'Bill', 'Complaints',' Customer ',' Check ',' BRP ',' Connected ',' device', '']")</f>
        <v>['App', 'Myindihome', 'SNGT', 'Help', 'Dlm', 'Information', 'Bill', 'Complaints',' Customer ',' Check ',' BRP ',' Connected ',' device', '']</v>
      </c>
      <c r="D1044" s="3">
        <v>5.0</v>
      </c>
    </row>
    <row r="1045" ht="15.75" customHeight="1">
      <c r="A1045" s="1">
        <v>1112.0</v>
      </c>
      <c r="B1045" s="3" t="s">
        <v>1032</v>
      </c>
      <c r="C1045" s="3" t="str">
        <f>IFERROR(__xludf.DUMMYFUNCTION("GOOGLETRANSLATE(B1045,""id"",""en"")"),"['Jaya', 'Indihome', 'spirit', ""]")</f>
        <v>['Jaya', 'Indihome', 'spirit', "]</v>
      </c>
      <c r="D1045" s="3">
        <v>5.0</v>
      </c>
    </row>
    <row r="1046" ht="15.75" customHeight="1">
      <c r="A1046" s="1">
        <v>1113.0</v>
      </c>
      <c r="B1046" s="3" t="s">
        <v>1033</v>
      </c>
      <c r="C1046" s="3" t="str">
        <f>IFERROR(__xludf.DUMMYFUNCTION("GOOGLETRANSLATE(B1046,""id"",""en"")"),"['Myindihome', 'Help', 'Darling', 'Udate', 'Bug', 'Please', 'Indihome', 'Repaired', 'Over', 'Thank you']")</f>
        <v>['Myindihome', 'Help', 'Darling', 'Udate', 'Bug', 'Please', 'Indihome', 'Repaired', 'Over', 'Thank you']</v>
      </c>
      <c r="D1046" s="3">
        <v>5.0</v>
      </c>
    </row>
    <row r="1047" ht="15.75" customHeight="1">
      <c r="A1047" s="1">
        <v>1114.0</v>
      </c>
      <c r="B1047" s="3" t="s">
        <v>1034</v>
      </c>
      <c r="C1047" s="3" t="str">
        <f>IFERROR(__xludf.DUMMYFUNCTION("GOOGLETRANSLATE(B1047,""id"",""en"")"),"['Change', 'email', 'code', 'otp', 'just', 'dikirin', 'telephone', 'email', 'please', 'fix', 'as soon as possible]")</f>
        <v>['Change', 'email', 'code', 'otp', 'just', 'dikirin', 'telephone', 'email', 'please', 'fix', 'as soon as possible]</v>
      </c>
      <c r="D1047" s="3">
        <v>1.0</v>
      </c>
    </row>
    <row r="1048" ht="15.75" customHeight="1">
      <c r="A1048" s="1">
        <v>1115.0</v>
      </c>
      <c r="B1048" s="3" t="s">
        <v>60</v>
      </c>
      <c r="C1048" s="3" t="str">
        <f>IFERROR(__xludf.DUMMYFUNCTION("GOOGLETRANSLATE(B1048,""id"",""en"")"),"['good']")</f>
        <v>['good']</v>
      </c>
      <c r="D1048" s="3">
        <v>3.0</v>
      </c>
    </row>
    <row r="1049" ht="15.75" customHeight="1">
      <c r="A1049" s="1">
        <v>1116.0</v>
      </c>
      <c r="B1049" s="3" t="s">
        <v>1035</v>
      </c>
      <c r="C1049" s="3" t="str">
        <f>IFERROR(__xludf.DUMMYFUNCTION("GOOGLETRANSLATE(B1049,""id"",""en"")"),"['Good']")</f>
        <v>['Good']</v>
      </c>
      <c r="D1049" s="3">
        <v>5.0</v>
      </c>
    </row>
    <row r="1050" ht="15.75" customHeight="1">
      <c r="A1050" s="1">
        <v>1117.0</v>
      </c>
      <c r="B1050" s="3" t="s">
        <v>1036</v>
      </c>
      <c r="C1050" s="3" t="str">
        <f>IFERROR(__xludf.DUMMYFUNCTION("GOOGLETRANSLATE(B1050,""id"",""en"")"),"['Liat', 'Date', 'Pay', 'Internet', '']")</f>
        <v>['Liat', 'Date', 'Pay', 'Internet', '']</v>
      </c>
      <c r="D1050" s="3">
        <v>5.0</v>
      </c>
    </row>
    <row r="1051" ht="15.75" customHeight="1">
      <c r="A1051" s="1">
        <v>1118.0</v>
      </c>
      <c r="B1051" s="3" t="s">
        <v>1037</v>
      </c>
      <c r="C1051" s="3" t="str">
        <f>IFERROR(__xludf.DUMMYFUNCTION("GOOGLETRANSLATE(B1051,""id"",""en"")"),"['Please', 'internet', 'fix', 'handle', 'fast', 'tmpat', 'internet', 'severe', 'bad', 'please', 'fix', ""]")</f>
        <v>['Please', 'internet', 'fix', 'handle', 'fast', 'tmpat', 'internet', 'severe', 'bad', 'please', 'fix', "]</v>
      </c>
      <c r="D1051" s="3">
        <v>1.0</v>
      </c>
    </row>
    <row r="1052" ht="15.75" customHeight="1">
      <c r="A1052" s="1">
        <v>1120.0</v>
      </c>
      <c r="B1052" s="3" t="s">
        <v>1038</v>
      </c>
      <c r="C1052" s="3" t="str">
        <f>IFERROR(__xludf.DUMMYFUNCTION("GOOGLETRANSLATE(B1052,""id"",""en"")"),"['Provider', 'idiot', 'criticism', 'fixed', 'bad', 'network']")</f>
        <v>['Provider', 'idiot', 'criticism', 'fixed', 'bad', 'network']</v>
      </c>
      <c r="D1052" s="3">
        <v>1.0</v>
      </c>
    </row>
    <row r="1053" ht="15.75" customHeight="1">
      <c r="A1053" s="1">
        <v>1121.0</v>
      </c>
      <c r="B1053" s="3" t="s">
        <v>1039</v>
      </c>
      <c r="C1053" s="3" t="str">
        <f>IFERROR(__xludf.DUMMYFUNCTION("GOOGLETRANSLATE(B1053,""id"",""en"")"),"['update', 'the latest', 'application', '']")</f>
        <v>['update', 'the latest', 'application', '']</v>
      </c>
      <c r="D1053" s="3">
        <v>5.0</v>
      </c>
    </row>
    <row r="1054" ht="15.75" customHeight="1">
      <c r="A1054" s="1">
        <v>1122.0</v>
      </c>
      <c r="B1054" s="3" t="s">
        <v>1040</v>
      </c>
      <c r="C1054" s="3" t="str">
        <f>IFERROR(__xludf.DUMMYFUNCTION("GOOGLETRANSLATE(B1054,""id"",""en"")"),"['Application', 'Helpful', '']")</f>
        <v>['Application', 'Helpful', '']</v>
      </c>
      <c r="D1054" s="3">
        <v>5.0</v>
      </c>
    </row>
    <row r="1055" ht="15.75" customHeight="1">
      <c r="A1055" s="1">
        <v>1123.0</v>
      </c>
      <c r="B1055" s="3" t="s">
        <v>1041</v>
      </c>
      <c r="C1055" s="3" t="str">
        <f>IFERROR(__xludf.DUMMYFUNCTION("GOOGLETRANSLATE(B1055,""id"",""en"")"),"['Send', 'report', 'Yesterday', 'JWBAN', 'Have', 'Waiting', 'Certainty', 'Indihome', 'Rich', 'Gini', ""]")</f>
        <v>['Send', 'report', 'Yesterday', 'JWBAN', 'Have', 'Waiting', 'Certainty', 'Indihome', 'Rich', 'Gini', "]</v>
      </c>
      <c r="D1055" s="3">
        <v>1.0</v>
      </c>
    </row>
    <row r="1056" ht="15.75" customHeight="1">
      <c r="A1056" s="1">
        <v>1124.0</v>
      </c>
      <c r="B1056" s="3" t="s">
        <v>480</v>
      </c>
      <c r="C1056" s="3" t="str">
        <f>IFERROR(__xludf.DUMMYFUNCTION("GOOGLETRANSLATE(B1056,""id"",""en"")"),"['']")</f>
        <v>['']</v>
      </c>
      <c r="D1056" s="3">
        <v>3.0</v>
      </c>
    </row>
    <row r="1057" ht="15.75" customHeight="1">
      <c r="A1057" s="1">
        <v>1125.0</v>
      </c>
      <c r="B1057" s="3" t="s">
        <v>1042</v>
      </c>
      <c r="C1057" s="3" t="str">
        <f>IFERROR(__xludf.DUMMYFUNCTION("GOOGLETRANSLATE(B1057,""id"",""en"")"),"['Indihome', 'Useful', 'Needs', 'Internet', 'Application', 'Good']")</f>
        <v>['Indihome', 'Useful', 'Needs', 'Internet', 'Application', 'Good']</v>
      </c>
      <c r="D1057" s="3">
        <v>5.0</v>
      </c>
    </row>
    <row r="1058" ht="15.75" customHeight="1">
      <c r="A1058" s="1">
        <v>1126.0</v>
      </c>
      <c r="B1058" s="3" t="s">
        <v>1043</v>
      </c>
      <c r="C1058" s="3" t="str">
        <f>IFERROR(__xludf.DUMMYFUNCTION("GOOGLETRANSLATE(B1058,""id"",""en"")"),"['Application', 'Useful', 'Monitor', 'Service', 'Indihome']")</f>
        <v>['Application', 'Useful', 'Monitor', 'Service', 'Indihome']</v>
      </c>
      <c r="D1058" s="3">
        <v>5.0</v>
      </c>
    </row>
    <row r="1059" ht="15.75" customHeight="1">
      <c r="A1059" s="1">
        <v>1127.0</v>
      </c>
      <c r="B1059" s="3" t="s">
        <v>1044</v>
      </c>
      <c r="C1059" s="3" t="str">
        <f>IFERROR(__xludf.DUMMYFUNCTION("GOOGLETRANSLATE(B1059,""id"",""en"")"),"['Application', 'Help', ""]")</f>
        <v>['Application', 'Help', "]</v>
      </c>
      <c r="D1059" s="3">
        <v>5.0</v>
      </c>
    </row>
    <row r="1060" ht="15.75" customHeight="1">
      <c r="A1060" s="1">
        <v>1128.0</v>
      </c>
      <c r="B1060" s="3" t="s">
        <v>1045</v>
      </c>
      <c r="C1060" s="3" t="str">
        <f>IFERROR(__xludf.DUMMYFUNCTION("GOOGLETRANSLATE(B1060,""id"",""en"")"),"['application', 'good', 'useful', 'steady']")</f>
        <v>['application', 'good', 'useful', 'steady']</v>
      </c>
      <c r="D1060" s="3">
        <v>5.0</v>
      </c>
    </row>
    <row r="1061" ht="15.75" customHeight="1">
      <c r="A1061" s="1">
        <v>1129.0</v>
      </c>
      <c r="B1061" s="3" t="s">
        <v>1046</v>
      </c>
      <c r="C1061" s="3" t="str">
        <f>IFERROR(__xludf.DUMMYFUNCTION("GOOGLETRANSLATE(B1061,""id"",""en"")"),"['Like', 'The waiter', 'fast', 'responded', '']")</f>
        <v>['Like', 'The waiter', 'fast', 'responded', '']</v>
      </c>
      <c r="D1061" s="3">
        <v>5.0</v>
      </c>
    </row>
    <row r="1062" ht="15.75" customHeight="1">
      <c r="A1062" s="1">
        <v>1130.0</v>
      </c>
      <c r="B1062" s="3" t="s">
        <v>1047</v>
      </c>
      <c r="C1062" s="3" t="str">
        <f>IFERROR(__xludf.DUMMYFUNCTION("GOOGLETRANSLATE(B1062,""id"",""en"")"),"['', 'Far', 'good']")</f>
        <v>['', 'Far', 'good']</v>
      </c>
      <c r="D1062" s="3">
        <v>5.0</v>
      </c>
    </row>
    <row r="1063" ht="15.75" customHeight="1">
      <c r="A1063" s="1">
        <v>1131.0</v>
      </c>
      <c r="B1063" s="3" t="s">
        <v>1048</v>
      </c>
      <c r="C1063" s="3" t="str">
        <f>IFERROR(__xludf.DUMMYFUNCTION("GOOGLETRANSLATE(B1063,""id"",""en"")"),"['bad', 'service', 'really', 'response', 'already', 'that's',' complicated ',' process', 'area', 'will', 'move', 'bad', ' ']")</f>
        <v>['bad', 'service', 'really', 'response', 'already', 'that's',' complicated ',' process', 'area', 'will', 'move', 'bad', ' ']</v>
      </c>
      <c r="D1063" s="3">
        <v>1.0</v>
      </c>
    </row>
    <row r="1064" ht="15.75" customHeight="1">
      <c r="A1064" s="1">
        <v>1132.0</v>
      </c>
      <c r="B1064" s="3" t="s">
        <v>1049</v>
      </c>
      <c r="C1064" s="3" t="str">
        <f>IFERROR(__xludf.DUMMYFUNCTION("GOOGLETRANSLATE(B1064,""id"",""en"")"),"['Manttul', 'Helpful', 'Application', 'Help', 'Customer', 'Thanks', 'Indihome', ""]")</f>
        <v>['Manttul', 'Helpful', 'Application', 'Help', 'Customer', 'Thanks', 'Indihome', "]</v>
      </c>
      <c r="D1064" s="3">
        <v>5.0</v>
      </c>
    </row>
    <row r="1065" ht="15.75" customHeight="1">
      <c r="A1065" s="1">
        <v>1133.0</v>
      </c>
      <c r="B1065" s="3" t="s">
        <v>1050</v>
      </c>
      <c r="C1065" s="3" t="str">
        <f>IFERROR(__xludf.DUMMYFUNCTION("GOOGLETRANSLATE(B1065,""id"",""en"")"),"['best bestkkkkkkksssss', '']")</f>
        <v>['best bestkkkkkkksssss', '']</v>
      </c>
      <c r="D1065" s="3">
        <v>5.0</v>
      </c>
    </row>
    <row r="1066" ht="15.75" customHeight="1">
      <c r="A1066" s="1">
        <v>1134.0</v>
      </c>
      <c r="B1066" s="3" t="s">
        <v>1051</v>
      </c>
      <c r="C1066" s="3" t="str">
        <f>IFERROR(__xludf.DUMMYFUNCTION("GOOGLETRANSLATE(B1066,""id"",""en"")"),"['The application', 'good', 'easy', 'payment', 'search', 'search', 'package', 'easy', 'streaming', 'movie', 'voucher', 'access',' fast', '']")</f>
        <v>['The application', 'good', 'easy', 'payment', 'search', 'search', 'package', 'easy', 'streaming', 'movie', 'voucher', 'access',' fast', '']</v>
      </c>
      <c r="D1066" s="3">
        <v>5.0</v>
      </c>
    </row>
    <row r="1067" ht="15.75" customHeight="1">
      <c r="A1067" s="1">
        <v>1135.0</v>
      </c>
      <c r="B1067" s="3" t="s">
        <v>1052</v>
      </c>
      <c r="C1067" s="3" t="str">
        <f>IFERROR(__xludf.DUMMYFUNCTION("GOOGLETRANSLATE(B1067,""id"",""en"")"),"['Thumb', 'deh']")</f>
        <v>['Thumb', 'deh']</v>
      </c>
      <c r="D1067" s="3">
        <v>5.0</v>
      </c>
    </row>
    <row r="1068" ht="15.75" customHeight="1">
      <c r="A1068" s="1">
        <v>1136.0</v>
      </c>
      <c r="B1068" s="3" t="s">
        <v>1053</v>
      </c>
      <c r="C1068" s="3" t="str">
        <f>IFERROR(__xludf.DUMMYFUNCTION("GOOGLETRANSLATE(B1068,""id"",""en"")"),"['The application', 'Cool', 'really', ""]")</f>
        <v>['The application', 'Cool', 'really', "]</v>
      </c>
      <c r="D1068" s="3">
        <v>5.0</v>
      </c>
    </row>
    <row r="1069" ht="15.75" customHeight="1">
      <c r="A1069" s="1">
        <v>1137.0</v>
      </c>
      <c r="B1069" s="3" t="s">
        <v>1054</v>
      </c>
      <c r="C1069" s="3" t="str">
        <f>IFERROR(__xludf.DUMMYFUNCTION("GOOGLETRANSLATE(B1069,""id"",""en"")"),"['Network', 'good', 'speed', 'according to', 'application', 'make it easy', 'payment', 'check', 'bill', 'etc.']")</f>
        <v>['Network', 'good', 'speed', 'according to', 'application', 'make it easy', 'payment', 'check', 'bill', 'etc.']</v>
      </c>
      <c r="D1069" s="3">
        <v>5.0</v>
      </c>
    </row>
    <row r="1070" ht="15.75" customHeight="1">
      <c r="A1070" s="1">
        <v>1138.0</v>
      </c>
      <c r="B1070" s="3" t="s">
        <v>1055</v>
      </c>
      <c r="C1070" s="3" t="str">
        <f>IFERROR(__xludf.DUMMYFUNCTION("GOOGLETRANSLATE(B1070,""id"",""en"")"),"['Application', 'Cool']")</f>
        <v>['Application', 'Cool']</v>
      </c>
      <c r="D1070" s="3">
        <v>5.0</v>
      </c>
    </row>
    <row r="1071" ht="15.75" customHeight="1">
      <c r="A1071" s="1">
        <v>1139.0</v>
      </c>
      <c r="B1071" s="3" t="s">
        <v>1056</v>
      </c>
      <c r="C1071" s="3" t="str">
        <f>IFERROR(__xludf.DUMMYFUNCTION("GOOGLETRANSLATE(B1071,""id"",""en"")"),"['Good', 'help']")</f>
        <v>['Good', 'help']</v>
      </c>
      <c r="D1071" s="3">
        <v>5.0</v>
      </c>
    </row>
    <row r="1072" ht="15.75" customHeight="1">
      <c r="A1072" s="1">
        <v>1140.0</v>
      </c>
      <c r="B1072" s="3" t="s">
        <v>1057</v>
      </c>
      <c r="C1072" s="3" t="str">
        <f>IFERROR(__xludf.DUMMYFUNCTION("GOOGLETRANSLATE(B1072,""id"",""en"")"),"['hope', 'network', 'smooth']")</f>
        <v>['hope', 'network', 'smooth']</v>
      </c>
      <c r="D1072" s="3">
        <v>5.0</v>
      </c>
    </row>
    <row r="1073" ht="15.75" customHeight="1">
      <c r="A1073" s="1">
        <v>1141.0</v>
      </c>
      <c r="B1073" s="3" t="s">
        <v>1058</v>
      </c>
      <c r="C1073" s="3" t="str">
        <f>IFERROR(__xludf.DUMMYFUNCTION("GOOGLETRANSLATE(B1073,""id"",""en"")"),"['Disruption', 'cable', 'disconnected', 'grgr', 'getting', 'thread', 'kite', 'afternoon', 'report', 'tomorrow', 'the afternoon', 'repaired', ' ']")</f>
        <v>['Disruption', 'cable', 'disconnected', 'grgr', 'getting', 'thread', 'kite', 'afternoon', 'report', 'tomorrow', 'the afternoon', 'repaired', ' ']</v>
      </c>
      <c r="D1073" s="3">
        <v>5.0</v>
      </c>
    </row>
    <row r="1074" ht="15.75" customHeight="1">
      <c r="A1074" s="1">
        <v>1142.0</v>
      </c>
      <c r="B1074" s="3" t="s">
        <v>1059</v>
      </c>
      <c r="C1074" s="3" t="str">
        <f>IFERROR(__xludf.DUMMYFUNCTION("GOOGLETRANSLATE(B1074,""id"",""en"")"),"['Application', 'Help', 'Thank you', 'Hope', ""]")</f>
        <v>['Application', 'Help', 'Thank you', 'Hope', "]</v>
      </c>
      <c r="D1074" s="3">
        <v>5.0</v>
      </c>
    </row>
    <row r="1075" ht="15.75" customHeight="1">
      <c r="A1075" s="1">
        <v>1143.0</v>
      </c>
      <c r="B1075" s="3" t="s">
        <v>1060</v>
      </c>
      <c r="C1075" s="3" t="str">
        <f>IFERROR(__xludf.DUMMYFUNCTION("GOOGLETRANSLATE(B1075,""id"",""en"")"),"['GooooooooDDDD', '']")</f>
        <v>['GooooooooDDDD', '']</v>
      </c>
      <c r="D1075" s="3">
        <v>5.0</v>
      </c>
    </row>
    <row r="1076" ht="15.75" customHeight="1">
      <c r="A1076" s="1">
        <v>1144.0</v>
      </c>
      <c r="B1076" s="3" t="s">
        <v>1061</v>
      </c>
      <c r="C1076" s="3" t="str">
        <f>IFERROR(__xludf.DUMMYFUNCTION("GOOGLETRANSLATE(B1076,""id"",""en"")"),"['Myindihome', 'Application', 'Display', 'Features',' Cool ',' Service ',' Best ',' User ',' Hopefully ',' Myindihome ',' Success', 'Jaya', ' always', ""]")</f>
        <v>['Myindihome', 'Application', 'Display', 'Features',' Cool ',' Service ',' Best ',' User ',' Hopefully ',' Myindihome ',' Success', 'Jaya', ' always', "]</v>
      </c>
      <c r="D1076" s="3">
        <v>5.0</v>
      </c>
    </row>
    <row r="1077" ht="15.75" customHeight="1">
      <c r="A1077" s="1">
        <v>1145.0</v>
      </c>
      <c r="B1077" s="3" t="s">
        <v>99</v>
      </c>
      <c r="C1077" s="3" t="str">
        <f>IFERROR(__xludf.DUMMYFUNCTION("GOOGLETRANSLATE(B1077,""id"",""en"")"),"['best', '']")</f>
        <v>['best', '']</v>
      </c>
      <c r="D1077" s="3">
        <v>5.0</v>
      </c>
    </row>
    <row r="1078" ht="15.75" customHeight="1">
      <c r="A1078" s="1">
        <v>1146.0</v>
      </c>
      <c r="B1078" s="3" t="s">
        <v>1062</v>
      </c>
      <c r="C1078" s="3" t="str">
        <f>IFERROR(__xludf.DUMMYFUNCTION("GOOGLETRANSLATE(B1078,""id"",""en"")"),"['Please', 'Fix', 'Loading', 'Bat', 'Njer', ""]")</f>
        <v>['Please', 'Fix', 'Loading', 'Bat', 'Njer', "]</v>
      </c>
      <c r="D1078" s="3">
        <v>1.0</v>
      </c>
    </row>
    <row r="1079" ht="15.75" customHeight="1">
      <c r="A1079" s="1">
        <v>1147.0</v>
      </c>
      <c r="B1079" s="3" t="s">
        <v>1063</v>
      </c>
      <c r="C1079" s="3" t="str">
        <f>IFERROR(__xludf.DUMMYFUNCTION("GOOGLETRANSLATE(B1079,""id"",""en"")"),"['APK', 'Latest', 'Success', 'Increase', 'Service', 'Indihome']")</f>
        <v>['APK', 'Latest', 'Success', 'Increase', 'Service', 'Indihome']</v>
      </c>
      <c r="D1079" s="3">
        <v>5.0</v>
      </c>
    </row>
    <row r="1080" ht="15.75" customHeight="1">
      <c r="A1080" s="1">
        <v>1148.0</v>
      </c>
      <c r="B1080" s="3" t="s">
        <v>1064</v>
      </c>
      <c r="C1080" s="3" t="str">
        <f>IFERROR(__xludf.DUMMYFUNCTION("GOOGLETRANSLATE(B1080,""id"",""en"")"),"['application', 'good', 'convenience', 'users']")</f>
        <v>['application', 'good', 'convenience', 'users']</v>
      </c>
      <c r="D1080" s="3">
        <v>5.0</v>
      </c>
    </row>
    <row r="1081" ht="15.75" customHeight="1">
      <c r="A1081" s="1">
        <v>1149.0</v>
      </c>
      <c r="B1081" s="3" t="s">
        <v>1065</v>
      </c>
      <c r="C1081" s="3" t="str">
        <f>IFERROR(__xludf.DUMMYFUNCTION("GOOGLETRANSLATE(B1081,""id"",""en"")"),"['System', 'Error']")</f>
        <v>['System', 'Error']</v>
      </c>
      <c r="D1081" s="3">
        <v>1.0</v>
      </c>
    </row>
    <row r="1082" ht="15.75" customHeight="1">
      <c r="A1082" s="1">
        <v>1150.0</v>
      </c>
      <c r="B1082" s="3" t="s">
        <v>1066</v>
      </c>
      <c r="C1082" s="3" t="str">
        <f>IFERROR(__xludf.DUMMYFUNCTION("GOOGLETRANSLATE(B1082,""id"",""en"")"),"['My APK', 'Good', 'a week', 'Pay', 'Bill', 'Sinyal', 'Slow', 'Pay', 'Expensive', 'Gini', 'Disappointed', 'Very']")</f>
        <v>['My APK', 'Good', 'a week', 'Pay', 'Bill', 'Sinyal', 'Slow', 'Pay', 'Expensive', 'Gini', 'Disappointed', 'Very']</v>
      </c>
      <c r="D1082" s="3">
        <v>1.0</v>
      </c>
    </row>
    <row r="1083" ht="15.75" customHeight="1">
      <c r="A1083" s="1">
        <v>1151.0</v>
      </c>
      <c r="B1083" s="3" t="s">
        <v>1067</v>
      </c>
      <c r="C1083" s="3" t="str">
        <f>IFERROR(__xludf.DUMMYFUNCTION("GOOGLETRANSLATE(B1083,""id"",""en"")"),"['Application', 'Help', 'menu', 'Ribet', ""]")</f>
        <v>['Application', 'Help', 'menu', 'Ribet', "]</v>
      </c>
      <c r="D1083" s="3">
        <v>5.0</v>
      </c>
    </row>
    <row r="1084" ht="15.75" customHeight="1">
      <c r="A1084" s="1">
        <v>1152.0</v>
      </c>
      <c r="B1084" s="3" t="s">
        <v>1068</v>
      </c>
      <c r="C1084" s="3" t="str">
        <f>IFERROR(__xludf.DUMMYFUNCTION("GOOGLETRANSLATE(B1084,""id"",""en"")"),"['Thank you', 'application', 'help', ""]")</f>
        <v>['Thank you', 'application', 'help', "]</v>
      </c>
      <c r="D1084" s="3">
        <v>5.0</v>
      </c>
    </row>
    <row r="1085" ht="15.75" customHeight="1">
      <c r="A1085" s="1">
        <v>1154.0</v>
      </c>
      <c r="B1085" s="3" t="s">
        <v>1069</v>
      </c>
      <c r="C1085" s="3" t="str">
        <f>IFERROR(__xludf.DUMMYFUNCTION("GOOGLETRANSLATE(B1085,""id"",""en"")"),"['Application', 'Help', 'Helpful', '']")</f>
        <v>['Application', 'Help', 'Helpful', '']</v>
      </c>
      <c r="D1085" s="3">
        <v>5.0</v>
      </c>
    </row>
    <row r="1086" ht="15.75" customHeight="1">
      <c r="A1086" s="1">
        <v>1155.0</v>
      </c>
      <c r="B1086" s="3" t="s">
        <v>1070</v>
      </c>
      <c r="C1086" s="3" t="str">
        <f>IFERROR(__xludf.DUMMYFUNCTION("GOOGLETRANSLATE(B1086,""id"",""en"")"),"['faithful', 'Indihome', 'allhamdulilah', 'happy', 'service', '']")</f>
        <v>['faithful', 'Indihome', 'allhamdulilah', 'happy', 'service', '']</v>
      </c>
      <c r="D1086" s="3">
        <v>5.0</v>
      </c>
    </row>
    <row r="1087" ht="15.75" customHeight="1">
      <c r="A1087" s="1">
        <v>1157.0</v>
      </c>
      <c r="B1087" s="3" t="s">
        <v>1071</v>
      </c>
      <c r="C1087" s="3" t="str">
        <f>IFERROR(__xludf.DUMMYFUNCTION("GOOGLETRANSLATE(B1087,""id"",""en"")"),"['application', 'good', 'helpful']")</f>
        <v>['application', 'good', 'helpful']</v>
      </c>
      <c r="D1087" s="3">
        <v>5.0</v>
      </c>
    </row>
    <row r="1088" ht="15.75" customHeight="1">
      <c r="A1088" s="1">
        <v>1158.0</v>
      </c>
      <c r="B1088" s="3" t="s">
        <v>1072</v>
      </c>
      <c r="C1088" s="3" t="str">
        <f>IFERROR(__xludf.DUMMYFUNCTION("GOOGLETRANSLATE(B1088,""id"",""en"")"),"['bad', 'really', 'connection', 'network']")</f>
        <v>['bad', 'really', 'connection', 'network']</v>
      </c>
      <c r="D1088" s="3">
        <v>1.0</v>
      </c>
    </row>
    <row r="1089" ht="15.75" customHeight="1">
      <c r="A1089" s="1">
        <v>1159.0</v>
      </c>
      <c r="B1089" s="3" t="s">
        <v>1073</v>
      </c>
      <c r="C1089" s="3" t="str">
        <f>IFERROR(__xludf.DUMMYFUNCTION("GOOGLETRANSLATE(B1089,""id"",""en"")"),"['Application', 'Easy', 'Acquired', 'complete', '']")</f>
        <v>['Application', 'Easy', 'Acquired', 'complete', '']</v>
      </c>
      <c r="D1089" s="3">
        <v>5.0</v>
      </c>
    </row>
    <row r="1090" ht="15.75" customHeight="1">
      <c r="A1090" s="1">
        <v>1160.0</v>
      </c>
      <c r="B1090" s="3" t="s">
        <v>1074</v>
      </c>
      <c r="C1090" s="3" t="str">
        <f>IFERROR(__xludf.DUMMYFUNCTION("GOOGLETRANSLATE(B1090,""id"",""en"")"),"['application', 'good', 'fast', 'makes it easier', 'thanks']")</f>
        <v>['application', 'good', 'fast', 'makes it easier', 'thanks']</v>
      </c>
      <c r="D1090" s="3">
        <v>5.0</v>
      </c>
    </row>
    <row r="1091" ht="15.75" customHeight="1">
      <c r="A1091" s="1">
        <v>1161.0</v>
      </c>
      <c r="B1091" s="3" t="s">
        <v>1075</v>
      </c>
      <c r="C1091" s="3" t="str">
        <f>IFERROR(__xludf.DUMMYFUNCTION("GOOGLETRANSLATE(B1091,""id"",""en"")"),"['Application', 'Help']")</f>
        <v>['Application', 'Help']</v>
      </c>
      <c r="D1091" s="3">
        <v>5.0</v>
      </c>
    </row>
    <row r="1092" ht="15.75" customHeight="1">
      <c r="A1092" s="1">
        <v>1162.0</v>
      </c>
      <c r="B1092" s="3" t="s">
        <v>1076</v>
      </c>
      <c r="C1092" s="3" t="str">
        <f>IFERROR(__xludf.DUMMYFUNCTION("GOOGLETRANSLATE(B1092,""id"",""en"")"),"['The', 'Best', 'application', 'help', 'really', 'information', 'indihome', 'bother', 'bother', 'success',' indihome ',' hope ',' develop', '']")</f>
        <v>['The', 'Best', 'application', 'help', 'really', 'information', 'indihome', 'bother', 'bother', 'success',' indihome ',' hope ',' develop', '']</v>
      </c>
      <c r="D1092" s="3">
        <v>5.0</v>
      </c>
    </row>
    <row r="1093" ht="15.75" customHeight="1">
      <c r="A1093" s="1">
        <v>1163.0</v>
      </c>
      <c r="B1093" s="3" t="s">
        <v>1077</v>
      </c>
      <c r="C1093" s="3" t="str">
        <f>IFERROR(__xludf.DUMMYFUNCTION("GOOGLETRANSLATE(B1093,""id"",""en"")"),"['apps', '']")</f>
        <v>['apps', '']</v>
      </c>
      <c r="D1093" s="3">
        <v>5.0</v>
      </c>
    </row>
    <row r="1094" ht="15.75" customHeight="1">
      <c r="A1094" s="1">
        <v>1164.0</v>
      </c>
      <c r="B1094" s="3" t="s">
        <v>1078</v>
      </c>
      <c r="C1094" s="3" t="str">
        <f>IFERROR(__xludf.DUMMYFUNCTION("GOOGLETRANSLATE(B1094,""id"",""en"")"),"['thank', 'love', 'application', 'easy', 'information']")</f>
        <v>['thank', 'love', 'application', 'easy', 'information']</v>
      </c>
      <c r="D1094" s="3">
        <v>5.0</v>
      </c>
    </row>
    <row r="1095" ht="15.75" customHeight="1">
      <c r="A1095" s="1">
        <v>1165.0</v>
      </c>
      <c r="B1095" s="3" t="s">
        <v>1079</v>
      </c>
      <c r="C1095" s="3" t="str">
        <f>IFERROR(__xludf.DUMMYFUNCTION("GOOGLETRANSLATE(B1095,""id"",""en"")"),"['Application', 'Good', '']")</f>
        <v>['Application', 'Good', '']</v>
      </c>
      <c r="D1095" s="3">
        <v>5.0</v>
      </c>
    </row>
    <row r="1096" ht="15.75" customHeight="1">
      <c r="A1096" s="1">
        <v>1166.0</v>
      </c>
      <c r="B1096" s="3" t="s">
        <v>1080</v>
      </c>
      <c r="C1096" s="3" t="str">
        <f>IFERROR(__xludf.DUMMYFUNCTION("GOOGLETRANSLATE(B1096,""id"",""en"")"),"['Sometimes', 'calculation', 'quota', 'according to']")</f>
        <v>['Sometimes', 'calculation', 'quota', 'according to']</v>
      </c>
      <c r="D1096" s="3">
        <v>3.0</v>
      </c>
    </row>
    <row r="1097" ht="15.75" customHeight="1">
      <c r="A1097" s="1">
        <v>1167.0</v>
      </c>
      <c r="B1097" s="3" t="s">
        <v>1081</v>
      </c>
      <c r="C1097" s="3" t="str">
        <f>IFERROR(__xludf.DUMMYFUNCTION("GOOGLETRANSLATE(B1097,""id"",""en"")"),"['best service']")</f>
        <v>['best service']</v>
      </c>
      <c r="D1097" s="3">
        <v>5.0</v>
      </c>
    </row>
    <row r="1098" ht="15.75" customHeight="1">
      <c r="A1098" s="1">
        <v>1168.0</v>
      </c>
      <c r="B1098" s="3" t="s">
        <v>1082</v>
      </c>
      <c r="C1098" s="3" t="str">
        <f>IFERROR(__xludf.DUMMYFUNCTION("GOOGLETRANSLATE(B1098,""id"",""en"")"),"['app', 'help', 'cool', 'mantaps', 'good', 'job', 'indihome', 'hope', 'app', 'developing', ""]")</f>
        <v>['app', 'help', 'cool', 'mantaps', 'good', 'job', 'indihome', 'hope', 'app', 'developing', "]</v>
      </c>
      <c r="D1098" s="3">
        <v>5.0</v>
      </c>
    </row>
    <row r="1099" ht="15.75" customHeight="1">
      <c r="A1099" s="1">
        <v>1169.0</v>
      </c>
      <c r="B1099" s="3" t="s">
        <v>1083</v>
      </c>
      <c r="C1099" s="3" t="str">
        <f>IFERROR(__xludf.DUMMYFUNCTION("GOOGLETRANSLATE(B1099,""id"",""en"")"),"['application', 'good', 'useful', 'thank', 'love']")</f>
        <v>['application', 'good', 'useful', 'thank', 'love']</v>
      </c>
      <c r="D1099" s="3">
        <v>5.0</v>
      </c>
    </row>
    <row r="1100" ht="15.75" customHeight="1">
      <c r="A1100" s="1">
        <v>1170.0</v>
      </c>
      <c r="B1100" s="3" t="s">
        <v>1084</v>
      </c>
      <c r="C1100" s="3" t="str">
        <f>IFERROR(__xludf.DUMMYFUNCTION("GOOGLETRANSLATE(B1100,""id"",""en"")"),"['The network', 'steady']")</f>
        <v>['The network', 'steady']</v>
      </c>
      <c r="D1100" s="3">
        <v>5.0</v>
      </c>
    </row>
    <row r="1101" ht="15.75" customHeight="1">
      <c r="A1101" s="1">
        <v>1171.0</v>
      </c>
      <c r="B1101" s="3" t="s">
        <v>1085</v>
      </c>
      <c r="C1101" s="3" t="str">
        <f>IFERROR(__xludf.DUMMYFUNCTION("GOOGLETRANSLATE(B1101,""id"",""en"")"),"['Service', 'APK', 'Indihome', 'Easy', 'Check', 'Bill', 'Confirm', 'Constraints', 'Steady', 'Baget', 'APK', ""]")</f>
        <v>['Service', 'APK', 'Indihome', 'Easy', 'Check', 'Bill', 'Confirm', 'Constraints', 'Steady', 'Baget', 'APK', "]</v>
      </c>
      <c r="D1101" s="3">
        <v>5.0</v>
      </c>
    </row>
    <row r="1102" ht="15.75" customHeight="1">
      <c r="A1102" s="1">
        <v>1173.0</v>
      </c>
      <c r="B1102" s="3" t="s">
        <v>79</v>
      </c>
      <c r="C1102" s="3" t="str">
        <f>IFERROR(__xludf.DUMMYFUNCTION("GOOGLETRANSLATE(B1102,""id"",""en"")"),"['Good', 'App']")</f>
        <v>['Good', 'App']</v>
      </c>
      <c r="D1102" s="3">
        <v>5.0</v>
      </c>
    </row>
    <row r="1103" ht="15.75" customHeight="1">
      <c r="A1103" s="1">
        <v>1175.0</v>
      </c>
      <c r="B1103" s="3" t="s">
        <v>1086</v>
      </c>
      <c r="C1103" s="3" t="str">
        <f>IFERROR(__xludf.DUMMYFUNCTION("GOOGLETRANSLATE(B1103,""id"",""en"")"),"['Help', 'user', 'service', 'Indihome', '']")</f>
        <v>['Help', 'user', 'service', 'Indihome', '']</v>
      </c>
      <c r="D1103" s="3">
        <v>5.0</v>
      </c>
    </row>
    <row r="1104" ht="15.75" customHeight="1">
      <c r="A1104" s="1">
        <v>1177.0</v>
      </c>
      <c r="B1104" s="3" t="s">
        <v>1087</v>
      </c>
      <c r="C1104" s="3" t="str">
        <f>IFERROR(__xludf.DUMMYFUNCTION("GOOGLETRANSLATE(B1104,""id"",""en"")"),"['application', 'makes it easy', 'user']")</f>
        <v>['application', 'makes it easy', 'user']</v>
      </c>
      <c r="D1104" s="3">
        <v>5.0</v>
      </c>
    </row>
    <row r="1105" ht="15.75" customHeight="1">
      <c r="A1105" s="1">
        <v>1178.0</v>
      </c>
      <c r="B1105" s="3" t="s">
        <v>1088</v>
      </c>
      <c r="C1105" s="3" t="str">
        <f>IFERROR(__xludf.DUMMYFUNCTION("GOOGLETRANSLATE(B1105,""id"",""en"")"),"['application', 'makes it easy', 'customer', 'check', 'bill', 'report', 'obstacle']")</f>
        <v>['application', 'makes it easy', 'customer', 'check', 'bill', 'report', 'obstacle']</v>
      </c>
      <c r="D1105" s="3">
        <v>5.0</v>
      </c>
    </row>
    <row r="1106" ht="15.75" customHeight="1">
      <c r="A1106" s="1">
        <v>1179.0</v>
      </c>
      <c r="B1106" s="3" t="s">
        <v>1089</v>
      </c>
      <c r="C1106" s="3" t="str">
        <f>IFERROR(__xludf.DUMMYFUNCTION("GOOGLETRANSLATE(B1106,""id"",""en"")"),"['makes it easier', 'trx', 'payment', '']")</f>
        <v>['makes it easier', 'trx', 'payment', '']</v>
      </c>
      <c r="D1106" s="3">
        <v>5.0</v>
      </c>
    </row>
    <row r="1107" ht="15.75" customHeight="1">
      <c r="A1107" s="1">
        <v>1180.0</v>
      </c>
      <c r="B1107" s="3" t="s">
        <v>1090</v>
      </c>
      <c r="C1107" s="3" t="str">
        <f>IFERROR(__xludf.DUMMYFUNCTION("GOOGLETRANSLATE(B1107,""id"",""en"")"),"['The application', 'steady', 'easy', 'check', 'bill', 'plus',' check ',' type ',' package ',' ADD ',' helped ',' times', ' Constraints', 'uses',' report ',' via ',' App ',' Direct ',' responded ',' related ',' ']")</f>
        <v>['The application', 'steady', 'easy', 'check', 'bill', 'plus',' check ',' type ',' package ',' ADD ',' helped ',' times', ' Constraints', 'uses',' report ',' via ',' App ',' Direct ',' responded ',' related ',' ']</v>
      </c>
      <c r="D1107" s="3">
        <v>5.0</v>
      </c>
    </row>
    <row r="1108" ht="15.75" customHeight="1">
      <c r="A1108" s="1">
        <v>1181.0</v>
      </c>
      <c r="B1108" s="3" t="s">
        <v>1091</v>
      </c>
      <c r="C1108" s="3" t="str">
        <f>IFERROR(__xludf.DUMMYFUNCTION("GOOGLETRANSLATE(B1108,""id"",""en"")"),"['Application', 'Good', 'Helpful', ""]")</f>
        <v>['Application', 'Good', 'Helpful', "]</v>
      </c>
      <c r="D1108" s="3">
        <v>5.0</v>
      </c>
    </row>
    <row r="1109" ht="15.75" customHeight="1">
      <c r="A1109" s="1">
        <v>1183.0</v>
      </c>
      <c r="B1109" s="3" t="s">
        <v>1092</v>
      </c>
      <c r="C1109" s="3" t="str">
        <f>IFERROR(__xludf.DUMMYFUNCTION("GOOGLETRANSLATE(B1109,""id"",""en"")"),"['service', 'internet', 'outrr', 'normalaa', 'thanks', 'indihome', '']")</f>
        <v>['service', 'internet', 'outrr', 'normalaa', 'thanks', 'indihome', '']</v>
      </c>
      <c r="D1109" s="3">
        <v>5.0</v>
      </c>
    </row>
    <row r="1110" ht="15.75" customHeight="1">
      <c r="A1110" s="1">
        <v>1184.0</v>
      </c>
      <c r="B1110" s="3" t="s">
        <v>1093</v>
      </c>
      <c r="C1110" s="3" t="str">
        <f>IFERROR(__xludf.DUMMYFUNCTION("GOOGLETRANSLATE(B1110,""id"",""en"")"),"['Success', 'Indihome']")</f>
        <v>['Success', 'Indihome']</v>
      </c>
      <c r="D1110" s="3">
        <v>5.0</v>
      </c>
    </row>
    <row r="1111" ht="15.75" customHeight="1">
      <c r="A1111" s="1">
        <v>1185.0</v>
      </c>
      <c r="B1111" s="3" t="s">
        <v>1094</v>
      </c>
      <c r="C1111" s="3" t="str">
        <f>IFERROR(__xludf.DUMMYFUNCTION("GOOGLETRANSLATE(B1111,""id"",""en"")"),"['Application', 'good', 'help']")</f>
        <v>['Application', 'good', 'help']</v>
      </c>
      <c r="D1111" s="3">
        <v>5.0</v>
      </c>
    </row>
    <row r="1112" ht="15.75" customHeight="1">
      <c r="A1112" s="1">
        <v>1186.0</v>
      </c>
      <c r="B1112" s="3" t="s">
        <v>1095</v>
      </c>
      <c r="C1112" s="3" t="str">
        <f>IFERROR(__xludf.DUMMYFUNCTION("GOOGLETRANSLATE(B1112,""id"",""en"")"),"['Help', 'really', 'relieve', 'work', '']")</f>
        <v>['Help', 'really', 'relieve', 'work', '']</v>
      </c>
      <c r="D1112" s="3">
        <v>5.0</v>
      </c>
    </row>
    <row r="1113" ht="15.75" customHeight="1">
      <c r="A1113" s="1">
        <v>1187.0</v>
      </c>
      <c r="B1113" s="3" t="s">
        <v>1096</v>
      </c>
      <c r="C1113" s="3" t="str">
        <f>IFERROR(__xludf.DUMMYFUNCTION("GOOGLETRANSLATE(B1113,""id"",""en"")"),"['Thank', 'You', 'My home', 'Rare', 'Range', 'After', 'Disruption', 'TLP', 'Tekhnition', 'Direct', 'Repaired', 'Normal', ' ']")</f>
        <v>['Thank', 'You', 'My home', 'Rare', 'Range', 'After', 'Disruption', 'TLP', 'Tekhnition', 'Direct', 'Repaired', 'Normal', ' ']</v>
      </c>
      <c r="D1113" s="3">
        <v>5.0</v>
      </c>
    </row>
    <row r="1114" ht="15.75" customHeight="1">
      <c r="A1114" s="1">
        <v>1189.0</v>
      </c>
      <c r="B1114" s="3" t="s">
        <v>1097</v>
      </c>
      <c r="C1114" s="3" t="str">
        <f>IFERROR(__xludf.DUMMYFUNCTION("GOOGLETRANSLATE(B1114,""id"",""en"")"),"['Application', 'Bagusss', '']")</f>
        <v>['Application', 'Bagusss', '']</v>
      </c>
      <c r="D1114" s="3">
        <v>5.0</v>
      </c>
    </row>
    <row r="1115" ht="15.75" customHeight="1">
      <c r="A1115" s="1">
        <v>1190.0</v>
      </c>
      <c r="B1115" s="3" t="s">
        <v>1098</v>
      </c>
      <c r="C1115" s="3" t="str">
        <f>IFERROR(__xludf.DUMMYFUNCTION("GOOGLETRANSLATE(B1115,""id"",""en"")"),"['detail', 'use', 'explanation', 'dri', 'menu', 'application', 'steady', '']")</f>
        <v>['detail', 'use', 'explanation', 'dri', 'menu', 'application', 'steady', '']</v>
      </c>
      <c r="D1115" s="3">
        <v>5.0</v>
      </c>
    </row>
    <row r="1116" ht="15.75" customHeight="1">
      <c r="A1116" s="1">
        <v>1191.0</v>
      </c>
      <c r="B1116" s="3" t="s">
        <v>1099</v>
      </c>
      <c r="C1116" s="3" t="str">
        <f>IFERROR(__xludf.DUMMYFUNCTION("GOOGLETRANSLATE(B1116,""id"",""en"")"),"['TOP', ""]")</f>
        <v>['TOP', "]</v>
      </c>
      <c r="D1116" s="3">
        <v>5.0</v>
      </c>
    </row>
    <row r="1117" ht="15.75" customHeight="1">
      <c r="A1117" s="1">
        <v>1192.0</v>
      </c>
      <c r="B1117" s="3" t="s">
        <v>1100</v>
      </c>
      <c r="C1117" s="3" t="str">
        <f>IFERROR(__xludf.DUMMYFUNCTION("GOOGLETRANSLATE(B1117,""id"",""en"")"),"['application', 'help', 'user', 'indihome']")</f>
        <v>['application', 'help', 'user', 'indihome']</v>
      </c>
      <c r="D1117" s="3">
        <v>5.0</v>
      </c>
    </row>
    <row r="1118" ht="15.75" customHeight="1">
      <c r="A1118" s="1">
        <v>1193.0</v>
      </c>
      <c r="B1118" s="3" t="s">
        <v>1101</v>
      </c>
      <c r="C1118" s="3" t="str">
        <f>IFERROR(__xludf.DUMMYFUNCTION("GOOGLETRANSLATE(B1118,""id"",""en"")"),"['Install', 'Indihome', 'Costs', 'Promo', 'Disappointing', 'Marketing']")</f>
        <v>['Install', 'Indihome', 'Costs', 'Promo', 'Disappointing', 'Marketing']</v>
      </c>
      <c r="D1118" s="3">
        <v>1.0</v>
      </c>
    </row>
    <row r="1119" ht="15.75" customHeight="1">
      <c r="A1119" s="1">
        <v>1194.0</v>
      </c>
      <c r="B1119" s="3" t="s">
        <v>1102</v>
      </c>
      <c r="C1119" s="3" t="str">
        <f>IFERROR(__xludf.DUMMYFUNCTION("GOOGLETRANSLATE(B1119,""id"",""en"")"),"['Help', 'infomasi', 'wifi', 'indihome']")</f>
        <v>['Help', 'infomasi', 'wifi', 'indihome']</v>
      </c>
      <c r="D1119" s="3">
        <v>5.0</v>
      </c>
    </row>
    <row r="1120" ht="15.75" customHeight="1">
      <c r="A1120" s="1">
        <v>1195.0</v>
      </c>
      <c r="B1120" s="3" t="s">
        <v>1103</v>
      </c>
      <c r="C1120" s="3" t="str">
        <f>IFERROR(__xludf.DUMMYFUNCTION("GOOGLETRANSLATE(B1120,""id"",""en"")"),"['difficult', 'use it', 'Loading']")</f>
        <v>['difficult', 'use it', 'Loading']</v>
      </c>
      <c r="D1120" s="3">
        <v>1.0</v>
      </c>
    </row>
    <row r="1121" ht="15.75" customHeight="1">
      <c r="A1121" s="1">
        <v>1196.0</v>
      </c>
      <c r="B1121" s="3" t="s">
        <v>1104</v>
      </c>
      <c r="C1121" s="3" t="str">
        <f>IFERROR(__xludf.DUMMYFUNCTION("GOOGLETRANSLATE(B1121,""id"",""en"")"),"['Indihome', 'network', 'slow', 'clock', 'noon', 'clock', 'night', 'slow', 'already', 'restrat', 'that's',' Medan ',' Indihome ',' goes out ',' promise ',' he knows', 'until', 'how', 'profit', 'quota', 'savings',' needs', 'forced', 'use', 'hotspot' , '']")</f>
        <v>['Indihome', 'network', 'slow', 'clock', 'noon', 'clock', 'night', 'slow', 'already', 'restrat', 'that's',' Medan ',' Indihome ',' goes out ',' promise ',' he knows', 'until', 'how', 'profit', 'quota', 'savings',' needs', 'forced', 'use', 'hotspot' , '']</v>
      </c>
      <c r="D1121" s="3">
        <v>1.0</v>
      </c>
    </row>
    <row r="1122" ht="15.75" customHeight="1">
      <c r="A1122" s="1">
        <v>1197.0</v>
      </c>
      <c r="B1122" s="3" t="s">
        <v>1105</v>
      </c>
      <c r="C1122" s="3" t="str">
        <f>IFERROR(__xludf.DUMMYFUNCTION("GOOGLETRANSLATE(B1122,""id"",""en"")"),"['Thank you', 'Application', 'Useful']")</f>
        <v>['Thank you', 'Application', 'Useful']</v>
      </c>
      <c r="D1122" s="3">
        <v>5.0</v>
      </c>
    </row>
    <row r="1123" ht="15.75" customHeight="1">
      <c r="A1123" s="1">
        <v>1198.0</v>
      </c>
      <c r="B1123" s="3" t="s">
        <v>1106</v>
      </c>
      <c r="C1123" s="3" t="str">
        <f>IFERROR(__xludf.DUMMYFUNCTION("GOOGLETRANSLATE(B1123,""id"",""en"")"),"['pulp', 'his web', 'broke', 'UDH', 'price', 'expensive', 'bndkgn', 'competitors',' replace ',' directors', 'main', 'msh', ' The servant ']")</f>
        <v>['pulp', 'his web', 'broke', 'UDH', 'price', 'expensive', 'bndkgn', 'competitors',' replace ',' directors', 'main', 'msh', ' The servant ']</v>
      </c>
      <c r="D1123" s="3">
        <v>1.0</v>
      </c>
    </row>
    <row r="1124" ht="15.75" customHeight="1">
      <c r="A1124" s="1">
        <v>1201.0</v>
      </c>
      <c r="B1124" s="3" t="s">
        <v>1107</v>
      </c>
      <c r="C1124" s="3" t="str">
        <f>IFERROR(__xludf.DUMMYFUNCTION("GOOGLETRANSLATE(B1124,""id"",""en"")"),"['move', 'address',' contact ',' process', 'pay', 'pay', 'already', 'process',' disappointed ',' heavy ',' already ',' many ',' Hub ',' already ',' got ',' ticket ',' many ',' clarity ']")</f>
        <v>['move', 'address',' contact ',' process', 'pay', 'pay', 'already', 'process',' disappointed ',' heavy ',' already ',' many ',' Hub ',' already ',' got ',' ticket ',' many ',' clarity ']</v>
      </c>
      <c r="D1124" s="3">
        <v>1.0</v>
      </c>
    </row>
    <row r="1125" ht="15.75" customHeight="1">
      <c r="A1125" s="1">
        <v>1202.0</v>
      </c>
      <c r="B1125" s="3" t="s">
        <v>1108</v>
      </c>
      <c r="C1125" s="3" t="str">
        <f>IFERROR(__xludf.DUMMYFUNCTION("GOOGLETRANSLATE(B1125,""id"",""en"")"),"['Mbps', 'Mbps', 'confirm', 'Direct', 'Change', 'Mbps', ""]")</f>
        <v>['Mbps', 'Mbps', 'confirm', 'Direct', 'Change', 'Mbps', "]</v>
      </c>
      <c r="D1125" s="3">
        <v>1.0</v>
      </c>
    </row>
    <row r="1126" ht="15.75" customHeight="1">
      <c r="A1126" s="1">
        <v>1206.0</v>
      </c>
      <c r="B1126" s="3" t="s">
        <v>1109</v>
      </c>
      <c r="C1126" s="3" t="str">
        <f>IFERROR(__xludf.DUMMYFUNCTION("GOOGLETRANSLATE(B1126,""id"",""en"")"),"['Boting']")</f>
        <v>['Boting']</v>
      </c>
      <c r="D1126" s="3">
        <v>4.0</v>
      </c>
    </row>
    <row r="1127" ht="15.75" customHeight="1">
      <c r="A1127" s="1">
        <v>1207.0</v>
      </c>
      <c r="B1127" s="3" t="s">
        <v>1110</v>
      </c>
      <c r="C1127" s="3" t="str">
        <f>IFERROR(__xludf.DUMMYFUNCTION("GOOGLETRANSLATE(B1127,""id"",""en"")"),"['Yesterday', 'Speed', 'Demand', 'Lost', 'Seketanggi', 'Login', 'LGI', 'AFK', 'Updated', 'Call', 'Customer', 'Service', ' Yesterday ',' development ',' buy ',' sod ',' difficult ',' forgiveness', 'internet', 'slow', 'really', '']")</f>
        <v>['Yesterday', 'Speed', 'Demand', 'Lost', 'Seketanggi', 'Login', 'LGI', 'AFK', 'Updated', 'Call', 'Customer', 'Service', ' Yesterday ',' development ',' buy ',' sod ',' difficult ',' forgiveness', 'internet', 'slow', 'really', '']</v>
      </c>
      <c r="D1127" s="3">
        <v>1.0</v>
      </c>
    </row>
    <row r="1128" ht="15.75" customHeight="1">
      <c r="A1128" s="1">
        <v>1208.0</v>
      </c>
      <c r="B1128" s="3" t="s">
        <v>1111</v>
      </c>
      <c r="C1128" s="3" t="str">
        <f>IFERROR(__xludf.DUMMYFUNCTION("GOOGLETRANSLATE(B1128,""id"",""en"")"),"['Speed', 'Mbps',' a month ',' muter ',' nge ',' game ',' buffer ',' conection ',' error ',' use ',' person ',' use ',' A month ',' GB ',' Max ',' GB ',' Thinking ',' Stop ',' Subscriptions', 'Cape', 'Pay', 'Network', 'Lemot']")</f>
        <v>['Speed', 'Mbps',' a month ',' muter ',' nge ',' game ',' buffer ',' conection ',' error ',' use ',' person ',' use ',' A month ',' GB ',' Max ',' GB ',' Thinking ',' Stop ',' Subscriptions', 'Cape', 'Pay', 'Network', 'Lemot']</v>
      </c>
      <c r="D1128" s="3">
        <v>1.0</v>
      </c>
    </row>
    <row r="1129" ht="15.75" customHeight="1">
      <c r="A1129" s="1">
        <v>1209.0</v>
      </c>
      <c r="B1129" s="3" t="s">
        <v>1112</v>
      </c>
      <c r="C1129" s="3" t="str">
        <f>IFERROR(__xludf.DUMMYFUNCTION("GOOGLETRANSLATE(B1129,""id"",""en"")"),"['Indihome', 'Good', '']")</f>
        <v>['Indihome', 'Good', '']</v>
      </c>
      <c r="D1129" s="3">
        <v>1.0</v>
      </c>
    </row>
    <row r="1130" ht="15.75" customHeight="1">
      <c r="A1130" s="1">
        <v>1210.0</v>
      </c>
      <c r="B1130" s="3" t="s">
        <v>1113</v>
      </c>
      <c r="C1130" s="3" t="str">
        <f>IFERROR(__xludf.DUMMYFUNCTION("GOOGLETRANSLATE(B1130,""id"",""en"")"),"['ugly', 'Install']")</f>
        <v>['ugly', 'Install']</v>
      </c>
      <c r="D1130" s="3">
        <v>1.0</v>
      </c>
    </row>
    <row r="1131" ht="15.75" customHeight="1">
      <c r="A1131" s="1">
        <v>1211.0</v>
      </c>
      <c r="B1131" s="3" t="s">
        <v>1114</v>
      </c>
      <c r="C1131" s="3" t="str">
        <f>IFERROR(__xludf.DUMMYFUNCTION("GOOGLETRANSLATE(B1131,""id"",""en"")"),"['application', 'Lola']")</f>
        <v>['application', 'Lola']</v>
      </c>
      <c r="D1131" s="3">
        <v>2.0</v>
      </c>
    </row>
    <row r="1132" ht="15.75" customHeight="1">
      <c r="A1132" s="1">
        <v>1213.0</v>
      </c>
      <c r="B1132" s="3" t="s">
        <v>1115</v>
      </c>
      <c r="C1132" s="3" t="str">
        <f>IFERROR(__xludf.DUMMYFUNCTION("GOOGLETRANSLATE(B1132,""id"",""en"")"),"['signal', 'down', '']")</f>
        <v>['signal', 'down', '']</v>
      </c>
      <c r="D1132" s="3">
        <v>1.0</v>
      </c>
    </row>
    <row r="1133" ht="15.75" customHeight="1">
      <c r="A1133" s="1">
        <v>1214.0</v>
      </c>
      <c r="B1133" s="3" t="s">
        <v>1116</v>
      </c>
      <c r="C1133" s="3" t="str">
        <f>IFERROR(__xludf.DUMMYFUNCTION("GOOGLETRANSLATE(B1133,""id"",""en"")"),"['Josss']")</f>
        <v>['Josss']</v>
      </c>
      <c r="D1133" s="3">
        <v>5.0</v>
      </c>
    </row>
    <row r="1134" ht="15.75" customHeight="1">
      <c r="A1134" s="1">
        <v>1215.0</v>
      </c>
      <c r="B1134" s="3" t="s">
        <v>1117</v>
      </c>
      <c r="C1134" s="3" t="str">
        <f>IFERROR(__xludf.DUMMYFUNCTION("GOOGLETRANSLATE(B1134,""id"",""en"")"),"['Ganguan', 'Mulu', 'Costs']")</f>
        <v>['Ganguan', 'Mulu', 'Costs']</v>
      </c>
      <c r="D1134" s="3">
        <v>1.0</v>
      </c>
    </row>
    <row r="1135" ht="15.75" customHeight="1">
      <c r="A1135" s="1">
        <v>1216.0</v>
      </c>
      <c r="B1135" s="3" t="s">
        <v>1118</v>
      </c>
      <c r="C1135" s="3" t="str">
        <f>IFERROR(__xludf.DUMMYFUNCTION("GOOGLETRANSLATE(B1135,""id"",""en"")"),"['fast', 'responded', 'steady']")</f>
        <v>['fast', 'responded', 'steady']</v>
      </c>
      <c r="D1135" s="3">
        <v>5.0</v>
      </c>
    </row>
    <row r="1136" ht="15.75" customHeight="1">
      <c r="A1136" s="1">
        <v>1217.0</v>
      </c>
      <c r="B1136" s="3" t="s">
        <v>1119</v>
      </c>
      <c r="C1136" s="3" t="str">
        <f>IFERROR(__xludf.DUMMYFUNCTION("GOOGLETRANSLATE(B1136,""id"",""en"")"),"['Bener', 'Bner', 'Application', 'Taik', 'Buy', 'Repew', 'Speed', 'already', 'paid', 'processed', 'complained', 'response', ' Called ',' Discard ',' Credit ',' Talking ',' Indihome ',' JLAS ',' Duet ',' Service ',' Macem ',' Taik ',' Org ',' Emotion ', """&amp;"]")</f>
        <v>['Bener', 'Bner', 'Application', 'Taik', 'Buy', 'Repew', 'Speed', 'already', 'paid', 'processed', 'complained', 'response', ' Called ',' Discard ',' Credit ',' Talking ',' Indihome ',' JLAS ',' Duet ',' Service ',' Macem ',' Taik ',' Org ',' Emotion ', "]</v>
      </c>
      <c r="D1136" s="3">
        <v>1.0</v>
      </c>
    </row>
    <row r="1137" ht="15.75" customHeight="1">
      <c r="A1137" s="1">
        <v>1218.0</v>
      </c>
      <c r="B1137" s="3" t="s">
        <v>1120</v>
      </c>
      <c r="C1137" s="3" t="str">
        <f>IFERROR(__xludf.DUMMYFUNCTION("GOOGLETRANSLATE(B1137,""id"",""en"")"),"['Internet', 'Slow', 'Severe', 'Upgrade', 'Speed', 'Worn', 'Costs',' Karna ',' Arrears', 'Payed', 'Usage', 'Beginning', ' Pay ',' bill ',' appropriate ',' officer ',' pay ',' according to ',' upgrade ',' said ',' arrears', 'paid', 'check', 'until', 'state"&amp;"ment' , 'Indihome', 'hahahahahaha', 'funny']")</f>
        <v>['Internet', 'Slow', 'Severe', 'Upgrade', 'Speed', 'Worn', 'Costs',' Karna ',' Arrears', 'Payed', 'Usage', 'Beginning', ' Pay ',' bill ',' appropriate ',' officer ',' pay ',' according to ',' upgrade ',' said ',' arrears', 'paid', 'check', 'until', 'statement' , 'Indihome', 'hahahahahaha', 'funny']</v>
      </c>
      <c r="D1137" s="3">
        <v>1.0</v>
      </c>
    </row>
    <row r="1138" ht="15.75" customHeight="1">
      <c r="A1138" s="1">
        <v>1219.0</v>
      </c>
      <c r="B1138" s="3" t="s">
        <v>1121</v>
      </c>
      <c r="C1138" s="3" t="str">
        <f>IFERROR(__xludf.DUMMYFUNCTION("GOOGLETRANSLATE(B1138,""id"",""en"")"),"['Not bad', 'dead', 'down', 'network', 'stable', 'Kasian', 'child', 'child', 'exam', 'network', 'directly', 'blank', ' Profit ',' quota ',' internet ',' please ',' network ',' internet ',' area ',' babelan ',' disorder ', ""]")</f>
        <v>['Not bad', 'dead', 'down', 'network', 'stable', 'Kasian', 'child', 'child', 'exam', 'network', 'directly', 'blank', ' Profit ',' quota ',' internet ',' please ',' network ',' internet ',' area ',' babelan ',' disorder ', "]</v>
      </c>
      <c r="D1138" s="3">
        <v>4.0</v>
      </c>
    </row>
    <row r="1139" ht="15.75" customHeight="1">
      <c r="A1139" s="1">
        <v>1220.0</v>
      </c>
      <c r="B1139" s="3" t="s">
        <v>1122</v>
      </c>
      <c r="C1139" s="3" t="str">
        <f>IFERROR(__xludf.DUMMYFUNCTION("GOOGLETRANSLATE(B1139,""id"",""en"")"),"['', 'Mantap', 'Alhamdulillah']")</f>
        <v>['', 'Mantap', 'Alhamdulillah']</v>
      </c>
      <c r="D1139" s="3">
        <v>5.0</v>
      </c>
    </row>
    <row r="1140" ht="15.75" customHeight="1">
      <c r="A1140" s="1">
        <v>1221.0</v>
      </c>
      <c r="B1140" s="3" t="s">
        <v>208</v>
      </c>
      <c r="C1140" s="3" t="str">
        <f>IFERROR(__xludf.DUMMYFUNCTION("GOOGLETRANSLATE(B1140,""id"",""en"")"),"['login']")</f>
        <v>['login']</v>
      </c>
      <c r="D1140" s="3">
        <v>1.0</v>
      </c>
    </row>
    <row r="1141" ht="15.75" customHeight="1">
      <c r="A1141" s="1">
        <v>1222.0</v>
      </c>
      <c r="B1141" s="3" t="s">
        <v>1123</v>
      </c>
      <c r="C1141" s="3" t="str">
        <f>IFERROR(__xludf.DUMMYFUNCTION("GOOGLETRANSLATE(B1141,""id"",""en"")"),"['signal', 'Indihome', 'satisfying']")</f>
        <v>['signal', 'Indihome', 'satisfying']</v>
      </c>
      <c r="D1141" s="3">
        <v>1.0</v>
      </c>
    </row>
    <row r="1142" ht="15.75" customHeight="1">
      <c r="A1142" s="1">
        <v>1223.0</v>
      </c>
      <c r="B1142" s="3" t="s">
        <v>5</v>
      </c>
      <c r="C1142" s="3" t="str">
        <f>IFERROR(__xludf.DUMMYFUNCTION("GOOGLETRANSLATE(B1142,""id"",""en"")"),"['slow']")</f>
        <v>['slow']</v>
      </c>
      <c r="D1142" s="3">
        <v>5.0</v>
      </c>
    </row>
    <row r="1143" ht="15.75" customHeight="1">
      <c r="A1143" s="1">
        <v>1224.0</v>
      </c>
      <c r="B1143" s="3" t="s">
        <v>1124</v>
      </c>
      <c r="C1143" s="3" t="str">
        <f>IFERROR(__xludf.DUMMYFUNCTION("GOOGLETRANSLATE(B1143,""id"",""en"")"),"['application', 'good', 'help', 'makes it easy', 'use it', 'feature', 'feature', 'choose', 'meets', '']")</f>
        <v>['application', 'good', 'help', 'makes it easy', 'use it', 'feature', 'feature', 'choose', 'meets', '']</v>
      </c>
      <c r="D1143" s="3">
        <v>5.0</v>
      </c>
    </row>
    <row r="1144" ht="15.75" customHeight="1">
      <c r="A1144" s="1">
        <v>1225.0</v>
      </c>
      <c r="B1144" s="3" t="s">
        <v>1125</v>
      </c>
      <c r="C1144" s="3" t="str">
        <f>IFERROR(__xludf.DUMMYFUNCTION("GOOGLETRANSLATE(B1144,""id"",""en"")"),"['makes it easier', 'payment']")</f>
        <v>['makes it easier', 'payment']</v>
      </c>
      <c r="D1144" s="3">
        <v>5.0</v>
      </c>
    </row>
    <row r="1145" ht="15.75" customHeight="1">
      <c r="A1145" s="1">
        <v>1226.0</v>
      </c>
      <c r="B1145" s="3" t="s">
        <v>1126</v>
      </c>
      <c r="C1145" s="3" t="str">
        <f>IFERROR(__xludf.DUMMYFUNCTION("GOOGLETRANSLATE(B1145,""id"",""en"")"),"['apk', 'terupatenya', 'good', 'detail', 'according to', 'need', 'info', 'search', 'gangguan', 'stay', 'update', 'detail', ' info ',' use ',' good ',' detail ',' payment ',' enthusiasm ',' myindihome ',' ']")</f>
        <v>['apk', 'terupatenya', 'good', 'detail', 'according to', 'need', 'info', 'search', 'gangguan', 'stay', 'update', 'detail', ' info ',' use ',' good ',' detail ',' payment ',' enthusiasm ',' myindihome ',' ']</v>
      </c>
      <c r="D1145" s="3">
        <v>5.0</v>
      </c>
    </row>
    <row r="1146" ht="15.75" customHeight="1">
      <c r="A1146" s="1">
        <v>1227.0</v>
      </c>
      <c r="B1146" s="3" t="s">
        <v>1127</v>
      </c>
      <c r="C1146" s="3" t="str">
        <f>IFERROR(__xludf.DUMMYFUNCTION("GOOGLETRANSLATE(B1146,""id"",""en"")"),"['Good', 'help', 'Customer', 'update', 'internet', 'at home']")</f>
        <v>['Good', 'help', 'Customer', 'update', 'internet', 'at home']</v>
      </c>
      <c r="D1146" s="3">
        <v>5.0</v>
      </c>
    </row>
    <row r="1147" ht="15.75" customHeight="1">
      <c r="A1147" s="1">
        <v>1228.0</v>
      </c>
      <c r="B1147" s="3" t="s">
        <v>1128</v>
      </c>
      <c r="C1147" s="3" t="str">
        <f>IFERROR(__xludf.DUMMYFUNCTION("GOOGLETRANSLATE(B1147,""id"",""en"")"),"['sophisticated', 'cheap', '']")</f>
        <v>['sophisticated', 'cheap', '']</v>
      </c>
      <c r="D1147" s="3">
        <v>5.0</v>
      </c>
    </row>
    <row r="1148" ht="15.75" customHeight="1">
      <c r="A1148" s="1">
        <v>1229.0</v>
      </c>
      <c r="B1148" s="3" t="s">
        <v>1129</v>
      </c>
      <c r="C1148" s="3" t="str">
        <f>IFERROR(__xludf.DUMMYFUNCTION("GOOGLETRANSLATE(B1148,""id"",""en"")"),"['star', '']")</f>
        <v>['star', '']</v>
      </c>
      <c r="D1148" s="3">
        <v>5.0</v>
      </c>
    </row>
    <row r="1149" ht="15.75" customHeight="1">
      <c r="A1149" s="1">
        <v>1232.0</v>
      </c>
      <c r="B1149" s="3" t="s">
        <v>239</v>
      </c>
      <c r="C1149" s="3" t="str">
        <f>IFERROR(__xludf.DUMMYFUNCTION("GOOGLETRANSLATE(B1149,""id"",""en"")"),"['', '']")</f>
        <v>['', '']</v>
      </c>
      <c r="D1149" s="3">
        <v>3.0</v>
      </c>
    </row>
    <row r="1150" ht="15.75" customHeight="1">
      <c r="A1150" s="1">
        <v>1233.0</v>
      </c>
      <c r="B1150" s="3" t="s">
        <v>1130</v>
      </c>
      <c r="C1150" s="3" t="str">
        <f>IFERROR(__xludf.DUMMYFUNCTION("GOOGLETRANSLATE(B1150,""id"",""en"")"),"['Upgrade', 'Mbps',' Telkom ',' Increases', 'Notification', 'Internet', 'Mbps',' already ',' made ',' slow ',' Please ',' Activate ',' Mbps', 'Disable', 'Mbps']")</f>
        <v>['Upgrade', 'Mbps',' Telkom ',' Increases', 'Notification', 'Internet', 'Mbps',' already ',' made ',' slow ',' Please ',' Activate ',' Mbps', 'Disable', 'Mbps']</v>
      </c>
      <c r="D1150" s="3">
        <v>3.0</v>
      </c>
    </row>
    <row r="1151" ht="15.75" customHeight="1">
      <c r="A1151" s="1">
        <v>1234.0</v>
      </c>
      <c r="B1151" s="3" t="s">
        <v>1131</v>
      </c>
      <c r="C1151" s="3" t="str">
        <f>IFERROR(__xludf.DUMMYFUNCTION("GOOGLETRANSLATE(B1151,""id"",""en"")"),"['Service', 'according to', 'Costs', 'subscription']")</f>
        <v>['Service', 'according to', 'Costs', 'subscription']</v>
      </c>
      <c r="D1151" s="3">
        <v>3.0</v>
      </c>
    </row>
    <row r="1152" ht="15.75" customHeight="1">
      <c r="A1152" s="1">
        <v>1235.0</v>
      </c>
      <c r="B1152" s="3" t="s">
        <v>1132</v>
      </c>
      <c r="C1152" s="3" t="str">
        <f>IFERROR(__xludf.DUMMYFUNCTION("GOOGLETRANSLATE(B1152,""id"",""en"")"),"['Nanyany', 'Customer', 'wifi', 'indihome', 'masang', 'wifi', 'indihome', 'dated', 'August', 'appears',' myindihome ',' writing ',' Date ',' appears ',' bill ',' surprised ',' fast ',' really ',' that's ',' bill ',' then 'waiting', 'date', 'bill', 'then' "&amp;", 'Wait', 'Date', 'Bill', 'Sampe', 'Bill', 'Sister', 'Check', 'Application', 'Indihome', 'Bill', 'Bill', 'Terbanyar', ' What do you mean', '']")</f>
        <v>['Nanyany', 'Customer', 'wifi', 'indihome', 'masang', 'wifi', 'indihome', 'dated', 'August', 'appears',' myindihome ',' writing ',' Date ',' appears ',' bill ',' surprised ',' fast ',' really ',' that's ',' bill ',' then 'waiting', 'date', 'bill', 'then' , 'Wait', 'Date', 'Bill', 'Sampe', 'Bill', 'Sister', 'Check', 'Application', 'Indihome', 'Bill', 'Bill', 'Terbanyar', ' What do you mean', '']</v>
      </c>
      <c r="D1152" s="3">
        <v>1.0</v>
      </c>
    </row>
    <row r="1153" ht="15.75" customHeight="1">
      <c r="A1153" s="1">
        <v>1236.0</v>
      </c>
      <c r="B1153" s="3" t="s">
        <v>1133</v>
      </c>
      <c r="C1153" s="3" t="str">
        <f>IFERROR(__xludf.DUMMYFUNCTION("GOOGLETRANSLATE(B1153,""id"",""en"")"),"['times',' submit ',' process', 'mounting', 'installed', 'neighbor', 'interested', 'pairs',' blm ',' realized ',' utilized ',' pairs', ' channeled ',' BLM ',' Install ',' Not bad ',' DPT ',' Untung ']")</f>
        <v>['times',' submit ',' process', 'mounting', 'installed', 'neighbor', 'interested', 'pairs',' blm ',' realized ',' utilized ',' pairs', ' channeled ',' BLM ',' Install ',' Not bad ',' DPT ',' Untung ']</v>
      </c>
      <c r="D1153" s="3">
        <v>1.0</v>
      </c>
    </row>
    <row r="1154" ht="15.75" customHeight="1">
      <c r="A1154" s="1">
        <v>1237.0</v>
      </c>
      <c r="B1154" s="3" t="s">
        <v>1134</v>
      </c>
      <c r="C1154" s="3" t="str">
        <f>IFERROR(__xludf.DUMMYFUNCTION("GOOGLETRANSLATE(B1154,""id"",""en"")"),"['Loading', 'Doank']")</f>
        <v>['Loading', 'Doank']</v>
      </c>
      <c r="D1154" s="3">
        <v>4.0</v>
      </c>
    </row>
    <row r="1155" ht="15.75" customHeight="1">
      <c r="A1155" s="1">
        <v>1238.0</v>
      </c>
      <c r="B1155" s="3" t="s">
        <v>1135</v>
      </c>
      <c r="C1155" s="3" t="str">
        <f>IFERROR(__xludf.DUMMYFUNCTION("GOOGLETRANSLATE(B1155,""id"",""en"")"),"['package', 'internet', 'good', 'pay', 'mind', 'bonus', '']")</f>
        <v>['package', 'internet', 'good', 'pay', 'mind', 'bonus', '']</v>
      </c>
      <c r="D1155" s="3">
        <v>5.0</v>
      </c>
    </row>
    <row r="1156" ht="15.75" customHeight="1">
      <c r="A1156" s="1">
        <v>1239.0</v>
      </c>
      <c r="B1156" s="3" t="s">
        <v>1136</v>
      </c>
      <c r="C1156" s="3" t="str">
        <f>IFERROR(__xludf.DUMMYFUNCTION("GOOGLETRANSLATE(B1156,""id"",""en"")"),"['Stay', 'send', 'Instagram', 'solution', 'told', 'relogin', 'alternating', 'uninstall', 'ttp', 'change', 'told', 'delete', ' Cache ',' TTP ',' Plissssssss', 'Help', 'Myindihome', '']")</f>
        <v>['Stay', 'send', 'Instagram', 'solution', 'told', 'relogin', 'alternating', 'uninstall', 'ttp', 'change', 'told', 'delete', ' Cache ',' TTP ',' Plissssssss', 'Help', 'Myindihome', '']</v>
      </c>
      <c r="D1156" s="3">
        <v>1.0</v>
      </c>
    </row>
    <row r="1157" ht="15.75" customHeight="1">
      <c r="A1157" s="1">
        <v>1240.0</v>
      </c>
      <c r="B1157" s="3" t="s">
        <v>21</v>
      </c>
      <c r="C1157" s="3" t="str">
        <f>IFERROR(__xludf.DUMMYFUNCTION("GOOGLETRANSLATE(B1157,""id"",""en"")"),"Of course")</f>
        <v>Of course</v>
      </c>
      <c r="D1157" s="3">
        <v>5.0</v>
      </c>
    </row>
    <row r="1158" ht="15.75" customHeight="1">
      <c r="A1158" s="1">
        <v>1241.0</v>
      </c>
      <c r="B1158" s="3" t="s">
        <v>1137</v>
      </c>
      <c r="C1158" s="3" t="str">
        <f>IFERROR(__xludf.DUMMYFUNCTION("GOOGLETRANSLATE(B1158,""id"",""en"")"),"['Pairs', 'WiFi', 'Mbps', 'Changed', 'Mbps', 'Bill', 'Please', 'Solusi']")</f>
        <v>['Pairs', 'WiFi', 'Mbps', 'Changed', 'Mbps', 'Bill', 'Please', 'Solusi']</v>
      </c>
      <c r="D1158" s="3">
        <v>1.0</v>
      </c>
    </row>
    <row r="1159" ht="15.75" customHeight="1">
      <c r="A1159" s="1">
        <v>1242.0</v>
      </c>
      <c r="B1159" s="3" t="s">
        <v>1138</v>
      </c>
      <c r="C1159" s="3" t="str">
        <f>IFERROR(__xludf.DUMMYFUNCTION("GOOGLETRANSLATE(B1159,""id"",""en"")"),"['App', 'idiot', 'opened']")</f>
        <v>['App', 'idiot', 'opened']</v>
      </c>
      <c r="D1159" s="3">
        <v>1.0</v>
      </c>
    </row>
    <row r="1160" ht="15.75" customHeight="1">
      <c r="A1160" s="1">
        <v>1243.0</v>
      </c>
      <c r="B1160" s="3" t="s">
        <v>1139</v>
      </c>
      <c r="C1160" s="3" t="str">
        <f>IFERROR(__xludf.DUMMYFUNCTION("GOOGLETRANSLATE(B1160,""id"",""en"")"),"['Please', 'repaired', 'Verification', 'Profile', 'Tetep', 'Changed', 'Already', 'Content', 'Verifikasi']")</f>
        <v>['Please', 'repaired', 'Verification', 'Profile', 'Tetep', 'Changed', 'Already', 'Content', 'Verifikasi']</v>
      </c>
      <c r="D1160" s="3">
        <v>1.0</v>
      </c>
    </row>
    <row r="1161" ht="15.75" customHeight="1">
      <c r="A1161" s="1">
        <v>1244.0</v>
      </c>
      <c r="B1161" s="3" t="s">
        <v>1140</v>
      </c>
      <c r="C1161" s="3" t="str">
        <f>IFERROR(__xludf.DUMMYFUNCTION("GOOGLETRANSLATE(B1161,""id"",""en"")"),"['Suggestion', 'min', 'add', 'see', 'set', 'device', 'connected', 'min', 'theft', 'wifi', 'tired', 'replace', ' Password ',' wkwkwk ']")</f>
        <v>['Suggestion', 'min', 'add', 'see', 'set', 'device', 'connected', 'min', 'theft', 'wifi', 'tired', 'replace', ' Password ',' wkwkwk ']</v>
      </c>
      <c r="D1161" s="3">
        <v>4.0</v>
      </c>
    </row>
    <row r="1162" ht="15.75" customHeight="1">
      <c r="A1162" s="1">
        <v>1245.0</v>
      </c>
      <c r="B1162" s="3" t="s">
        <v>1141</v>
      </c>
      <c r="C1162" s="3" t="str">
        <f>IFERROR(__xludf.DUMMYFUNCTION("GOOGLETRANSLATE(B1162,""id"",""en"")"),"['Good', 'features', 'complete', 'check', 'bill', 'upgrade', 'speed', 'easy', 'promo', 'interesting', '']")</f>
        <v>['Good', 'features', 'complete', 'check', 'bill', 'upgrade', 'speed', 'easy', 'promo', 'interesting', '']</v>
      </c>
      <c r="D1162" s="3">
        <v>5.0</v>
      </c>
    </row>
    <row r="1163" ht="15.75" customHeight="1">
      <c r="A1163" s="1">
        <v>1248.0</v>
      </c>
      <c r="B1163" s="3" t="s">
        <v>1142</v>
      </c>
      <c r="C1163" s="3" t="str">
        <f>IFERROR(__xludf.DUMMYFUNCTION("GOOGLETRANSLATE(B1163,""id"",""en"")"),"['steady', '']")</f>
        <v>['steady', '']</v>
      </c>
      <c r="D1163" s="3">
        <v>5.0</v>
      </c>
    </row>
    <row r="1164" ht="15.75" customHeight="1">
      <c r="A1164" s="1">
        <v>1249.0</v>
      </c>
      <c r="B1164" s="3" t="s">
        <v>1143</v>
      </c>
      <c r="C1164" s="3" t="str">
        <f>IFERROR(__xludf.DUMMYFUNCTION("GOOGLETRANSLATE(B1164,""id"",""en"")"),"['Clear']")</f>
        <v>['Clear']</v>
      </c>
      <c r="D1164" s="3">
        <v>5.0</v>
      </c>
    </row>
    <row r="1165" ht="15.75" customHeight="1">
      <c r="A1165" s="1">
        <v>1250.0</v>
      </c>
      <c r="B1165" s="3" t="s">
        <v>1144</v>
      </c>
      <c r="C1165" s="3" t="str">
        <f>IFERROR(__xludf.DUMMYFUNCTION("GOOGLETRANSLATE(B1165,""id"",""en"")"),"['Speed', 'bgs']")</f>
        <v>['Speed', 'bgs']</v>
      </c>
      <c r="D1165" s="3">
        <v>5.0</v>
      </c>
    </row>
    <row r="1166" ht="15.75" customHeight="1">
      <c r="A1166" s="1">
        <v>1251.0</v>
      </c>
      <c r="B1166" s="3" t="s">
        <v>1145</v>
      </c>
      <c r="C1166" s="3" t="str">
        <f>IFERROR(__xludf.DUMMYFUNCTION("GOOGLETRANSLATE(B1166,""id"",""en"")"),"['application', 'good', 'benefits', 'upgrade', 'see', 'bill', 'complete', 'make it easy', 'user', '']")</f>
        <v>['application', 'good', 'benefits', 'upgrade', 'see', 'bill', 'complete', 'make it easy', 'user', '']</v>
      </c>
      <c r="D1166" s="3">
        <v>5.0</v>
      </c>
    </row>
    <row r="1167" ht="15.75" customHeight="1">
      <c r="A1167" s="1">
        <v>1253.0</v>
      </c>
      <c r="B1167" s="3" t="s">
        <v>1146</v>
      </c>
      <c r="C1167" s="3" t="str">
        <f>IFERROR(__xludf.DUMMYFUNCTION("GOOGLETRANSLATE(B1167,""id"",""en"")"),"['Help', 'Application', 'Hopefully', 'Complete', 'Features', 'Ngepain', 'Didning', 'Indihome', 'Application']")</f>
        <v>['Help', 'Application', 'Hopefully', 'Complete', 'Features', 'Ngepain', 'Didning', 'Indihome', 'Application']</v>
      </c>
      <c r="D1167" s="3">
        <v>5.0</v>
      </c>
    </row>
    <row r="1168" ht="15.75" customHeight="1">
      <c r="A1168" s="1">
        <v>1254.0</v>
      </c>
      <c r="B1168" s="3" t="s">
        <v>1147</v>
      </c>
      <c r="C1168" s="3" t="str">
        <f>IFERROR(__xludf.DUMMYFUNCTION("GOOGLETRANSLATE(B1168,""id"",""en"")"),"['Update', 'Display', 'Good', 'Hopefully', 'Indihome', 'In the future', 'Good', 'Dlm', 'Service', 'Network', 'Internet', 'Good', ' ']")</f>
        <v>['Update', 'Display', 'Good', 'Hopefully', 'Indihome', 'In the future', 'Good', 'Dlm', 'Service', 'Network', 'Internet', 'Good', ' ']</v>
      </c>
      <c r="D1168" s="3">
        <v>5.0</v>
      </c>
    </row>
    <row r="1169" ht="15.75" customHeight="1">
      <c r="A1169" s="1">
        <v>1255.0</v>
      </c>
      <c r="B1169" s="3" t="s">
        <v>1148</v>
      </c>
      <c r="C1169" s="3" t="str">
        <f>IFERROR(__xludf.DUMMYFUNCTION("GOOGLETRANSLATE(B1169,""id"",""en"")"),"['The application', 'good', 'help', 'in', 'check', 'bill', 'use', 'internet', 'telephone', 'good', 'job', ""]")</f>
        <v>['The application', 'good', 'help', 'in', 'check', 'bill', 'use', 'internet', 'telephone', 'good', 'job', "]</v>
      </c>
      <c r="D1169" s="3">
        <v>5.0</v>
      </c>
    </row>
    <row r="1170" ht="15.75" customHeight="1">
      <c r="A1170" s="1">
        <v>1256.0</v>
      </c>
      <c r="B1170" s="3" t="s">
        <v>1149</v>
      </c>
      <c r="C1170" s="3" t="str">
        <f>IFERROR(__xludf.DUMMYFUNCTION("GOOGLETRANSLATE(B1170,""id"",""en"")"),"['', 'Mantap', 'innovate']")</f>
        <v>['', 'Mantap', 'innovate']</v>
      </c>
      <c r="D1170" s="3">
        <v>5.0</v>
      </c>
    </row>
    <row r="1171" ht="15.75" customHeight="1">
      <c r="A1171" s="1">
        <v>1258.0</v>
      </c>
      <c r="B1171" s="3" t="s">
        <v>1150</v>
      </c>
      <c r="C1171" s="3" t="str">
        <f>IFERROR(__xludf.DUMMYFUNCTION("GOOGLETRANSLATE(B1171,""id"",""en"")"),"['Try', 'Fix', 'Indihome', 'Main', 'Game', 'Online', 'Slalu', 'Disconnected', 'Disight', 'chaotic', ""]")</f>
        <v>['Try', 'Fix', 'Indihome', 'Main', 'Game', 'Online', 'Slalu', 'Disconnected', 'Disight', 'chaotic', "]</v>
      </c>
      <c r="D1171" s="3">
        <v>1.0</v>
      </c>
    </row>
    <row r="1172" ht="15.75" customHeight="1">
      <c r="A1172" s="1">
        <v>1260.0</v>
      </c>
      <c r="B1172" s="3" t="s">
        <v>1151</v>
      </c>
      <c r="C1172" s="3" t="str">
        <f>IFERROR(__xludf.DUMMYFUNCTION("GOOGLETRANSLATE(B1172,""id"",""en"")"),"['Internet', 'dead']")</f>
        <v>['Internet', 'dead']</v>
      </c>
      <c r="D1172" s="3">
        <v>5.0</v>
      </c>
    </row>
    <row r="1173" ht="15.75" customHeight="1">
      <c r="A1173" s="1">
        <v>1261.0</v>
      </c>
      <c r="B1173" s="3" t="s">
        <v>1152</v>
      </c>
      <c r="C1173" s="3" t="str">
        <f>IFERROR(__xludf.DUMMYFUNCTION("GOOGLETRANSLATE(B1173,""id"",""en"")"),"['The application', 'steady', 'really']")</f>
        <v>['The application', 'steady', 'really']</v>
      </c>
      <c r="D1173" s="3">
        <v>5.0</v>
      </c>
    </row>
    <row r="1174" ht="15.75" customHeight="1">
      <c r="A1174" s="1">
        <v>1262.0</v>
      </c>
      <c r="B1174" s="3" t="s">
        <v>1153</v>
      </c>
      <c r="C1174" s="3" t="str">
        <f>IFERROR(__xludf.DUMMYFUNCTION("GOOGLETRANSLATE(B1174,""id"",""en"")"),"['code', 'verification', 'account', 'just', 'minute', 'sms', 'enter', 'setting', 'please', 'added', 'minute', 'enter']")</f>
        <v>['code', 'verification', 'account', 'just', 'minute', 'sms', 'enter', 'setting', 'please', 'added', 'minute', 'enter']</v>
      </c>
      <c r="D1174" s="3">
        <v>1.0</v>
      </c>
    </row>
    <row r="1175" ht="15.75" customHeight="1">
      <c r="A1175" s="1">
        <v>1263.0</v>
      </c>
      <c r="B1175" s="3" t="s">
        <v>1154</v>
      </c>
      <c r="C1175" s="3" t="str">
        <f>IFERROR(__xludf.DUMMYFUNCTION("GOOGLETRANSLATE(B1175,""id"",""en"")"),"['Application', 'Excellence']")</f>
        <v>['Application', 'Excellence']</v>
      </c>
      <c r="D1175" s="3">
        <v>5.0</v>
      </c>
    </row>
    <row r="1176" ht="15.75" customHeight="1">
      <c r="A1176" s="1">
        <v>1264.0</v>
      </c>
      <c r="B1176" s="3" t="s">
        <v>1155</v>
      </c>
      <c r="C1176" s="3" t="str">
        <f>IFERROR(__xludf.DUMMYFUNCTION("GOOGLETRANSLATE(B1176,""id"",""en"")"),"['Application', 'Helpful']")</f>
        <v>['Application', 'Helpful']</v>
      </c>
      <c r="D1176" s="3">
        <v>5.0</v>
      </c>
    </row>
    <row r="1177" ht="15.75" customHeight="1">
      <c r="A1177" s="1">
        <v>1266.0</v>
      </c>
      <c r="B1177" s="3" t="s">
        <v>1156</v>
      </c>
      <c r="C1177" s="3" t="str">
        <f>IFERROR(__xludf.DUMMYFUNCTION("GOOGLETRANSLATE(B1177,""id"",""en"")"),"['disruption', 'internet', 'until', 'times',' report ',' disorder ',' answer ',' answer ',' maintenance ',' network ',' no ',' disorder ',' Mass', 'Region', 'Weve', 'Maintenance', 'Network', 'At least', 'Tetep', 'Connected', 'Decrease', 'Speed', 'User', '"&amp;"mah', 'no' , 'connection', 'internet', 'dead', 'total', 'until', 'for days', '']")</f>
        <v>['disruption', 'internet', 'until', 'times',' report ',' disorder ',' answer ',' answer ',' maintenance ',' network ',' no ',' disorder ',' Mass', 'Region', 'Weve', 'Maintenance', 'Network', 'At least', 'Tetep', 'Connected', 'Decrease', 'Speed', 'User', 'mah', 'no' , 'connection', 'internet', 'dead', 'total', 'until', 'for days', '']</v>
      </c>
      <c r="D1177" s="3">
        <v>1.0</v>
      </c>
    </row>
    <row r="1178" ht="15.75" customHeight="1">
      <c r="A1178" s="1">
        <v>1267.0</v>
      </c>
      <c r="B1178" s="3" t="s">
        <v>1157</v>
      </c>
      <c r="C1178" s="3" t="str">
        <f>IFERROR(__xludf.DUMMYFUNCTION("GOOGLETRANSLATE(B1178,""id"",""en"")"),"['Min', 'Please', 'WiFi', 'Saia', 'Constraints',' Internet ',' Install ',' Package ',' Islands', 'Riau', 'Batam', 'Kav', ' Saguba ',' ']")</f>
        <v>['Min', 'Please', 'WiFi', 'Saia', 'Constraints',' Internet ',' Install ',' Package ',' Islands', 'Riau', 'Batam', 'Kav', ' Saguba ',' ']</v>
      </c>
      <c r="D1178" s="3">
        <v>3.0</v>
      </c>
    </row>
    <row r="1179" ht="15.75" customHeight="1">
      <c r="A1179" s="1">
        <v>1268.0</v>
      </c>
      <c r="B1179" s="3" t="s">
        <v>1158</v>
      </c>
      <c r="C1179" s="3" t="str">
        <f>IFERROR(__xludf.DUMMYFUNCTION("GOOGLETRANSLATE(B1179,""id"",""en"")"),"['lag']")</f>
        <v>['lag']</v>
      </c>
      <c r="D1179" s="3">
        <v>1.0</v>
      </c>
    </row>
    <row r="1180" ht="15.75" customHeight="1">
      <c r="A1180" s="1">
        <v>1269.0</v>
      </c>
      <c r="B1180" s="3" t="s">
        <v>1159</v>
      </c>
      <c r="C1180" s="3" t="str">
        <f>IFERROR(__xludf.DUMMYFUNCTION("GOOGLETRANSLATE(B1180,""id"",""en"")"),"['ooooooookkkkkkkkkkkkkkkk', 'resolved']")</f>
        <v>['ooooooookkkkkkkkkkkkkkkk', 'resolved']</v>
      </c>
      <c r="D1180" s="3">
        <v>5.0</v>
      </c>
    </row>
    <row r="1181" ht="15.75" customHeight="1">
      <c r="A1181" s="1">
        <v>1270.0</v>
      </c>
      <c r="B1181" s="3" t="s">
        <v>1160</v>
      </c>
      <c r="C1181" s="3" t="str">
        <f>IFERROR(__xludf.DUMMYFUNCTION("GOOGLETRANSLATE(B1181,""id"",""en"")"),"['Honey', 'expensive', 'PDHL', 'package', 'Internet', 'Only', 'compared to', 'Package', 'Play', 'Dongs', 'Dibonusin', ""]")</f>
        <v>['Honey', 'expensive', 'PDHL', 'package', 'Internet', 'Only', 'compared to', 'Package', 'Play', 'Dongs', 'Dibonusin', "]</v>
      </c>
      <c r="D1181" s="3">
        <v>5.0</v>
      </c>
    </row>
    <row r="1182" ht="15.75" customHeight="1">
      <c r="A1182" s="1">
        <v>1272.0</v>
      </c>
      <c r="B1182" s="3" t="s">
        <v>1161</v>
      </c>
      <c r="C1182" s="3" t="str">
        <f>IFERROR(__xludf.DUMMYFUNCTION("GOOGLETRANSLATE(B1182,""id"",""en"")"),"['Update', 'Ver', 'User', 'Registered', 'Login', 'Email', 'Registered', 'Use', 'Application']")</f>
        <v>['Update', 'Ver', 'User', 'Registered', 'Login', 'Email', 'Registered', 'Use', 'Application']</v>
      </c>
      <c r="D1182" s="3">
        <v>1.0</v>
      </c>
    </row>
    <row r="1183" ht="15.75" customHeight="1">
      <c r="A1183" s="1">
        <v>1273.0</v>
      </c>
      <c r="B1183" s="3" t="s">
        <v>1162</v>
      </c>
      <c r="C1183" s="3" t="str">
        <f>IFERROR(__xludf.DUMMYFUNCTION("GOOGLETRANSLATE(B1183,""id"",""en"")"),"['bill', 'veranda', 'email', 'menu', 'bills',' accurate ',' bills', 'per month', 'rb', 'per month', 'rb', 'come', ' Increase ',' Developer ',' ']")</f>
        <v>['bill', 'veranda', 'email', 'menu', 'bills',' accurate ',' bills', 'per month', 'rb', 'per month', 'rb', 'come', ' Increase ',' Developer ',' ']</v>
      </c>
      <c r="D1183" s="3">
        <v>1.0</v>
      </c>
    </row>
    <row r="1184" ht="15.75" customHeight="1">
      <c r="A1184" s="1">
        <v>1274.0</v>
      </c>
      <c r="B1184" s="3" t="s">
        <v>1163</v>
      </c>
      <c r="C1184" s="3" t="str">
        <f>IFERROR(__xludf.DUMMYFUNCTION("GOOGLETRANSLATE(B1184,""id"",""en"")"),"['complicated', 'enter', 'application', 'list', 'application', 'easy']")</f>
        <v>['complicated', 'enter', 'application', 'list', 'application', 'easy']</v>
      </c>
      <c r="D1184" s="3">
        <v>5.0</v>
      </c>
    </row>
    <row r="1185" ht="15.75" customHeight="1">
      <c r="A1185" s="1">
        <v>1275.0</v>
      </c>
      <c r="B1185" s="3" t="s">
        <v>1164</v>
      </c>
      <c r="C1185" s="3" t="str">
        <f>IFERROR(__xludf.DUMMYFUNCTION("GOOGLETRANSLATE(B1185,""id"",""en"")"),"['RTO', 'minutes',' blas', 'gal', 'stable', 'a week', 'disorder', 'times',' inet ',' dead ',' ampe ',' bored ',' complaint']")</f>
        <v>['RTO', 'minutes',' blas', 'gal', 'stable', 'a week', 'disorder', 'times',' inet ',' dead ',' ampe ',' bored ',' complaint']</v>
      </c>
      <c r="D1185" s="3">
        <v>1.0</v>
      </c>
    </row>
    <row r="1186" ht="15.75" customHeight="1">
      <c r="A1186" s="1">
        <v>1276.0</v>
      </c>
      <c r="B1186" s="3" t="s">
        <v>1165</v>
      </c>
      <c r="C1186" s="3" t="str">
        <f>IFERROR(__xludf.DUMMYFUNCTION("GOOGLETRANSLATE(B1186,""id"",""en"")"),"['TELKOM', 'serve', 'complaints',' bad ',' service ',' language ',' curtly ',' really ',' Different ',' offer ',' ngemis', 'marketing', ' Help ',' The language ',' curtly ',' really ',' if ',' judgment ',' star ',' cave ',' kasi ',' star ',' deh ',' pntes"&amp;"', 'rating' , 'low']")</f>
        <v>['TELKOM', 'serve', 'complaints',' bad ',' service ',' language ',' curtly ',' really ',' Different ',' offer ',' ngemis', 'marketing', ' Help ',' The language ',' curtly ',' really ',' if ',' judgment ',' star ',' cave ',' kasi ',' star ',' deh ',' pntes', 'rating' , 'low']</v>
      </c>
      <c r="D1186" s="3">
        <v>1.0</v>
      </c>
    </row>
    <row r="1187" ht="15.75" customHeight="1">
      <c r="A1187" s="1">
        <v>1277.0</v>
      </c>
      <c r="B1187" s="3" t="s">
        <v>1166</v>
      </c>
      <c r="C1187" s="3" t="str">
        <f>IFERROR(__xludf.DUMMYFUNCTION("GOOGLETRANSLATE(B1187,""id"",""en"")"),"['Improved', 'Service', 'What', 'Mantau', 'Indihome', 'home', 'Try', 'APK', 'Disruption', 'Quality', 'Increases',' Disappointed ',' Mulu ',' ']")</f>
        <v>['Improved', 'Service', 'What', 'Mantau', 'Indihome', 'home', 'Try', 'APK', 'Disruption', 'Quality', 'Increases',' Disappointed ',' Mulu ',' ']</v>
      </c>
      <c r="D1187" s="3">
        <v>1.0</v>
      </c>
    </row>
    <row r="1188" ht="15.75" customHeight="1">
      <c r="A1188" s="1">
        <v>1279.0</v>
      </c>
      <c r="B1188" s="3" t="s">
        <v>1167</v>
      </c>
      <c r="C1188" s="3" t="str">
        <f>IFERROR(__xludf.DUMMYFUNCTION("GOOGLETRANSLATE(B1188,""id"",""en"")"),"['Indira', 'Where', 'Woy', 'Ont', 'Los', 'Choice', 'Complaint', 'Restart', 'Modem', ""]")</f>
        <v>['Indira', 'Where', 'Woy', 'Ont', 'Los', 'Choice', 'Complaint', 'Restart', 'Modem', "]</v>
      </c>
      <c r="D1188" s="3">
        <v>1.0</v>
      </c>
    </row>
    <row r="1189" ht="15.75" customHeight="1">
      <c r="A1189" s="1">
        <v>1280.0</v>
      </c>
      <c r="B1189" s="3" t="s">
        <v>1168</v>
      </c>
      <c r="C1189" s="3" t="str">
        <f>IFERROR(__xludf.DUMMYFUNCTION("GOOGLETRANSLATE(B1189,""id"",""en"")"),"['Waiting', 'Be patient', 'restore', 'missing', 'work', 'delayed', 'internet', 'repaired', ""]")</f>
        <v>['Waiting', 'Be patient', 'restore', 'missing', 'work', 'delayed', 'internet', 'repaired', "]</v>
      </c>
      <c r="D1189" s="3">
        <v>1.0</v>
      </c>
    </row>
    <row r="1190" ht="15.75" customHeight="1">
      <c r="A1190" s="1">
        <v>1281.0</v>
      </c>
      <c r="B1190" s="3" t="s">
        <v>1169</v>
      </c>
      <c r="C1190" s="3" t="str">
        <f>IFERROR(__xludf.DUMMYFUNCTION("GOOGLETRANSLATE(B1190,""id"",""en"")"),"['Satisfied', 'disorder', 'already', 'clarity', 'telephone', 'serve', 'pay', 'mah', 'tetep', 'pay', ""]")</f>
        <v>['Satisfied', 'disorder', 'already', 'clarity', 'telephone', 'serve', 'pay', 'mah', 'tetep', 'pay', "]</v>
      </c>
      <c r="D1190" s="3">
        <v>1.0</v>
      </c>
    </row>
    <row r="1191" ht="15.75" customHeight="1">
      <c r="A1191" s="1">
        <v>1282.0</v>
      </c>
      <c r="B1191" s="3" t="s">
        <v>1170</v>
      </c>
      <c r="C1191" s="3" t="str">
        <f>IFERROR(__xludf.DUMMYFUNCTION("GOOGLETRANSLATE(B1191,""id"",""en"")"),"['Network', 'Indihome', 'Good', 'Application', 'Myindihome', 'User', 'Friendly']")</f>
        <v>['Network', 'Indihome', 'Good', 'Application', 'Myindihome', 'User', 'Friendly']</v>
      </c>
      <c r="D1191" s="3">
        <v>5.0</v>
      </c>
    </row>
    <row r="1192" ht="15.75" customHeight="1">
      <c r="A1192" s="1">
        <v>1283.0</v>
      </c>
      <c r="B1192" s="3" t="s">
        <v>1171</v>
      </c>
      <c r="C1192" s="3" t="str">
        <f>IFERROR(__xludf.DUMMYFUNCTION("GOOGLETRANSLATE(B1192,""id"",""en"")"),"['Change', 'number', 'difficult', 'forgiveness',' already ',' use ',' indihome ',' login ',' application ',' Myindihome ',' Sales', 'Salt', ' Inpiut ',' digit ',' number ',' fox ',' persulit ',' really ',' ']")</f>
        <v>['Change', 'number', 'difficult', 'forgiveness',' already ',' use ',' indihome ',' login ',' application ',' Myindihome ',' Sales', 'Salt', ' Inpiut ',' digit ',' number ',' fox ',' persulit ',' really ',' ']</v>
      </c>
      <c r="D1192" s="3">
        <v>1.0</v>
      </c>
    </row>
    <row r="1193" ht="15.75" customHeight="1">
      <c r="A1193" s="1">
        <v>1284.0</v>
      </c>
      <c r="B1193" s="3" t="s">
        <v>1172</v>
      </c>
      <c r="C1193" s="3" t="str">
        <f>IFERROR(__xludf.DUMMYFUNCTION("GOOGLETRANSLATE(B1193,""id"",""en"")"),"['Application', 'SGT', 'Make', 'Check', 'Bill', 'Change', 'Password', 'Direct', 'Thank you', ""]")</f>
        <v>['Application', 'SGT', 'Make', 'Check', 'Bill', 'Change', 'Password', 'Direct', 'Thank you', "]</v>
      </c>
      <c r="D1193" s="3">
        <v>5.0</v>
      </c>
    </row>
    <row r="1194" ht="15.75" customHeight="1">
      <c r="A1194" s="1">
        <v>1285.0</v>
      </c>
      <c r="B1194" s="3" t="s">
        <v>1173</v>
      </c>
      <c r="C1194" s="3" t="str">
        <f>IFERROR(__xludf.DUMMYFUNCTION("GOOGLETRANSLATE(B1194,""id"",""en"")"),"['very cool']")</f>
        <v>['very cool']</v>
      </c>
      <c r="D1194" s="3">
        <v>5.0</v>
      </c>
    </row>
    <row r="1195" ht="15.75" customHeight="1">
      <c r="A1195" s="1">
        <v>1286.0</v>
      </c>
      <c r="B1195" s="3" t="s">
        <v>1174</v>
      </c>
      <c r="C1195" s="3" t="str">
        <f>IFERROR(__xludf.DUMMYFUNCTION("GOOGLETRANSLATE(B1195,""id"",""en"")"),"['Good', 'Job', 'Flexible', 'The', 'Best', '']")</f>
        <v>['Good', 'Job', 'Flexible', 'The', 'Best', '']</v>
      </c>
      <c r="D1195" s="3">
        <v>5.0</v>
      </c>
    </row>
    <row r="1196" ht="15.75" customHeight="1">
      <c r="A1196" s="1">
        <v>1287.0</v>
      </c>
      <c r="B1196" s="3" t="s">
        <v>1175</v>
      </c>
      <c r="C1196" s="3" t="str">
        <f>IFERROR(__xludf.DUMMYFUNCTION("GOOGLETRANSLATE(B1196,""id"",""en"")"),"['Disorders', 'Network', 'Mulu', 'handling']")</f>
        <v>['Disorders', 'Network', 'Mulu', 'handling']</v>
      </c>
      <c r="D1196" s="3">
        <v>1.0</v>
      </c>
    </row>
    <row r="1197" ht="15.75" customHeight="1">
      <c r="A1197" s="1">
        <v>1288.0</v>
      </c>
      <c r="B1197" s="3" t="s">
        <v>1176</v>
      </c>
      <c r="C1197" s="3" t="str">
        <f>IFERROR(__xludf.DUMMYFUNCTION("GOOGLETRANSLATE(B1197,""id"",""en"")"),"['Report', 'APP', 'given', 'Ticket', 'handling', 'Waiting', 'Clock', 'Call', 'Direct', 'DIFFAK', 'NANI', 'Repair', ' replace ',' router ',' free ',' Thanks', 'Indihome', 'hope', 'keep', 'service', 'enhanced', ""]")</f>
        <v>['Report', 'APP', 'given', 'Ticket', 'handling', 'Waiting', 'Clock', 'Call', 'Direct', 'DIFFAK', 'NANI', 'Repair', ' replace ',' router ',' free ',' Thanks', 'Indihome', 'hope', 'keep', 'service', 'enhanced', "]</v>
      </c>
      <c r="D1197" s="3">
        <v>5.0</v>
      </c>
    </row>
    <row r="1198" ht="15.75" customHeight="1">
      <c r="A1198" s="1">
        <v>1289.0</v>
      </c>
      <c r="B1198" s="3" t="s">
        <v>1177</v>
      </c>
      <c r="C1198" s="3" t="str">
        <f>IFERROR(__xludf.DUMMYFUNCTION("GOOGLETRANSLATE(B1198,""id"",""en"")"),"['password', 'name', 'make it difficult', 'yes', 'forget', 'how', ""]")</f>
        <v>['password', 'name', 'make it difficult', 'yes', 'forget', 'how', "]</v>
      </c>
      <c r="D1198" s="3">
        <v>2.0</v>
      </c>
    </row>
    <row r="1199" ht="15.75" customHeight="1">
      <c r="A1199" s="1">
        <v>1290.0</v>
      </c>
      <c r="B1199" s="3" t="s">
        <v>1178</v>
      </c>
      <c r="C1199" s="3" t="str">
        <f>IFERROR(__xludf.DUMMYFUNCTION("GOOGLETRANSLATE(B1199,""id"",""en"")"),"['please', 'Telkom', 'cooperation', 'wifi', 'justified', 'yaa', 'disruption', 'report', 'indihome', 'care', 'via', 'reply', ' yaa ',' replied ',' progress', 'application', 'indihome', 'udh', 'report', 'urban', 'laoran', 'seseless',' wifi ',' hour ',' date"&amp;" ' , 'September', 'please', 'detrimental', 'wrong', ""]")</f>
        <v>['please', 'Telkom', 'cooperation', 'wifi', 'justified', 'yaa', 'disruption', 'report', 'indihome', 'care', 'via', 'reply', ' yaa ',' replied ',' progress', 'application', 'indihome', 'udh', 'report', 'urban', 'laoran', 'seseless',' wifi ',' hour ',' date ' , 'September', 'please', 'detrimental', 'wrong', "]</v>
      </c>
      <c r="D1199" s="3">
        <v>1.0</v>
      </c>
    </row>
    <row r="1200" ht="15.75" customHeight="1">
      <c r="A1200" s="1">
        <v>1291.0</v>
      </c>
      <c r="B1200" s="3" t="s">
        <v>1179</v>
      </c>
      <c r="C1200" s="3" t="str">
        <f>IFERROR(__xludf.DUMMYFUNCTION("GOOGLETRANSLATE(B1200,""id"",""en"")"),"['updated', 'slow', 'App', 'GBS', 'service', 'complaint', 'rich', 'before', 'before', 'click', 'pgduan', 'Notif', ' Noner ',' ticketny ',' bgsan ',' app ']")</f>
        <v>['updated', 'slow', 'App', 'GBS', 'service', 'complaint', 'rich', 'before', 'before', 'click', 'pgduan', 'Notif', ' Noner ',' ticketny ',' bgsan ',' app ']</v>
      </c>
      <c r="D1200" s="3">
        <v>1.0</v>
      </c>
    </row>
    <row r="1201" ht="15.75" customHeight="1">
      <c r="A1201" s="1">
        <v>1292.0</v>
      </c>
      <c r="B1201" s="3" t="s">
        <v>1180</v>
      </c>
      <c r="C1201" s="3" t="str">
        <f>IFERROR(__xludf.DUMMYFUNCTION("GOOGLETRANSLATE(B1201,""id"",""en"")"),"['Useful', 'Useful', 'Application', 'Ribet']")</f>
        <v>['Useful', 'Useful', 'Application', 'Ribet']</v>
      </c>
      <c r="D1201" s="3">
        <v>5.0</v>
      </c>
    </row>
    <row r="1202" ht="15.75" customHeight="1">
      <c r="A1202" s="1">
        <v>1293.0</v>
      </c>
      <c r="B1202" s="3" t="s">
        <v>1181</v>
      </c>
      <c r="C1202" s="3" t="str">
        <f>IFERROR(__xludf.DUMMYFUNCTION("GOOGLETRANSLATE(B1202,""id"",""en"")"),"['Restore', 'App', 'Out', 'Upgrade', 'Report', 'Disruption', 'Notice', 'Age', 'sophisticated', 'Persulit', ""]")</f>
        <v>['Restore', 'App', 'Out', 'Upgrade', 'Report', 'Disruption', 'Notice', 'Age', 'sophisticated', 'Persulit', "]</v>
      </c>
      <c r="D1202" s="3">
        <v>1.0</v>
      </c>
    </row>
    <row r="1203" ht="15.75" customHeight="1">
      <c r="A1203" s="1">
        <v>1294.0</v>
      </c>
      <c r="B1203" s="3" t="s">
        <v>1182</v>
      </c>
      <c r="C1203" s="3" t="str">
        <f>IFERROR(__xludf.DUMMYFUNCTION("GOOGLETRANSLATE(B1203,""id"",""en"")"),"['already', 'try', 'competitors',' TTP ',' Indihome ',' LBH ',' Save ',' Appeal ',' PMBlayaran ',' Monthly ',' Easy ',' Slama ',' Hnya ',' use ',' Internet ',' Standard ',' Kluarga ',' Recomended ',' ']")</f>
        <v>['already', 'try', 'competitors',' TTP ',' Indihome ',' LBH ',' Save ',' Appeal ',' PMBlayaran ',' Monthly ',' Easy ',' Slama ',' Hnya ',' use ',' Internet ',' Standard ',' Kluarga ',' Recomended ',' ']</v>
      </c>
      <c r="D1203" s="3">
        <v>5.0</v>
      </c>
    </row>
    <row r="1204" ht="15.75" customHeight="1">
      <c r="A1204" s="1">
        <v>1295.0</v>
      </c>
      <c r="B1204" s="3" t="s">
        <v>1183</v>
      </c>
      <c r="C1204" s="3" t="str">
        <f>IFERROR(__xludf.DUMMYFUNCTION("GOOGLETRANSLATE(B1204,""id"",""en"")"),"['Thank you', 'Indihome', 'makes it easier', 'access', 'internet', 'village', 'application', 'newest', 'making easier', 'customers', '']")</f>
        <v>['Thank you', 'Indihome', 'makes it easier', 'access', 'internet', 'village', 'application', 'newest', 'making easier', 'customers', '']</v>
      </c>
      <c r="D1204" s="3">
        <v>5.0</v>
      </c>
    </row>
    <row r="1205" ht="15.75" customHeight="1">
      <c r="A1205" s="1">
        <v>1296.0</v>
      </c>
      <c r="B1205" s="3" t="s">
        <v>1184</v>
      </c>
      <c r="C1205" s="3" t="str">
        <f>IFERROR(__xludf.DUMMYFUNCTION("GOOGLETRANSLATE(B1205,""id"",""en"")"),"['Place', 'Network', 'Indihome', 'Trusted', 'Win', 'Cheap', 'Kcpatan', 'Trima', 'Love', 'Indihome', 'Karna', 'Help', ' activity ',' family ',' lgi ',' dlm ',' condition ',' wfh ',' ']")</f>
        <v>['Place', 'Network', 'Indihome', 'Trusted', 'Win', 'Cheap', 'Kcpatan', 'Trima', 'Love', 'Indihome', 'Karna', 'Help', ' activity ',' family ',' lgi ',' dlm ',' condition ',' wfh ',' ']</v>
      </c>
      <c r="D1205" s="3">
        <v>5.0</v>
      </c>
    </row>
    <row r="1206" ht="15.75" customHeight="1">
      <c r="A1206" s="1">
        <v>1297.0</v>
      </c>
      <c r="B1206" s="3" t="s">
        <v>1185</v>
      </c>
      <c r="C1206" s="3" t="str">
        <f>IFERROR(__xludf.DUMMYFUNCTION("GOOGLETRANSLATE(B1206,""id"",""en"")"),"['best', 'products',' wifi ',' home ',' hrga ',' affordable ',' strength ',' network ',' doubt ',' lgi ',' work ',' form ',' Home ',' Indihome ']")</f>
        <v>['best', 'products',' wifi ',' home ',' hrga ',' affordable ',' strength ',' network ',' doubt ',' lgi ',' work ',' form ',' Home ',' Indihome ']</v>
      </c>
      <c r="D1206" s="3">
        <v>5.0</v>
      </c>
    </row>
    <row r="1207" ht="15.75" customHeight="1">
      <c r="A1207" s="1">
        <v>1298.0</v>
      </c>
      <c r="B1207" s="3" t="s">
        <v>1186</v>
      </c>
      <c r="C1207" s="3" t="str">
        <f>IFERROR(__xludf.DUMMYFUNCTION("GOOGLETRANSLATE(B1207,""id"",""en"")"),"['in the world', 'people', 'Activity', 'home', 'WFH', 'Switch', 'Indihome', 'products',' Good ',' Strength ',' Signan ',' Kcptan ',' Doubt ',' lgi ', ""]")</f>
        <v>['in the world', 'people', 'Activity', 'home', 'WFH', 'Switch', 'Indihome', 'products',' Good ',' Strength ',' Signan ',' Kcptan ',' Doubt ',' lgi ', "]</v>
      </c>
      <c r="D1207" s="3">
        <v>5.0</v>
      </c>
    </row>
    <row r="1208" ht="15.75" customHeight="1">
      <c r="A1208" s="1">
        <v>1299.0</v>
      </c>
      <c r="B1208" s="3" t="s">
        <v>1187</v>
      </c>
      <c r="C1208" s="3" t="str">
        <f>IFERROR(__xludf.DUMMYFUNCTION("GOOGLETRANSLATE(B1208,""id"",""en"")"),"['Application', 'Cool', 'Complete', 'Ribet']")</f>
        <v>['Application', 'Cool', 'Complete', 'Ribet']</v>
      </c>
      <c r="D1208" s="3">
        <v>4.0</v>
      </c>
    </row>
    <row r="1209" ht="15.75" customHeight="1">
      <c r="A1209" s="1">
        <v>1301.0</v>
      </c>
      <c r="B1209" s="3" t="s">
        <v>1188</v>
      </c>
      <c r="C1209" s="3" t="str">
        <f>IFERROR(__xludf.DUMMYFUNCTION("GOOGLETRANSLATE(B1209,""id"",""en"")"),"['application', 'melk', 'bill', 'monthly', 'wifi', 'jua', 'update', 'newest', 'indihome', 'easy']")</f>
        <v>['application', 'melk', 'bill', 'monthly', 'wifi', 'jua', 'update', 'newest', 'indihome', 'easy']</v>
      </c>
      <c r="D1209" s="3">
        <v>5.0</v>
      </c>
    </row>
    <row r="1210" ht="15.75" customHeight="1">
      <c r="A1210" s="1">
        <v>1303.0</v>
      </c>
      <c r="B1210" s="3" t="s">
        <v>1189</v>
      </c>
      <c r="C1210" s="3" t="str">
        <f>IFERROR(__xludf.DUMMYFUNCTION("GOOGLETRANSLATE(B1210,""id"",""en"")"),"['Loading', 'network', 'good', 'easy', 'hopefully', 'repaired', 'maintained', 'developed', ""]")</f>
        <v>['Loading', 'network', 'good', 'easy', 'hopefully', 'repaired', 'maintained', 'developed', "]</v>
      </c>
      <c r="D1210" s="3">
        <v>5.0</v>
      </c>
    </row>
    <row r="1211" ht="15.75" customHeight="1">
      <c r="A1211" s="1">
        <v>1304.0</v>
      </c>
      <c r="B1211" s="3" t="s">
        <v>1190</v>
      </c>
      <c r="C1211" s="3" t="str">
        <f>IFERROR(__xludf.DUMMYFUNCTION("GOOGLETRANSLATE(B1211,""id"",""en"")"),"['service', 'best', 'users',' hope ',' success', 'Indihome', 'in the future', 'The', 'Best', 'Indihome', 'for', 'Indonesia', ' ']")</f>
        <v>['service', 'best', 'users',' hope ',' success', 'Indihome', 'in the future', 'The', 'Best', 'Indihome', 'for', 'Indonesia', ' ']</v>
      </c>
      <c r="D1211" s="3">
        <v>5.0</v>
      </c>
    </row>
    <row r="1212" ht="15.75" customHeight="1">
      <c r="A1212" s="1">
        <v>1305.0</v>
      </c>
      <c r="B1212" s="3" t="s">
        <v>1191</v>
      </c>
      <c r="C1212" s="3" t="str">
        <f>IFERROR(__xludf.DUMMYFUNCTION("GOOGLETRANSLATE(B1212,""id"",""en"")"),"['Service', 'Kerenn']")</f>
        <v>['Service', 'Kerenn']</v>
      </c>
      <c r="D1212" s="3">
        <v>5.0</v>
      </c>
    </row>
    <row r="1213" ht="15.75" customHeight="1">
      <c r="A1213" s="1">
        <v>1306.0</v>
      </c>
      <c r="B1213" s="3" t="s">
        <v>1192</v>
      </c>
      <c r="C1213" s="3" t="str">
        <f>IFERROR(__xludf.DUMMYFUNCTION("GOOGLETRANSLATE(B1213,""id"",""en"")"),"['makes it easier', 'access', 'service', 'dri', 'telkom', 'manteppokok', 'lurr']")</f>
        <v>['makes it easier', 'access', 'service', 'dri', 'telkom', 'manteppokok', 'lurr']</v>
      </c>
      <c r="D1213" s="3">
        <v>5.0</v>
      </c>
    </row>
    <row r="1214" ht="15.75" customHeight="1">
      <c r="A1214" s="1">
        <v>1307.0</v>
      </c>
      <c r="B1214" s="3" t="s">
        <v>1193</v>
      </c>
      <c r="C1214" s="3" t="str">
        <f>IFERROR(__xludf.DUMMYFUNCTION("GOOGLETRANSLATE(B1214,""id"",""en"")"),"['application', 'help', 'sbuah', 'service', 'best', 'easy', 'check', 'service', 'telkom']")</f>
        <v>['application', 'help', 'sbuah', 'service', 'best', 'easy', 'check', 'service', 'telkom']</v>
      </c>
      <c r="D1214" s="3">
        <v>5.0</v>
      </c>
    </row>
    <row r="1215" ht="15.75" customHeight="1">
      <c r="A1215" s="1">
        <v>1308.0</v>
      </c>
      <c r="B1215" s="3" t="s">
        <v>1194</v>
      </c>
      <c r="C1215" s="3" t="str">
        <f>IFERROR(__xludf.DUMMYFUNCTION("GOOGLETRANSLATE(B1215,""id"",""en"")"),"['Mantab', 'really', 'Gaes']")</f>
        <v>['Mantab', 'really', 'Gaes']</v>
      </c>
      <c r="D1215" s="3">
        <v>5.0</v>
      </c>
    </row>
    <row r="1216" ht="15.75" customHeight="1">
      <c r="A1216" s="1">
        <v>1309.0</v>
      </c>
      <c r="B1216" s="3" t="s">
        <v>1195</v>
      </c>
      <c r="C1216" s="3" t="str">
        <f>IFERROR(__xludf.DUMMYFUNCTION("GOOGLETRANSLATE(B1216,""id"",""en"")"),"['Satisfied', 'really', 'service', '']")</f>
        <v>['Satisfied', 'really', 'service', '']</v>
      </c>
      <c r="D1216" s="3">
        <v>5.0</v>
      </c>
    </row>
    <row r="1217" ht="15.75" customHeight="1">
      <c r="A1217" s="1">
        <v>1310.0</v>
      </c>
      <c r="B1217" s="3" t="s">
        <v>1196</v>
      </c>
      <c r="C1217" s="3" t="str">
        <f>IFERROR(__xludf.DUMMYFUNCTION("GOOGLETRANSLATE(B1217,""id"",""en"")"),"['Thank "",' Kasih ',' makes it easy ',' access', 'wifi']")</f>
        <v>['Thank ",' Kasih ',' makes it easy ',' access', 'wifi']</v>
      </c>
      <c r="D1217" s="3">
        <v>5.0</v>
      </c>
    </row>
    <row r="1218" ht="15.75" customHeight="1">
      <c r="A1218" s="1">
        <v>1311.0</v>
      </c>
      <c r="B1218" s="3" t="s">
        <v>1197</v>
      </c>
      <c r="C1218" s="3" t="str">
        <f>IFERROR(__xludf.DUMMYFUNCTION("GOOGLETRANSLATE(B1218,""id"",""en"")"),"['SNGAT', 'Disappointed', 'as',' Consumer ',' Marketing ',' Telefon ',' AKN ',' Upgrade ',' Kec ',' MJD ',' Mbs', 'Dnn', ' hrga ',' rb ',' difference ',' manipulated ',' absurb ',' spy ',' kmi ',' trapped ',' yeah ',' tlg ',' dng ',' honest ',' profession"&amp;"al ' , 'JNG', 'DNG', 'Marketing', 'Trapping', 'Angry', 'Tny', 'Many', 'Total', 'Costs',' Subscriptions', 'Difference', 'SNGT', ' Consider ',' change ',' Provider ',' Professional ',' ']")</f>
        <v>['SNGAT', 'Disappointed', 'as',' Consumer ',' Marketing ',' Telefon ',' AKN ',' Upgrade ',' Kec ',' MJD ',' Mbs', 'Dnn', ' hrga ',' rb ',' difference ',' manipulated ',' absurb ',' spy ',' kmi ',' trapped ',' yeah ',' tlg ',' dng ',' honest ',' professional ' , 'JNG', 'DNG', 'Marketing', 'Trapping', 'Angry', 'Tny', 'Many', 'Total', 'Costs',' Subscriptions', 'Difference', 'SNGT', ' Consider ',' change ',' Provider ',' Professional ',' ']</v>
      </c>
      <c r="D1218" s="3">
        <v>1.0</v>
      </c>
    </row>
    <row r="1219" ht="15.75" customHeight="1">
      <c r="A1219" s="1">
        <v>1312.0</v>
      </c>
      <c r="B1219" s="3" t="s">
        <v>1198</v>
      </c>
      <c r="C1219" s="3" t="str">
        <f>IFERROR(__xludf.DUMMYFUNCTION("GOOGLETRANSLATE(B1219,""id"",""en"")"),"['Okay', 'bangettt', 'application']")</f>
        <v>['Okay', 'bangettt', 'application']</v>
      </c>
      <c r="D1219" s="3">
        <v>5.0</v>
      </c>
    </row>
    <row r="1220" ht="15.75" customHeight="1">
      <c r="A1220" s="1">
        <v>1313.0</v>
      </c>
      <c r="B1220" s="3" t="s">
        <v>1199</v>
      </c>
      <c r="C1220" s="3" t="str">
        <f>IFERROR(__xludf.DUMMYFUNCTION("GOOGLETRANSLATE(B1220,""id"",""en"")"),"['ugly', 'network', 'like', 'missing', 'missing', 'sometimes',' lalot ',' fast ',' good ',' battery ',' basis', 'indihome', ' ugly ',' use ',' Indihome ',' move ']")</f>
        <v>['ugly', 'network', 'like', 'missing', 'missing', 'sometimes',' lalot ',' fast ',' good ',' battery ',' basis', 'indihome', ' ugly ',' use ',' Indihome ',' move ']</v>
      </c>
      <c r="D1220" s="3">
        <v>1.0</v>
      </c>
    </row>
    <row r="1221" ht="15.75" customHeight="1">
      <c r="A1221" s="1">
        <v>1314.0</v>
      </c>
      <c r="B1221" s="3" t="s">
        <v>1200</v>
      </c>
      <c r="C1221" s="3" t="str">
        <f>IFERROR(__xludf.DUMMYFUNCTION("GOOGLETRANSLATE(B1221,""id"",""en"")"),"['Wear', 'Indihome', 'complaints',' satisfied ',' how ',' tradition ',' Indihome ',' DISPAM ',' telephone ',' offer ',' forced ',' he offered ',' rejected ',' polite ',' polite ',' cs', 'lost']")</f>
        <v>['Wear', 'Indihome', 'complaints',' satisfied ',' how ',' tradition ',' Indihome ',' DISPAM ',' telephone ',' offer ',' forced ',' he offered ',' rejected ',' polite ',' polite ',' cs', 'lost']</v>
      </c>
      <c r="D1221" s="3">
        <v>1.0</v>
      </c>
    </row>
    <row r="1222" ht="15.75" customHeight="1">
      <c r="A1222" s="1">
        <v>1315.0</v>
      </c>
      <c r="B1222" s="3" t="s">
        <v>1201</v>
      </c>
      <c r="C1222" s="3" t="str">
        <f>IFERROR(__xludf.DUMMYFUNCTION("GOOGLETRANSLATE(B1222,""id"",""en"")"),"['Pembaganan', 'Disorders', 'Internet', 'Slow', 'Response', '']")</f>
        <v>['Pembaganan', 'Disorders', 'Internet', 'Slow', 'Response', '']</v>
      </c>
      <c r="D1222" s="3">
        <v>4.0</v>
      </c>
    </row>
    <row r="1223" ht="15.75" customHeight="1">
      <c r="A1223" s="1">
        <v>1316.0</v>
      </c>
      <c r="B1223" s="3" t="s">
        <v>1202</v>
      </c>
      <c r="C1223" s="3" t="str">
        <f>IFERROR(__xludf.DUMMYFUNCTION("GOOGLETRANSLATE(B1223,""id"",""en"")"),"['application', 'bug']")</f>
        <v>['application', 'bug']</v>
      </c>
      <c r="D1223" s="3">
        <v>1.0</v>
      </c>
    </row>
    <row r="1224" ht="15.75" customHeight="1">
      <c r="A1224" s="1">
        <v>1317.0</v>
      </c>
      <c r="B1224" s="3" t="s">
        <v>1203</v>
      </c>
      <c r="C1224" s="3" t="str">
        <f>IFERROR(__xludf.DUMMYFUNCTION("GOOGLETRANSLATE(B1224,""id"",""en"")"),"['Top', 'bald', 'gmna', ""]")</f>
        <v>['Top', 'bald', 'gmna', "]</v>
      </c>
      <c r="D1224" s="3">
        <v>3.0</v>
      </c>
    </row>
    <row r="1225" ht="15.75" customHeight="1">
      <c r="A1225" s="1">
        <v>1319.0</v>
      </c>
      <c r="B1225" s="3" t="s">
        <v>1204</v>
      </c>
      <c r="C1225" s="3" t="str">
        <f>IFERROR(__xludf.DUMMYFUNCTION("GOOGLETRANSLATE(B1225,""id"",""en"")"),"['bad', 'ugly', 'slow', 'sangkron', 'data', 'ODP', 'high school', 'location']")</f>
        <v>['bad', 'ugly', 'slow', 'sangkron', 'data', 'ODP', 'high school', 'location']</v>
      </c>
      <c r="D1225" s="3">
        <v>1.0</v>
      </c>
    </row>
    <row r="1226" ht="15.75" customHeight="1">
      <c r="A1226" s="1">
        <v>1320.0</v>
      </c>
      <c r="B1226" s="3" t="s">
        <v>1205</v>
      </c>
      <c r="C1226" s="3" t="str">
        <f>IFERROR(__xludf.DUMMYFUNCTION("GOOGLETRANSLATE(B1226,""id"",""en"")"),"['User', 'Indihome', 'HRUS', 'finished', 'Costs',' buy ',' package ',' internet ',' use ',' Indihome ',' light ',' joint venture ',' Terimkasih ',' Indihome ',' Success', '']")</f>
        <v>['User', 'Indihome', 'HRUS', 'finished', 'Costs',' buy ',' package ',' internet ',' use ',' Indihome ',' light ',' joint venture ',' Terimkasih ',' Indihome ',' Success', '']</v>
      </c>
      <c r="D1226" s="3">
        <v>5.0</v>
      </c>
    </row>
    <row r="1227" ht="15.75" customHeight="1">
      <c r="A1227" s="1">
        <v>1321.0</v>
      </c>
      <c r="B1227" s="3" t="s">
        <v>1206</v>
      </c>
      <c r="C1227" s="3" t="str">
        <f>IFERROR(__xludf.DUMMYFUNCTION("GOOGLETRANSLATE(B1227,""id"",""en"")"),"['Wait', 'service', 'city', 'cave', 'kick', 'thing', 'home', 'cave', 'cave', 'fooled', 'raw', 'upgrade', ' The increase ',' bills', 'ADD', 'On', 'Gus',' Activine ',' Anyway ',' Crazy ',' Sepohon ',' BUMN ', ""]")</f>
        <v>['Wait', 'service', 'city', 'cave', 'kick', 'thing', 'home', 'cave', 'cave', 'fooled', 'raw', 'upgrade', ' The increase ',' bills', 'ADD', 'On', 'Gus',' Activine ',' Anyway ',' Crazy ',' Sepohon ',' BUMN ', "]</v>
      </c>
      <c r="D1227" s="3">
        <v>1.0</v>
      </c>
    </row>
    <row r="1228" ht="15.75" customHeight="1">
      <c r="A1228" s="1">
        <v>1322.0</v>
      </c>
      <c r="B1228" s="3" t="s">
        <v>1207</v>
      </c>
      <c r="C1228" s="3" t="str">
        <f>IFERROR(__xludf.DUMMYFUNCTION("GOOGLETRANSLATE(B1228,""id"",""en"")"),"['Satisfied', 'already', 'use', 'trouble']")</f>
        <v>['Satisfied', 'already', 'use', 'trouble']</v>
      </c>
      <c r="D1228" s="3">
        <v>5.0</v>
      </c>
    </row>
    <row r="1229" ht="15.75" customHeight="1">
      <c r="A1229" s="1">
        <v>1323.0</v>
      </c>
      <c r="B1229" s="3" t="s">
        <v>1208</v>
      </c>
      <c r="C1229" s="3" t="str">
        <f>IFERROR(__xludf.DUMMYFUNCTION("GOOGLETRANSLATE(B1229,""id"",""en"")"),"['', 'Love', 'You', 'Indihome', 'Hopefully', 'Smooth', 'Network', 'Slalu', 'Good', 'Jngn']")</f>
        <v>['', 'Love', 'You', 'Indihome', 'Hopefully', 'Smooth', 'Network', 'Slalu', 'Good', 'Jngn']</v>
      </c>
      <c r="D1229" s="3">
        <v>5.0</v>
      </c>
    </row>
    <row r="1230" ht="15.75" customHeight="1">
      <c r="A1230" s="1">
        <v>1324.0</v>
      </c>
      <c r="B1230" s="3" t="s">
        <v>1209</v>
      </c>
      <c r="C1230" s="3" t="str">
        <f>IFERROR(__xludf.DUMMYFUNCTION("GOOGLETRANSLATE(B1230,""id"",""en"")"),"['best', 'compared to', 'thank you']")</f>
        <v>['best', 'compared to', 'thank you']</v>
      </c>
      <c r="D1230" s="3">
        <v>5.0</v>
      </c>
    </row>
    <row r="1231" ht="15.75" customHeight="1">
      <c r="A1231" s="1">
        <v>1326.0</v>
      </c>
      <c r="B1231" s="3" t="s">
        <v>1210</v>
      </c>
      <c r="C1231" s="3" t="str">
        <f>IFERROR(__xludf.DUMMYFUNCTION("GOOGLETRANSLATE(B1231,""id"",""en"")"),"['Download', 'Application', 'Internet', 'Mbps', 'downgrade', 'Mbps', 'application', 'Mbps', 'Changed', '']")</f>
        <v>['Download', 'Application', 'Internet', 'Mbps', 'downgrade', 'Mbps', 'application', 'Mbps', 'Changed', '']</v>
      </c>
      <c r="D1231" s="3">
        <v>5.0</v>
      </c>
    </row>
    <row r="1232" ht="15.75" customHeight="1">
      <c r="A1232" s="1">
        <v>1327.0</v>
      </c>
      <c r="B1232" s="3" t="s">
        <v>1211</v>
      </c>
      <c r="C1232" s="3" t="str">
        <f>IFERROR(__xludf.DUMMYFUNCTION("GOOGLETRANSLATE(B1232,""id"",""en"")"),"['subscribe', 'application', 'data', 'tsb', 'detected']")</f>
        <v>['subscribe', 'application', 'data', 'tsb', 'detected']</v>
      </c>
      <c r="D1232" s="3">
        <v>1.0</v>
      </c>
    </row>
    <row r="1233" ht="15.75" customHeight="1">
      <c r="A1233" s="1">
        <v>1328.0</v>
      </c>
      <c r="B1233" s="3" t="s">
        <v>1212</v>
      </c>
      <c r="C1233" s="3" t="str">
        <f>IFERROR(__xludf.DUMMYFUNCTION("GOOGLETRANSLATE(B1233,""id"",""en"")"),"['unfortunate', 'wifinya', 'fair', 'good', 'handling', 'disappointing', 'wifi', 'error', 'already', 'week', 'dateng', 'his technician', ' Already ',' NgeChat ',' his technician ',' Admenly ',' calculated ',' RB ',' wasted ',' wifinya ',' error ', ""]")</f>
        <v>['unfortunate', 'wifinya', 'fair', 'good', 'handling', 'disappointing', 'wifi', 'error', 'already', 'week', 'dateng', 'his technician', ' Already ',' NgeChat ',' his technician ',' Admenly ',' calculated ',' RB ',' wasted ',' wifinya ',' error ', "]</v>
      </c>
      <c r="D1233" s="3">
        <v>1.0</v>
      </c>
    </row>
    <row r="1234" ht="15.75" customHeight="1">
      <c r="A1234" s="1">
        <v>1329.0</v>
      </c>
      <c r="B1234" s="3" t="s">
        <v>1213</v>
      </c>
      <c r="C1234" s="3" t="str">
        <f>IFERROR(__xludf.DUMMYFUNCTION("GOOGLETRANSLATE(B1234,""id"",""en"")"),"['Good', 'Update', 'SOD', 'Loading', 'Choice', 'Package', 'appears', ""]")</f>
        <v>['Good', 'Update', 'SOD', 'Loading', 'Choice', 'Package', 'appears', "]</v>
      </c>
      <c r="D1234" s="3">
        <v>3.0</v>
      </c>
    </row>
    <row r="1235" ht="15.75" customHeight="1">
      <c r="A1235" s="1">
        <v>1330.0</v>
      </c>
      <c r="B1235" s="3" t="s">
        <v>1214</v>
      </c>
      <c r="C1235" s="3" t="str">
        <f>IFERROR(__xludf.DUMMYFUNCTION("GOOGLETRANSLATE(B1235,""id"",""en"")"),"['try', '']")</f>
        <v>['try', '']</v>
      </c>
      <c r="D1235" s="3">
        <v>5.0</v>
      </c>
    </row>
    <row r="1236" ht="15.75" customHeight="1">
      <c r="A1236" s="1">
        <v>1332.0</v>
      </c>
      <c r="B1236" s="3" t="s">
        <v>1215</v>
      </c>
      <c r="C1236" s="3" t="str">
        <f>IFERROR(__xludf.DUMMYFUNCTION("GOOGLETRANSLATE(B1236,""id"",""en"")"),"['Bad']")</f>
        <v>['Bad']</v>
      </c>
      <c r="D1236" s="3">
        <v>1.0</v>
      </c>
    </row>
    <row r="1237" ht="15.75" customHeight="1">
      <c r="A1237" s="1">
        <v>1333.0</v>
      </c>
      <c r="B1237" s="3" t="s">
        <v>1216</v>
      </c>
      <c r="C1237" s="3" t="str">
        <f>IFERROR(__xludf.DUMMYFUNCTION("GOOGLETRANSLATE(B1237,""id"",""en"")"),"['Wonder', 'knp', 'Indihome', 'Cipayung', 'off', 'yrs',' replace ',' input ',' indihome ',' active ',' Kebonpala ',' times', ' write ',' number ',' application ',' LGS ',' lost ',' tired ',' repeated ',' junior high school ',' time ',' telephone ',' junio"&amp;"r high school ',' was changed ' , 'system', 'stay', 'changed', 'manual', 'ttp', 'kog', 'ugly', 'application', 'indihome', 'stress',' mending ',' logout ',' Uninstall ',' ']")</f>
        <v>['Wonder', 'knp', 'Indihome', 'Cipayung', 'off', 'yrs',' replace ',' input ',' indihome ',' active ',' Kebonpala ',' times', ' write ',' number ',' application ',' LGS ',' lost ',' tired ',' repeated ',' junior high school ',' time ',' telephone ',' junior high school ',' was changed ' , 'system', 'stay', 'changed', 'manual', 'ttp', 'kog', 'ugly', 'application', 'indihome', 'stress',' mending ',' logout ',' Uninstall ',' ']</v>
      </c>
      <c r="D1237" s="3">
        <v>1.0</v>
      </c>
    </row>
    <row r="1238" ht="15.75" customHeight="1">
      <c r="A1238" s="1">
        <v>1334.0</v>
      </c>
      <c r="B1238" s="3" t="s">
        <v>1217</v>
      </c>
      <c r="C1238" s="3" t="str">
        <f>IFERROR(__xludf.DUMMYFUNCTION("GOOGLETRANSLATE(B1238,""id"",""en"")"),"['Package', 'Channel', 'Package', 'Pay', 'User', 'Move', 'Provider']")</f>
        <v>['Package', 'Channel', 'Package', 'Pay', 'User', 'Move', 'Provider']</v>
      </c>
      <c r="D1238" s="3">
        <v>1.0</v>
      </c>
    </row>
    <row r="1239" ht="15.75" customHeight="1">
      <c r="A1239" s="1">
        <v>1335.0</v>
      </c>
      <c r="B1239" s="3" t="s">
        <v>1218</v>
      </c>
      <c r="C1239" s="3" t="str">
        <f>IFERROR(__xludf.DUMMYFUNCTION("GOOGLETRANSLATE(B1239,""id"",""en"")"),"['INDIHOME' 'INDIHOME', 'SUCCESS', 'YAA']")</f>
        <v>['INDIHOME' 'INDIHOME', 'SUCCESS', 'YAA']</v>
      </c>
      <c r="D1239" s="3">
        <v>5.0</v>
      </c>
    </row>
    <row r="1240" ht="15.75" customHeight="1">
      <c r="A1240" s="1">
        <v>1336.0</v>
      </c>
      <c r="B1240" s="3" t="s">
        <v>1219</v>
      </c>
      <c r="C1240" s="3" t="str">
        <f>IFERROR(__xludf.DUMMYFUNCTION("GOOGLETRANSLATE(B1240,""id"",""en"")"),"['application', 'good', 'useful', 'payment', 'subscription', 'check', 'payment', 'fall', 'tempo', 'data', 'per month', 'forget', ' Excellence ',' Application ',' Indihome ',' Application ',' Useful ',' Customer ',' Indihome ']")</f>
        <v>['application', 'good', 'useful', 'payment', 'subscription', 'check', 'payment', 'fall', 'tempo', 'data', 'per month', 'forget', ' Excellence ',' Application ',' Indihome ',' Application ',' Useful ',' Customer ',' Indihome ']</v>
      </c>
      <c r="D1240" s="3">
        <v>5.0</v>
      </c>
    </row>
    <row r="1241" ht="15.75" customHeight="1">
      <c r="A1241" s="1">
        <v>1337.0</v>
      </c>
      <c r="B1241" s="3" t="s">
        <v>1220</v>
      </c>
      <c r="C1241" s="3" t="str">
        <f>IFERROR(__xludf.DUMMYFUNCTION("GOOGLETRANSLATE(B1241,""id"",""en"")"),"['Application', 'version', 'newest', 'good', 'easy', 'mind', 'bill', 'user', 'connected', 'wifi', 'use', 'wifi', ' Alhamdulillah ',' wifi ',' indihome ',' at home ',' rare ',' obstacle ',' ']")</f>
        <v>['Application', 'version', 'newest', 'good', 'easy', 'mind', 'bill', 'user', 'connected', 'wifi', 'use', 'wifi', ' Alhamdulillah ',' wifi ',' indihome ',' at home ',' rare ',' obstacle ',' ']</v>
      </c>
      <c r="D1241" s="3">
        <v>5.0</v>
      </c>
    </row>
    <row r="1242" ht="15.75" customHeight="1">
      <c r="A1242" s="1">
        <v>1338.0</v>
      </c>
      <c r="B1242" s="3" t="s">
        <v>1221</v>
      </c>
      <c r="C1242" s="3" t="str">
        <f>IFERROR(__xludf.DUMMYFUNCTION("GOOGLETRANSLATE(B1242,""id"",""en"")"),"['The opportunity', 'update', 'the latest', 'cool', 'hope', 'perfect', 'the application', '']")</f>
        <v>['The opportunity', 'update', 'the latest', 'cool', 'hope', 'perfect', 'the application', '']</v>
      </c>
      <c r="D1242" s="3">
        <v>4.0</v>
      </c>
    </row>
    <row r="1243" ht="15.75" customHeight="1">
      <c r="A1243" s="1">
        <v>1339.0</v>
      </c>
      <c r="B1243" s="3" t="s">
        <v>1222</v>
      </c>
      <c r="C1243" s="3" t="str">
        <f>IFERROR(__xludf.DUMMYFUNCTION("GOOGLETRANSLATE(B1243,""id"",""en"")"),"['', 'Indi', 'Putie', 'pling', 'okay', 'servant', 'satisfying', 'success']")</f>
        <v>['', 'Indi', 'Putie', 'pling', 'okay', 'servant', 'satisfying', 'success']</v>
      </c>
      <c r="D1243" s="3">
        <v>5.0</v>
      </c>
    </row>
    <row r="1244" ht="15.75" customHeight="1">
      <c r="A1244" s="1">
        <v>1340.0</v>
      </c>
      <c r="B1244" s="3" t="s">
        <v>1223</v>
      </c>
      <c r="C1244" s="3" t="str">
        <f>IFERROR(__xludf.DUMMYFUNCTION("GOOGLETRANSLATE(B1244,""id"",""en"")"),"['Star', 'Talk']")</f>
        <v>['Star', 'Talk']</v>
      </c>
      <c r="D1244" s="3">
        <v>5.0</v>
      </c>
    </row>
    <row r="1245" ht="15.75" customHeight="1">
      <c r="A1245" s="1">
        <v>1341.0</v>
      </c>
      <c r="B1245" s="3" t="s">
        <v>1224</v>
      </c>
      <c r="C1245" s="3" t="str">
        <f>IFERROR(__xludf.DUMMYFUNCTION("GOOGLETRANSLATE(B1245,""id"",""en"")"),"['Vulanx', 'payment', 'increases', 'agreement', 'mhn', 'explanation']")</f>
        <v>['Vulanx', 'payment', 'increases', 'agreement', 'mhn', 'explanation']</v>
      </c>
      <c r="D1245" s="3">
        <v>5.0</v>
      </c>
    </row>
    <row r="1246" ht="15.75" customHeight="1">
      <c r="A1246" s="1">
        <v>1342.0</v>
      </c>
      <c r="B1246" s="3" t="s">
        <v>1225</v>
      </c>
      <c r="C1246" s="3" t="str">
        <f>IFERROR(__xludf.DUMMYFUNCTION("GOOGLETRANSLATE(B1246,""id"",""en"")"),"['Useful', 'really', 'outra', 'Sales',' Alesan ',' Tel ',' activation ',' device ',' mah ',' already ',' installed ',' pay ',' activation ',' Ampe ',' weeks', 'week', 'Gosha', 'service', 'Kampreeet', 'really', 'love', 'nopel', 'please', 'unplug', 'device'"&amp;" , 'job', 'BUMN', 'Nerima', 'Employee', 'Sales']")</f>
        <v>['Useful', 'really', 'outra', 'Sales',' Alesan ',' Tel ',' activation ',' device ',' mah ',' already ',' installed ',' pay ',' activation ',' Ampe ',' weeks', 'week', 'Gosha', 'service', 'Kampreeet', 'really', 'love', 'nopel', 'please', 'unplug', 'device' , 'job', 'BUMN', 'Nerima', 'Employee', 'Sales']</v>
      </c>
      <c r="D1246" s="3">
        <v>1.0</v>
      </c>
    </row>
    <row r="1247" ht="15.75" customHeight="1">
      <c r="A1247" s="1">
        <v>1343.0</v>
      </c>
      <c r="B1247" s="3" t="s">
        <v>1226</v>
      </c>
      <c r="C1247" s="3" t="str">
        <f>IFERROR(__xludf.DUMMYFUNCTION("GOOGLETRANSLATE(B1247,""id"",""en"")"),"['Network', 'slow', 'stable', '']")</f>
        <v>['Network', 'slow', 'stable', '']</v>
      </c>
      <c r="D1247" s="3">
        <v>3.0</v>
      </c>
    </row>
    <row r="1248" ht="15.75" customHeight="1">
      <c r="A1248" s="1">
        <v>1344.0</v>
      </c>
      <c r="B1248" s="3" t="s">
        <v>1227</v>
      </c>
      <c r="C1248" s="3" t="str">
        <f>IFERROR(__xludf.DUMMYFUNCTION("GOOGLETRANSLATE(B1248,""id"",""en"")"),"['enter', 'number', 'Indihome', 'reason', 'number', 'found', 'how', 'solution', 'min', ""]")</f>
        <v>['enter', 'number', 'Indihome', 'reason', 'number', 'found', 'how', 'solution', 'min', "]</v>
      </c>
      <c r="D1248" s="3">
        <v>1.0</v>
      </c>
    </row>
    <row r="1249" ht="15.75" customHeight="1">
      <c r="A1249" s="1">
        <v>1345.0</v>
      </c>
      <c r="B1249" s="3" t="s">
        <v>1228</v>
      </c>
      <c r="C1249" s="3" t="str">
        <f>IFERROR(__xludf.DUMMYFUNCTION("GOOGLETRANSLATE(B1249,""id"",""en"")"),"['Mendelek', 'really', 'use', 'Indihome', 'oath', 'ngelek', 'already', 'pay']")</f>
        <v>['Mendelek', 'really', 'use', 'Indihome', 'oath', 'ngelek', 'already', 'pay']</v>
      </c>
      <c r="D1249" s="3">
        <v>1.0</v>
      </c>
    </row>
    <row r="1250" ht="15.75" customHeight="1">
      <c r="A1250" s="1">
        <v>1346.0</v>
      </c>
      <c r="B1250" s="3" t="s">
        <v>1229</v>
      </c>
      <c r="C1250" s="3" t="str">
        <f>IFERROR(__xludf.DUMMYFUNCTION("GOOGLETRANSLATE(B1250,""id"",""en"")"),"['Ngeleag', 'bet', 'times', 'make', 'indihome', 'make', 'just', 'person', '']")</f>
        <v>['Ngeleag', 'bet', 'times', 'make', 'indihome', 'make', 'just', 'person', '']</v>
      </c>
      <c r="D1250" s="3">
        <v>1.0</v>
      </c>
    </row>
    <row r="1251" ht="15.75" customHeight="1">
      <c r="A1251" s="1">
        <v>1347.0</v>
      </c>
      <c r="B1251" s="3" t="s">
        <v>1230</v>
      </c>
      <c r="C1251" s="3" t="str">
        <f>IFERROR(__xludf.DUMMYFUNCTION("GOOGLETRANSLATE(B1251,""id"",""en"")"),"['Josss', '']")</f>
        <v>['Josss', '']</v>
      </c>
      <c r="D1251" s="3">
        <v>5.0</v>
      </c>
    </row>
    <row r="1252" ht="15.75" customHeight="1">
      <c r="A1252" s="1">
        <v>1348.0</v>
      </c>
      <c r="B1252" s="3" t="s">
        <v>1231</v>
      </c>
      <c r="C1252" s="3" t="str">
        <f>IFERROR(__xludf.DUMMYFUNCTION("GOOGLETRANSLATE(B1252,""id"",""en"")"),"['Prioritious', 'comfort', 'users', 'best']")</f>
        <v>['Prioritious', 'comfort', 'users', 'best']</v>
      </c>
      <c r="D1252" s="3">
        <v>5.0</v>
      </c>
    </row>
    <row r="1253" ht="15.75" customHeight="1">
      <c r="A1253" s="1">
        <v>1349.0</v>
      </c>
      <c r="B1253" s="3" t="s">
        <v>1232</v>
      </c>
      <c r="C1253" s="3" t="str">
        <f>IFERROR(__xludf.DUMMYFUNCTION("GOOGLETRANSLATE(B1253,""id"",""en"")"),"['PERFEC', 'App', 'comment', 'Ustony', 'Try', 'Lighty', 'Application', 'Sometimes',' Bug ',' Application ',' Heavy ',' Success', ' Tekom ',' ']")</f>
        <v>['PERFEC', 'App', 'comment', 'Ustony', 'Try', 'Lighty', 'Application', 'Sometimes',' Bug ',' Application ',' Heavy ',' Success', ' Tekom ',' ']</v>
      </c>
      <c r="D1253" s="3">
        <v>5.0</v>
      </c>
    </row>
    <row r="1254" ht="15.75" customHeight="1">
      <c r="A1254" s="1">
        <v>1350.0</v>
      </c>
      <c r="B1254" s="3" t="s">
        <v>1233</v>
      </c>
      <c r="C1254" s="3" t="str">
        <f>IFERROR(__xludf.DUMMYFUNCTION("GOOGLETRANSLATE(B1254,""id"",""en"")"),"['Real', 'bad', 'service', 'internet', 'DRMH', 'Sya', 'die', 'NLP', 'times',' report ',' pngaduan ',' myindihome ',' Results', 'nil', 'late', 'pay', 'fine', 'turn', 'disorder', 'direct', 'response', ""]")</f>
        <v>['Real', 'bad', 'service', 'internet', 'DRMH', 'Sya', 'die', 'NLP', 'times',' report ',' pngaduan ',' myindihome ',' Results', 'nil', 'late', 'pay', 'fine', 'turn', 'disorder', 'direct', 'response', "]</v>
      </c>
      <c r="D1254" s="3">
        <v>1.0</v>
      </c>
    </row>
    <row r="1255" ht="15.75" customHeight="1">
      <c r="A1255" s="1">
        <v>1351.0</v>
      </c>
      <c r="B1255" s="3" t="s">
        <v>1234</v>
      </c>
      <c r="C1255" s="3" t="str">
        <f>IFERROR(__xludf.DUMMYFUNCTION("GOOGLETRANSLATE(B1255,""id"",""en"")"),"['application', 'defective', 'subscribe', 'indiehome', 'login']")</f>
        <v>['application', 'defective', 'subscribe', 'indiehome', 'login']</v>
      </c>
      <c r="D1255" s="3">
        <v>1.0</v>
      </c>
    </row>
    <row r="1256" ht="15.75" customHeight="1">
      <c r="A1256" s="1">
        <v>1352.0</v>
      </c>
      <c r="B1256" s="3" t="s">
        <v>1235</v>
      </c>
      <c r="C1256" s="3" t="str">
        <f>IFERROR(__xludf.DUMMYFUNCTION("GOOGLETRANSLATE(B1256,""id"",""en"")"),"['Alhamdulillah', 'login', 'according to', 'promise', 'love', 'star', 'hope', 'the application', 'good', ""]")</f>
        <v>['Alhamdulillah', 'login', 'according to', 'promise', 'love', 'star', 'hope', 'the application', 'good', "]</v>
      </c>
      <c r="D1256" s="3">
        <v>5.0</v>
      </c>
    </row>
    <row r="1257" ht="15.75" customHeight="1">
      <c r="A1257" s="1">
        <v>1353.0</v>
      </c>
      <c r="B1257" s="3" t="s">
        <v>1236</v>
      </c>
      <c r="C1257" s="3" t="str">
        <f>IFERROR(__xludf.DUMMYFUNCTION("GOOGLETRANSLATE(B1257,""id"",""en"")"),"['Actually', 'Sinyal', 'RAM', 'Times',' Maen ',' Mobeletot ',' Ngelag ',' Naek ',' Pay ',' Expensive ',' Ngelag ',' Doank ',' Mending ',' down ',' price ']")</f>
        <v>['Actually', 'Sinyal', 'RAM', 'Times',' Maen ',' Mobeletot ',' Ngelag ',' Naek ',' Pay ',' Expensive ',' Ngelag ',' Doank ',' Mending ',' down ',' price ']</v>
      </c>
      <c r="D1257" s="3">
        <v>1.0</v>
      </c>
    </row>
    <row r="1258" ht="15.75" customHeight="1">
      <c r="A1258" s="1">
        <v>1354.0</v>
      </c>
      <c r="B1258" s="3" t="s">
        <v>1237</v>
      </c>
      <c r="C1258" s="3" t="str">
        <f>IFERROR(__xludf.DUMMYFUNCTION("GOOGLETRANSLATE(B1258,""id"",""en"")"),"['Since', 'Upgrade', 'Application', 'Version', 'Easy', 'Pain']")</f>
        <v>['Since', 'Upgrade', 'Application', 'Version', 'Easy', 'Pain']</v>
      </c>
      <c r="D1258" s="3">
        <v>1.0</v>
      </c>
    </row>
    <row r="1259" ht="15.75" customHeight="1">
      <c r="A1259" s="1">
        <v>1355.0</v>
      </c>
      <c r="B1259" s="3" t="s">
        <v>1238</v>
      </c>
      <c r="C1259" s="3" t="str">
        <f>IFERROR(__xludf.DUMMYFUNCTION("GOOGLETRANSLATE(B1259,""id"",""en"")"),"['Update', 'Login', 'OTP', 'Account', 'Verify', 'Account', 'Shifted', 'Account', 'Registration', 'Feature', 'Myindihome']")</f>
        <v>['Update', 'Login', 'OTP', 'Account', 'Verify', 'Account', 'Shifted', 'Account', 'Registration', 'Feature', 'Myindihome']</v>
      </c>
      <c r="D1259" s="3">
        <v>1.0</v>
      </c>
    </row>
    <row r="1260" ht="15.75" customHeight="1">
      <c r="A1260" s="1">
        <v>1356.0</v>
      </c>
      <c r="B1260" s="3" t="s">
        <v>1239</v>
      </c>
      <c r="C1260" s="3" t="str">
        <f>IFERROR(__xludf.DUMMYFUNCTION("GOOGLETRANSLATE(B1260,""id"",""en"")"),"['renew']")</f>
        <v>['renew']</v>
      </c>
      <c r="D1260" s="3">
        <v>3.0</v>
      </c>
    </row>
    <row r="1261" ht="15.75" customHeight="1">
      <c r="A1261" s="1">
        <v>1358.0</v>
      </c>
      <c r="B1261" s="3" t="s">
        <v>1240</v>
      </c>
      <c r="C1261" s="3" t="str">
        <f>IFERROR(__xludf.DUMMYFUNCTION("GOOGLETRANSLATE(B1261,""id"",""en"")"),"['Belanggan', 'Indihome', 'smooth', 'NetworkX']")</f>
        <v>['Belanggan', 'Indihome', 'smooth', 'NetworkX']</v>
      </c>
      <c r="D1261" s="3">
        <v>5.0</v>
      </c>
    </row>
    <row r="1262" ht="15.75" customHeight="1">
      <c r="A1262" s="1">
        <v>1359.0</v>
      </c>
      <c r="B1262" s="3" t="s">
        <v>1241</v>
      </c>
      <c r="C1262" s="3" t="str">
        <f>IFERROR(__xludf.DUMMYFUNCTION("GOOGLETRANSLATE(B1262,""id"",""en"")"),"['Hopefully', 'In the future', 'Satisfied', 'Indihome']")</f>
        <v>['Hopefully', 'In the future', 'Satisfied', 'Indihome']</v>
      </c>
      <c r="D1262" s="3">
        <v>5.0</v>
      </c>
    </row>
    <row r="1263" ht="15.75" customHeight="1">
      <c r="A1263" s="1">
        <v>1360.0</v>
      </c>
      <c r="B1263" s="3" t="s">
        <v>1242</v>
      </c>
      <c r="C1263" s="3" t="str">
        <f>IFERROR(__xludf.DUMMYFUNCTION("GOOGLETRANSLATE(B1263,""id"",""en"")"),"['Really', 'satisfying', 'network', 'smooth', 'service']")</f>
        <v>['Really', 'satisfying', 'network', 'smooth', 'service']</v>
      </c>
      <c r="D1263" s="3">
        <v>5.0</v>
      </c>
    </row>
    <row r="1264" ht="15.75" customHeight="1">
      <c r="A1264" s="1">
        <v>1361.0</v>
      </c>
      <c r="B1264" s="3" t="s">
        <v>1243</v>
      </c>
      <c r="C1264" s="3" t="str">
        <f>IFERROR(__xludf.DUMMYFUNCTION("GOOGLETRANSLATE(B1264,""id"",""en"")"),"['update', 'newest', 'features', 'complete', 'promo', '']")</f>
        <v>['update', 'newest', 'features', 'complete', 'promo', '']</v>
      </c>
      <c r="D1264" s="3">
        <v>5.0</v>
      </c>
    </row>
    <row r="1265" ht="15.75" customHeight="1">
      <c r="A1265" s="1">
        <v>1362.0</v>
      </c>
      <c r="B1265" s="3" t="s">
        <v>1244</v>
      </c>
      <c r="C1265" s="3" t="str">
        <f>IFERROR(__xludf.DUMMYFUNCTION("GOOGLETRANSLATE(B1265,""id"",""en"")"),"['bad', 'minipack', 'useetv', 'home', 'watch', 'minipack', 'useetv', 'subscription', 'unsubscribe', 'lwt', 'myindihome', 'verification', ' Verification ',' Receiving ',' Notification ',' Allow ',' Allow ',' Change ',' Data ',' Verification ',' System ',' "&amp;"Read ',' Use ',' Account ',' I mean ' , 'plow', 'unsubscribe', '']")</f>
        <v>['bad', 'minipack', 'useetv', 'home', 'watch', 'minipack', 'useetv', 'subscription', 'unsubscribe', 'lwt', 'myindihome', 'verification', ' Verification ',' Receiving ',' Notification ',' Allow ',' Allow ',' Change ',' Data ',' Verification ',' System ',' Read ',' Use ',' Account ',' I mean ' , 'plow', 'unsubscribe', '']</v>
      </c>
      <c r="D1265" s="3">
        <v>1.0</v>
      </c>
    </row>
    <row r="1266" ht="15.75" customHeight="1">
      <c r="A1266" s="1">
        <v>1363.0</v>
      </c>
      <c r="B1266" s="3" t="s">
        <v>1245</v>
      </c>
      <c r="C1266" s="3" t="str">
        <f>IFERROR(__xludf.DUMMYFUNCTION("GOOGLETRANSLATE(B1266,""id"",""en"")"),"['Indosiar', 'Paid', 'Karna', 'league', 'must', 'payroll', 'again', 'andin', 'freesss', 'verytt', 'disappointing']")</f>
        <v>['Indosiar', 'Paid', 'Karna', 'league', 'must', 'payroll', 'again', 'andin', 'freesss', 'verytt', 'disappointing']</v>
      </c>
      <c r="D1266" s="3">
        <v>1.0</v>
      </c>
    </row>
    <row r="1267" ht="15.75" customHeight="1">
      <c r="A1267" s="1">
        <v>1364.0</v>
      </c>
      <c r="B1267" s="3" t="s">
        <v>1246</v>
      </c>
      <c r="C1267" s="3" t="str">
        <f>IFERROR(__xludf.DUMMYFUNCTION("GOOGLETRANSLATE(B1267,""id"",""en"")"),"['response', 'fast', 'technician', 'help', 'increase', 'service', 'primanya', '']")</f>
        <v>['response', 'fast', 'technician', 'help', 'increase', 'service', 'primanya', '']</v>
      </c>
      <c r="D1267" s="3">
        <v>5.0</v>
      </c>
    </row>
    <row r="1268" ht="15.75" customHeight="1">
      <c r="A1268" s="1">
        <v>1365.0</v>
      </c>
      <c r="B1268" s="3" t="s">
        <v>1247</v>
      </c>
      <c r="C1268" s="3" t="str">
        <f>IFERROR(__xludf.DUMMYFUNCTION("GOOGLETRANSLATE(B1268,""id"",""en"")"),"['Updete', 'Application', 'Complete', 'Simple']")</f>
        <v>['Updete', 'Application', 'Complete', 'Simple']</v>
      </c>
      <c r="D1268" s="3">
        <v>5.0</v>
      </c>
    </row>
    <row r="1269" ht="15.75" customHeight="1">
      <c r="A1269" s="1">
        <v>1366.0</v>
      </c>
      <c r="B1269" s="3" t="s">
        <v>1248</v>
      </c>
      <c r="C1269" s="3" t="str">
        <f>IFERROR(__xludf.DUMMYFUNCTION("GOOGLETRANSLATE(B1269,""id"",""en"")"),"['Help', 'promo', 'update', 'point', 'August', 'September', 'update', ""]")</f>
        <v>['Help', 'promo', 'update', 'point', 'August', 'September', 'update', "]</v>
      </c>
      <c r="D1269" s="3">
        <v>5.0</v>
      </c>
    </row>
    <row r="1270" ht="15.75" customHeight="1">
      <c r="A1270" s="1">
        <v>1367.0</v>
      </c>
      <c r="B1270" s="3" t="s">
        <v>1249</v>
      </c>
      <c r="C1270" s="3" t="str">
        <f>IFERROR(__xludf.DUMMYFUNCTION("GOOGLETRANSLATE(B1270,""id"",""en"")"),"['easy', 'understandable', 'usage', 'mantaav']")</f>
        <v>['easy', 'understandable', 'usage', 'mantaav']</v>
      </c>
      <c r="D1270" s="3">
        <v>5.0</v>
      </c>
    </row>
    <row r="1271" ht="15.75" customHeight="1">
      <c r="A1271" s="1">
        <v>1368.0</v>
      </c>
      <c r="B1271" s="3" t="s">
        <v>1250</v>
      </c>
      <c r="C1271" s="3" t="str">
        <f>IFERROR(__xludf.DUMMYFUNCTION("GOOGLETRANSLATE(B1271,""id"",""en"")"),"['Nce']")</f>
        <v>['Nce']</v>
      </c>
      <c r="D1271" s="3">
        <v>5.0</v>
      </c>
    </row>
    <row r="1272" ht="15.75" customHeight="1">
      <c r="A1272" s="1">
        <v>1369.0</v>
      </c>
      <c r="B1272" s="3" t="s">
        <v>1251</v>
      </c>
      <c r="C1272" s="3" t="str">
        <f>IFERROR(__xludf.DUMMYFUNCTION("GOOGLETRANSLATE(B1272,""id"",""en"")"),"['Parahh', 'Change']")</f>
        <v>['Parahh', 'Change']</v>
      </c>
      <c r="D1272" s="3">
        <v>1.0</v>
      </c>
    </row>
    <row r="1273" ht="15.75" customHeight="1">
      <c r="A1273" s="1">
        <v>1370.0</v>
      </c>
      <c r="B1273" s="3" t="s">
        <v>1252</v>
      </c>
      <c r="C1273" s="3" t="str">
        <f>IFERROR(__xludf.DUMMYFUNCTION("GOOGLETRANSLATE(B1273,""id"",""en"")"),"['Jaringn', 'ugly', 'wifi']")</f>
        <v>['Jaringn', 'ugly', 'wifi']</v>
      </c>
      <c r="D1273" s="3">
        <v>1.0</v>
      </c>
    </row>
    <row r="1274" ht="15.75" customHeight="1">
      <c r="A1274" s="1">
        <v>1371.0</v>
      </c>
      <c r="B1274" s="3" t="s">
        <v>1253</v>
      </c>
      <c r="C1274" s="3" t="str">
        <f>IFERROR(__xludf.DUMMYFUNCTION("GOOGLETRANSLATE(B1274,""id"",""en"")"),"['Report', 'Indihome', 'Tel', 'Many', 'Wait', 'Technician', 'Morning', 'Night', 'The result', 'Zonk', 'school', 'home', ' Wait ',' night ',' process', 'synchronization', 'ANBK', 'school', 'problematic', 'hope', 'indihome', 'responsible', 'student', 'exam'"&amp;", 'ride' , 'school', '']")</f>
        <v>['Report', 'Indihome', 'Tel', 'Many', 'Wait', 'Technician', 'Morning', 'Night', 'The result', 'Zonk', 'school', 'home', ' Wait ',' night ',' process', 'synchronization', 'ANBK', 'school', 'problematic', 'hope', 'indihome', 'responsible', 'student', 'exam', 'ride' , 'school', '']</v>
      </c>
      <c r="D1274" s="3">
        <v>1.0</v>
      </c>
    </row>
    <row r="1275" ht="15.75" customHeight="1">
      <c r="A1275" s="1">
        <v>1374.0</v>
      </c>
      <c r="B1275" s="3" t="s">
        <v>1254</v>
      </c>
      <c r="C1275" s="3" t="str">
        <f>IFERROR(__xludf.DUMMYFUNCTION("GOOGLETRANSLATE(B1275,""id"",""en"")"),"['method', 'payment', 'limited', 'complete']")</f>
        <v>['method', 'payment', 'limited', 'complete']</v>
      </c>
      <c r="D1275" s="3">
        <v>1.0</v>
      </c>
    </row>
    <row r="1276" ht="15.75" customHeight="1">
      <c r="A1276" s="1">
        <v>1376.0</v>
      </c>
      <c r="B1276" s="3" t="s">
        <v>1255</v>
      </c>
      <c r="C1276" s="3" t="str">
        <f>IFERROR(__xludf.DUMMYFUNCTION("GOOGLETRANSLATE(B1276,""id"",""en"")"),"['Application', 'the latest', 'The', 'Bestttt', 'already', 'slow', 'slow', 'kerennnnnn']")</f>
        <v>['Application', 'the latest', 'The', 'Bestttt', 'already', 'slow', 'slow', 'kerennnnnn']</v>
      </c>
      <c r="D1276" s="3">
        <v>5.0</v>
      </c>
    </row>
    <row r="1277" ht="15.75" customHeight="1">
      <c r="A1277" s="1">
        <v>1377.0</v>
      </c>
      <c r="B1277" s="3" t="s">
        <v>1256</v>
      </c>
      <c r="C1277" s="3" t="str">
        <f>IFERROR(__xludf.DUMMYFUNCTION("GOOGLETRANSLATE(B1277,""id"",""en"")"),"['Apikasi']")</f>
        <v>['Apikasi']</v>
      </c>
      <c r="D1277" s="3">
        <v>1.0</v>
      </c>
    </row>
    <row r="1278" ht="15.75" customHeight="1">
      <c r="A1278" s="1">
        <v>1378.0</v>
      </c>
      <c r="B1278" s="3" t="s">
        <v>1257</v>
      </c>
      <c r="C1278" s="3" t="str">
        <f>IFERROR(__xludf.DUMMYFUNCTION("GOOGLETRANSLATE(B1278,""id"",""en"")"),"['update', 'version', 'in my opinion', 'improvement', 'speed', 'processing', 'application', 'error', 'resolved', 'design', 'interface', 'change', ' Friendly ',' Addition ',' Features', 'History', 'Points']")</f>
        <v>['update', 'version', 'in my opinion', 'improvement', 'speed', 'processing', 'application', 'error', 'resolved', 'design', 'interface', 'change', ' Friendly ',' Addition ',' Features', 'History', 'Points']</v>
      </c>
      <c r="D1278" s="3">
        <v>5.0</v>
      </c>
    </row>
    <row r="1279" ht="15.75" customHeight="1">
      <c r="A1279" s="1">
        <v>1379.0</v>
      </c>
      <c r="B1279" s="3" t="s">
        <v>1258</v>
      </c>
      <c r="C1279" s="3" t="str">
        <f>IFERROR(__xludf.DUMMYFUNCTION("GOOGLETRANSLATE(B1279,""id"",""en"")"),"['App', 'update']")</f>
        <v>['App', 'update']</v>
      </c>
      <c r="D1279" s="3">
        <v>5.0</v>
      </c>
    </row>
    <row r="1280" ht="15.75" customHeight="1">
      <c r="A1280" s="1">
        <v>1380.0</v>
      </c>
      <c r="B1280" s="3" t="s">
        <v>1259</v>
      </c>
      <c r="C1280" s="3" t="str">
        <f>IFERROR(__xludf.DUMMYFUNCTION("GOOGLETRANSLATE(B1280,""id"",""en"")"),"['Indihome', 'The', 'Best', 'Anyway', 'Service', 'Fast', 'Easy', 'Jaya', 'Indihome', ""]")</f>
        <v>['Indihome', 'The', 'Best', 'Anyway', 'Service', 'Fast', 'Easy', 'Jaya', 'Indihome', "]</v>
      </c>
      <c r="D1280" s="3">
        <v>5.0</v>
      </c>
    </row>
    <row r="1281" ht="15.75" customHeight="1">
      <c r="A1281" s="1">
        <v>1381.0</v>
      </c>
      <c r="B1281" s="3" t="s">
        <v>1260</v>
      </c>
      <c r="C1281" s="3" t="str">
        <f>IFERROR(__xludf.DUMMYFUNCTION("GOOGLETRANSLATE(B1281,""id"",""en"")"),"['Help', 'really', 'season', 'online']")</f>
        <v>['Help', 'really', 'season', 'online']</v>
      </c>
      <c r="D1281" s="3">
        <v>5.0</v>
      </c>
    </row>
    <row r="1282" ht="15.75" customHeight="1">
      <c r="A1282" s="1">
        <v>1382.0</v>
      </c>
      <c r="B1282" s="3" t="s">
        <v>1261</v>
      </c>
      <c r="C1282" s="3" t="str">
        <f>IFERROR(__xludf.DUMMYFUNCTION("GOOGLETRANSLATE(B1282,""id"",""en"")"),"['Anjaiiiilaah', 'Bener', 'disappointing', 'handling', 'slow', 'loss', 'pay', 'expensive', ""]")</f>
        <v>['Anjaiiiilaah', 'Bener', 'disappointing', 'handling', 'slow', 'loss', 'pay', 'expensive', "]</v>
      </c>
      <c r="D1282" s="3">
        <v>1.0</v>
      </c>
    </row>
    <row r="1283" ht="15.75" customHeight="1">
      <c r="A1283" s="1">
        <v>1383.0</v>
      </c>
      <c r="B1283" s="3" t="s">
        <v>1262</v>
      </c>
      <c r="C1283" s="3" t="str">
        <f>IFERROR(__xludf.DUMMYFUNCTION("GOOGLETRANSLATE(B1283,""id"",""en"")"),"['Believe', 'Deh', 'Mending', 'Gausah', 'Download', 'Application', 'Lacking', 'Loading', 'Strange', 'Looks',' Troubled ',' Complaint ',' Internet ',' error ',' Twitter ',' fast ',' suggestion ', ""]")</f>
        <v>['Believe', 'Deh', 'Mending', 'Gausah', 'Download', 'Application', 'Lacking', 'Loading', 'Strange', 'Looks',' Troubled ',' Complaint ',' Internet ',' error ',' Twitter ',' fast ',' suggestion ', "]</v>
      </c>
      <c r="D1283" s="3">
        <v>1.0</v>
      </c>
    </row>
    <row r="1284" ht="15.75" customHeight="1">
      <c r="A1284" s="1">
        <v>1384.0</v>
      </c>
      <c r="B1284" s="3" t="s">
        <v>1263</v>
      </c>
      <c r="C1284" s="3" t="str">
        <f>IFERROR(__xludf.DUMMYFUNCTION("GOOGLETRANSLATE(B1284,""id"",""en"")"),"['Service', 'bad', 'clear', 'delete', 'apk', 'closed', 'office', 'ush', 'operation', 'lgiiiii', 'asuuuu']")</f>
        <v>['Service', 'bad', 'clear', 'delete', 'apk', 'closed', 'office', 'ush', 'operation', 'lgiiiii', 'asuuuu']</v>
      </c>
      <c r="D1284" s="3">
        <v>1.0</v>
      </c>
    </row>
    <row r="1285" ht="15.75" customHeight="1">
      <c r="A1285" s="1">
        <v>1385.0</v>
      </c>
      <c r="B1285" s="3" t="s">
        <v>1264</v>
      </c>
      <c r="C1285" s="3" t="str">
        <f>IFERROR(__xludf.DUMMYFUNCTION("GOOGLETRANSLATE(B1285,""id"",""en"")"),"['entry', 'application', 'screen', 'blank', 'white', 'tried', 'log', 'out', 'uninstall', 'errorrrrrr']")</f>
        <v>['entry', 'application', 'screen', 'blank', 'white', 'tried', 'log', 'out', 'uninstall', 'errorrrrrr']</v>
      </c>
      <c r="D1285" s="3">
        <v>3.0</v>
      </c>
    </row>
    <row r="1286" ht="15.75" customHeight="1">
      <c r="A1286" s="1">
        <v>1386.0</v>
      </c>
      <c r="B1286" s="3" t="s">
        <v>1265</v>
      </c>
      <c r="C1286" s="3" t="str">
        <f>IFERROR(__xludf.DUMMYFUNCTION("GOOGLETRANSLATE(B1286,""id"",""en"")"),"['subscribe', 'Indihome', 'smooth', 'connection', 'network', 'obstacle', 'direct', 'reported', 'handling', 'fast', 'thank', 'love']")</f>
        <v>['subscribe', 'Indihome', 'smooth', 'connection', 'network', 'obstacle', 'direct', 'reported', 'handling', 'fast', 'thank', 'love']</v>
      </c>
      <c r="D1286" s="3">
        <v>5.0</v>
      </c>
    </row>
    <row r="1287" ht="15.75" customHeight="1">
      <c r="A1287" s="1">
        <v>1388.0</v>
      </c>
      <c r="B1287" s="3" t="s">
        <v>1266</v>
      </c>
      <c r="C1287" s="3" t="str">
        <f>IFERROR(__xludf.DUMMYFUNCTION("GOOGLETRANSLATE(B1287,""id"",""en"")"),"['mantapp', 'easy']")</f>
        <v>['mantapp', 'easy']</v>
      </c>
      <c r="D1287" s="3">
        <v>5.0</v>
      </c>
    </row>
    <row r="1288" ht="15.75" customHeight="1">
      <c r="A1288" s="1">
        <v>1389.0</v>
      </c>
      <c r="B1288" s="3" t="s">
        <v>1267</v>
      </c>
      <c r="C1288" s="3" t="str">
        <f>IFERROR(__xludf.DUMMYFUNCTION("GOOGLETRANSLATE(B1288,""id"",""en"")"),"['apps',' stupid ',' apps', 'apps',' list ',' number ',' bills', 'apps',' just ',' list ',' number ',' bill ',' Register ',' Login ',' Number ',' Bill ',' Downgrade ',' Make ',' Simple ',' ']")</f>
        <v>['apps',' stupid ',' apps', 'apps',' list ',' number ',' bills', 'apps',' just ',' list ',' number ',' bill ',' Register ',' Login ',' Number ',' Bill ',' Downgrade ',' Make ',' Simple ',' ']</v>
      </c>
      <c r="D1288" s="3">
        <v>1.0</v>
      </c>
    </row>
    <row r="1289" ht="15.75" customHeight="1">
      <c r="A1289" s="1">
        <v>1391.0</v>
      </c>
      <c r="B1289" s="3" t="s">
        <v>1268</v>
      </c>
      <c r="C1289" s="3" t="str">
        <f>IFERROR(__xludf.DUMMYFUNCTION("GOOGLETRANSLATE(B1289,""id"",""en"")"),"['Application', 'Cool', 'Check', 'Bill', 'Upgrade', 'Speed', 'Grasp', 'Hand']")</f>
        <v>['Application', 'Cool', 'Check', 'Bill', 'Upgrade', 'Speed', 'Grasp', 'Hand']</v>
      </c>
      <c r="D1289" s="3">
        <v>5.0</v>
      </c>
    </row>
    <row r="1290" ht="15.75" customHeight="1">
      <c r="A1290" s="1">
        <v>1392.0</v>
      </c>
      <c r="B1290" s="3" t="s">
        <v>1269</v>
      </c>
      <c r="C1290" s="3" t="str">
        <f>IFERROR(__xludf.DUMMYFUNCTION("GOOGLETRANSLATE(B1290,""id"",""en"")"),"['easy', 'see', 'number', 'indihome']")</f>
        <v>['easy', 'see', 'number', 'indihome']</v>
      </c>
      <c r="D1290" s="3">
        <v>5.0</v>
      </c>
    </row>
    <row r="1291" ht="15.75" customHeight="1">
      <c r="A1291" s="1">
        <v>1393.0</v>
      </c>
      <c r="B1291" s="3" t="s">
        <v>1270</v>
      </c>
      <c r="C1291" s="3" t="str">
        <f>IFERROR(__xludf.DUMMYFUNCTION("GOOGLETRANSLATE(B1291,""id"",""en"")"),"['Service', 'Migration', 'Move', 'Package', 'Easy', 'Assisted', 'Customer', 'Service', 'Capable']")</f>
        <v>['Service', 'Migration', 'Move', 'Package', 'Easy', 'Assisted', 'Customer', 'Service', 'Capable']</v>
      </c>
      <c r="D1291" s="3">
        <v>5.0</v>
      </c>
    </row>
    <row r="1292" ht="15.75" customHeight="1">
      <c r="A1292" s="1">
        <v>1394.0</v>
      </c>
      <c r="B1292" s="3" t="s">
        <v>1271</v>
      </c>
      <c r="C1292" s="3" t="str">
        <f>IFERROR(__xludf.DUMMYFUNCTION("GOOGLETRANSLATE(B1292,""id"",""en"")"),"['steady', 'useful', 'really']")</f>
        <v>['steady', 'useful', 'really']</v>
      </c>
      <c r="D1292" s="3">
        <v>5.0</v>
      </c>
    </row>
    <row r="1293" ht="15.75" customHeight="1">
      <c r="A1293" s="1">
        <v>1395.0</v>
      </c>
      <c r="B1293" s="3" t="s">
        <v>1272</v>
      </c>
      <c r="C1293" s="3" t="str">
        <f>IFERROR(__xludf.DUMMYFUNCTION("GOOGLETRANSLATE(B1293,""id"",""en"")"),"['Pantes', 'rating', 'ugly', 'application', 'log', 'out', 'enter', 'email', '']")</f>
        <v>['Pantes', 'rating', 'ugly', 'application', 'log', 'out', 'enter', 'email', '']</v>
      </c>
      <c r="D1293" s="3">
        <v>1.0</v>
      </c>
    </row>
    <row r="1294" ht="15.75" customHeight="1">
      <c r="A1294" s="1">
        <v>1396.0</v>
      </c>
      <c r="B1294" s="3" t="s">
        <v>1273</v>
      </c>
      <c r="C1294" s="3" t="str">
        <f>IFERROR(__xludf.DUMMYFUNCTION("GOOGLETRANSLATE(B1294,""id"",""en"")"),"['Login', 'Failed', 'Ribet', 'Indihome', 'Discard', '']")</f>
        <v>['Login', 'Failed', 'Ribet', 'Indihome', 'Discard', '']</v>
      </c>
      <c r="D1294" s="3">
        <v>1.0</v>
      </c>
    </row>
    <row r="1295" ht="15.75" customHeight="1">
      <c r="A1295" s="1">
        <v>1397.0</v>
      </c>
      <c r="B1295" s="3" t="s">
        <v>1274</v>
      </c>
      <c r="C1295" s="3" t="str">
        <f>IFERROR(__xludf.DUMMYFUNCTION("GOOGLETRANSLATE(B1295,""id"",""en"")"),"['knp', 'listkn', 'indihome', 'error', 'registered', 'valid', 'number', 'payment']")</f>
        <v>['knp', 'listkn', 'indihome', 'error', 'registered', 'valid', 'number', 'payment']</v>
      </c>
      <c r="D1295" s="3">
        <v>2.0</v>
      </c>
    </row>
    <row r="1296" ht="15.75" customHeight="1">
      <c r="A1296" s="1">
        <v>1403.0</v>
      </c>
      <c r="B1296" s="3" t="s">
        <v>1275</v>
      </c>
      <c r="C1296" s="3" t="str">
        <f>IFERROR(__xludf.DUMMYFUNCTION("GOOGLETRANSLATE(B1296,""id"",""en"")"),"['response', 'automatic', 'complaint', 'rates', 'expensive', 'really', 'tax', 'borne', ""]")</f>
        <v>['response', 'automatic', 'complaint', 'rates', 'expensive', 'really', 'tax', 'borne', "]</v>
      </c>
      <c r="D1296" s="3">
        <v>1.0</v>
      </c>
    </row>
    <row r="1297" ht="15.75" customHeight="1">
      <c r="A1297" s="1">
        <v>1404.0</v>
      </c>
      <c r="B1297" s="3" t="s">
        <v>1276</v>
      </c>
      <c r="C1297" s="3" t="str">
        <f>IFERROR(__xludf.DUMMYFUNCTION("GOOGLETRANSLATE(B1297,""id"",""en"")"),"['application', 'Myindihome', 'version', 'Speed', 'Internet', 'use', 'Kouta', 'FUP', 'appears', '']")</f>
        <v>['application', 'Myindihome', 'version', 'Speed', 'Internet', 'use', 'Kouta', 'FUP', 'appears', '']</v>
      </c>
      <c r="D1297" s="3">
        <v>1.0</v>
      </c>
    </row>
    <row r="1298" ht="15.75" customHeight="1">
      <c r="A1298" s="1">
        <v>1405.0</v>
      </c>
      <c r="B1298" s="3" t="s">
        <v>1277</v>
      </c>
      <c r="C1298" s="3" t="str">
        <f>IFERROR(__xludf.DUMMYFUNCTION("GOOGLETRANSLATE(B1298,""id"",""en"")"),"['Internet', 'slow', 'expensive', 'Mbps',' used ',' already ',' muser ',' capacity ',' use ',' just ',' giga ',' already ',' The road ',' get ',' FUP ',' Unlimited ',' Fun ',' Public ', ""]")</f>
        <v>['Internet', 'slow', 'expensive', 'Mbps',' used ',' already ',' muser ',' capacity ',' use ',' just ',' giga ',' already ',' The road ',' get ',' FUP ',' Unlimited ',' Fun ',' Public ', "]</v>
      </c>
      <c r="D1298" s="3">
        <v>1.0</v>
      </c>
    </row>
    <row r="1299" ht="15.75" customHeight="1">
      <c r="A1299" s="1">
        <v>1406.0</v>
      </c>
      <c r="B1299" s="3" t="s">
        <v>1278</v>
      </c>
      <c r="C1299" s="3" t="str">
        <f>IFERROR(__xludf.DUMMYFUNCTION("GOOGLETRANSLATE(B1299,""id"",""en"")"),"['Good', 'bangett']")</f>
        <v>['Good', 'bangett']</v>
      </c>
      <c r="D1299" s="3">
        <v>5.0</v>
      </c>
    </row>
    <row r="1300" ht="15.75" customHeight="1">
      <c r="A1300" s="1">
        <v>1407.0</v>
      </c>
      <c r="B1300" s="3" t="s">
        <v>1279</v>
      </c>
      <c r="C1300" s="3" t="str">
        <f>IFERROR(__xludf.DUMMYFUNCTION("GOOGLETRANSLATE(B1300,""id"",""en"")"),"['Steady', 'bet', 'APK', 'good', 'bet']")</f>
        <v>['Steady', 'bet', 'APK', 'good', 'bet']</v>
      </c>
      <c r="D1300" s="3">
        <v>5.0</v>
      </c>
    </row>
    <row r="1301" ht="15.75" customHeight="1">
      <c r="A1301" s="1">
        <v>1408.0</v>
      </c>
      <c r="B1301" s="3" t="s">
        <v>1280</v>
      </c>
      <c r="C1301" s="3" t="str">
        <f>IFERROR(__xludf.DUMMYFUNCTION("GOOGLETRANSLATE(B1301,""id"",""en"")"),"['Good', 'The application', '']")</f>
        <v>['Good', 'The application', '']</v>
      </c>
      <c r="D1301" s="3">
        <v>5.0</v>
      </c>
    </row>
    <row r="1302" ht="15.75" customHeight="1">
      <c r="A1302" s="1">
        <v>1409.0</v>
      </c>
      <c r="B1302" s="3" t="s">
        <v>1281</v>
      </c>
      <c r="C1302" s="3" t="str">
        <f>IFERROR(__xludf.DUMMYFUNCTION("GOOGLETRANSLATE(B1302,""id"",""en"")"),"['Display', 'Myindihome', 'Cool', 'Like', 'Looks', 'Recommended', 'Very', 'Update', 'As soon as' '']")</f>
        <v>['Display', 'Myindihome', 'Cool', 'Like', 'Looks', 'Recommended', 'Very', 'Update', 'As soon as' '']</v>
      </c>
      <c r="D1302" s="3">
        <v>5.0</v>
      </c>
    </row>
    <row r="1303" ht="15.75" customHeight="1">
      <c r="A1303" s="1">
        <v>1410.0</v>
      </c>
      <c r="B1303" s="3" t="s">
        <v>1282</v>
      </c>
      <c r="C1303" s="3" t="str">
        <f>IFERROR(__xludf.DUMMYFUNCTION("GOOGLETRANSLATE(B1303,""id"",""en"")"),"['Display', 'the latest', 'slow', 'Loading', 'hope', 'repair', '']")</f>
        <v>['Display', 'the latest', 'slow', 'Loading', 'hope', 'repair', '']</v>
      </c>
      <c r="D1303" s="3">
        <v>1.0</v>
      </c>
    </row>
    <row r="1304" ht="15.75" customHeight="1">
      <c r="A1304" s="1">
        <v>1412.0</v>
      </c>
      <c r="B1304" s="3" t="s">
        <v>1283</v>
      </c>
      <c r="C1304" s="3" t="str">
        <f>IFERROR(__xludf.DUMMYFUNCTION("GOOGLETRANSLATE(B1304,""id"",""en"")"),"['Application', 'Not bad', 'Good', 'Features', 'Useful', 'Easy', 'Understand']")</f>
        <v>['Application', 'Not bad', 'Good', 'Features', 'Useful', 'Easy', 'Understand']</v>
      </c>
      <c r="D1304" s="3">
        <v>5.0</v>
      </c>
    </row>
    <row r="1305" ht="15.75" customHeight="1">
      <c r="A1305" s="1">
        <v>1413.0</v>
      </c>
      <c r="B1305" s="3" t="s">
        <v>1284</v>
      </c>
      <c r="C1305" s="3" t="str">
        <f>IFERROR(__xludf.DUMMYFUNCTION("GOOGLETRANSLATE(B1305,""id"",""en"")"),"['Network', 'Indihome', 'good', 'internet', 'friend', 'pairs', 'wifi', 'use', 'indihome', 'emotion']")</f>
        <v>['Network', 'Indihome', 'good', 'internet', 'friend', 'pairs', 'wifi', 'use', 'indihome', 'emotion']</v>
      </c>
      <c r="D1305" s="3">
        <v>1.0</v>
      </c>
    </row>
    <row r="1306" ht="15.75" customHeight="1">
      <c r="A1306" s="1">
        <v>1414.0</v>
      </c>
      <c r="B1306" s="3" t="s">
        <v>1285</v>
      </c>
      <c r="C1306" s="3" t="str">
        <f>IFERROR(__xludf.DUMMYFUNCTION("GOOGLETRANSLATE(B1306,""id"",""en"")"),"['easy', 'check', 'user', 'internet', 'reminder', 'pay', 'monthly', 'upgrage', 'package', 'indihome', 'subscription', 'service', ' Stay ',' Tap ',' Pay ',' Bill ',' Easy ',' Buy ',' Package ',' WiFi ',' Easy ', ""]")</f>
        <v>['easy', 'check', 'user', 'internet', 'reminder', 'pay', 'monthly', 'upgrage', 'package', 'indihome', 'subscription', 'service', ' Stay ',' Tap ',' Pay ',' Bill ',' Easy ',' Buy ',' Package ',' WiFi ',' Easy ', "]</v>
      </c>
      <c r="D1306" s="3">
        <v>5.0</v>
      </c>
    </row>
    <row r="1307" ht="15.75" customHeight="1">
      <c r="A1307" s="1">
        <v>1415.0</v>
      </c>
      <c r="B1307" s="3" t="s">
        <v>1286</v>
      </c>
      <c r="C1307" s="3" t="str">
        <f>IFERROR(__xludf.DUMMYFUNCTION("GOOGLETRANSLATE(B1307,""id"",""en"")"),"['application', 'makes it easy', 'payment', 'check', 'Fair', 'USage', 'offer', 'interesting', '']")</f>
        <v>['application', 'makes it easy', 'payment', 'check', 'Fair', 'USage', 'offer', 'interesting', '']</v>
      </c>
      <c r="D1307" s="3">
        <v>5.0</v>
      </c>
    </row>
    <row r="1308" ht="15.75" customHeight="1">
      <c r="A1308" s="1">
        <v>1416.0</v>
      </c>
      <c r="B1308" s="3" t="s">
        <v>1287</v>
      </c>
      <c r="C1308" s="3" t="str">
        <f>IFERROR(__xludf.DUMMYFUNCTION("GOOGLETRANSLATE(B1308,""id"",""en"")"),"['Constraints', 'network', 'obstacles', 'Thank you', 'Indihome']")</f>
        <v>['Constraints', 'network', 'obstacles', 'Thank you', 'Indihome']</v>
      </c>
      <c r="D1308" s="3">
        <v>4.0</v>
      </c>
    </row>
    <row r="1309" ht="15.75" customHeight="1">
      <c r="A1309" s="1">
        <v>1417.0</v>
      </c>
      <c r="B1309" s="3" t="s">
        <v>1288</v>
      </c>
      <c r="C1309" s="3" t="str">
        <f>IFERROR(__xludf.DUMMYFUNCTION("GOOGLETRANSLATE(B1309,""id"",""en"")"),"['application', 'SGT', 'good', 'user', 'interface', 'friendly', 'heavy', 'size', 'service', 'application', 'sgt', 'informative', ' It's easy for ',' monitor ',' service ',' Telkom ',' ']")</f>
        <v>['application', 'SGT', 'good', 'user', 'interface', 'friendly', 'heavy', 'size', 'service', 'application', 'sgt', 'informative', ' It's easy for ',' monitor ',' service ',' Telkom ',' ']</v>
      </c>
      <c r="D1309" s="3">
        <v>5.0</v>
      </c>
    </row>
    <row r="1310" ht="15.75" customHeight="1">
      <c r="A1310" s="1">
        <v>1418.0</v>
      </c>
      <c r="B1310" s="3" t="s">
        <v>1289</v>
      </c>
      <c r="C1310" s="3" t="str">
        <f>IFERROR(__xludf.DUMMYFUNCTION("GOOGLETRANSLATE(B1310,""id"",""en"")"),"['Loading', 'Network', 'Troubled']")</f>
        <v>['Loading', 'Network', 'Troubled']</v>
      </c>
      <c r="D1310" s="3">
        <v>3.0</v>
      </c>
    </row>
    <row r="1311" ht="15.75" customHeight="1">
      <c r="A1311" s="1">
        <v>1419.0</v>
      </c>
      <c r="B1311" s="3" t="s">
        <v>1290</v>
      </c>
      <c r="C1311" s="3" t="str">
        <f>IFERROR(__xludf.DUMMYFUNCTION("GOOGLETRANSLATE(B1311,""id"",""en"")"),"['Mantab', 'Jaya']")</f>
        <v>['Mantab', 'Jaya']</v>
      </c>
      <c r="D1311" s="3">
        <v>5.0</v>
      </c>
    </row>
    <row r="1312" ht="15.75" customHeight="1">
      <c r="A1312" s="1">
        <v>1420.0</v>
      </c>
      <c r="B1312" s="3" t="s">
        <v>1291</v>
      </c>
      <c r="C1312" s="3" t="str">
        <f>IFERROR(__xludf.DUMMYFUNCTION("GOOGLETRANSLATE(B1312,""id"",""en"")"),"['help', 'application', 'information', 'response', 'handling', 'complaints', 'service', 'fast', '']")</f>
        <v>['help', 'application', 'information', 'response', 'handling', 'complaints', 'service', 'fast', '']</v>
      </c>
      <c r="D1312" s="3">
        <v>5.0</v>
      </c>
    </row>
    <row r="1313" ht="15.75" customHeight="1">
      <c r="A1313" s="1">
        <v>1421.0</v>
      </c>
      <c r="B1313" s="3" t="s">
        <v>1292</v>
      </c>
      <c r="C1313" s="3" t="str">
        <f>IFERROR(__xludf.DUMMYFUNCTION("GOOGLETRANSLATE(B1313,""id"",""en"")"),"['The application', 'mantaaap']")</f>
        <v>['The application', 'mantaaap']</v>
      </c>
      <c r="D1313" s="3">
        <v>5.0</v>
      </c>
    </row>
    <row r="1314" ht="15.75" customHeight="1">
      <c r="A1314" s="1">
        <v>1422.0</v>
      </c>
      <c r="B1314" s="3" t="s">
        <v>1293</v>
      </c>
      <c r="C1314" s="3" t="str">
        <f>IFERROR(__xludf.DUMMYFUNCTION("GOOGLETRANSLATE(B1314,""id"",""en"")"),"['', 'continued', 'Indihome', 'telephone', 'RMH', 'continued', 'App', 'ket', 'error', 'found', 'pdhal', 'number', 'check ',' Berulanggg ']")</f>
        <v>['', 'continued', 'Indihome', 'telephone', 'RMH', 'continued', 'App', 'ket', 'error', 'found', 'pdhal', 'number', 'check ',' Berulanggg ']</v>
      </c>
      <c r="D1314" s="3">
        <v>3.0</v>
      </c>
    </row>
    <row r="1315" ht="15.75" customHeight="1">
      <c r="A1315" s="1">
        <v>1423.0</v>
      </c>
      <c r="B1315" s="3" t="s">
        <v>1294</v>
      </c>
      <c r="C1315" s="3" t="str">
        <f>IFERROR(__xludf.DUMMYFUNCTION("GOOGLETRANSLATE(B1315,""id"",""en"")"),"['Mantap', 'Application']")</f>
        <v>['Mantap', 'Application']</v>
      </c>
      <c r="D1315" s="3">
        <v>5.0</v>
      </c>
    </row>
    <row r="1316" ht="15.75" customHeight="1">
      <c r="A1316" s="1">
        <v>1424.0</v>
      </c>
      <c r="B1316" s="3" t="s">
        <v>1295</v>
      </c>
      <c r="C1316" s="3" t="str">
        <f>IFERROR(__xludf.DUMMYFUNCTION("GOOGLETRANSLATE(B1316,""id"",""en"")"),"['Times',' Out ',' Pay ',' Network ',' Troubled ',' Pay ',' Darling ',' Available ',' Indihome ',' Already ',' Move ',' Haluan ',' Deh ',' poor ',' ']")</f>
        <v>['Times',' Out ',' Pay ',' Network ',' Troubled ',' Pay ',' Darling ',' Available ',' Indihome ',' Already ',' Move ',' Haluan ',' Deh ',' poor ',' ']</v>
      </c>
      <c r="D1316" s="3">
        <v>1.0</v>
      </c>
    </row>
    <row r="1317" ht="15.75" customHeight="1">
      <c r="A1317" s="1">
        <v>1425.0</v>
      </c>
      <c r="B1317" s="3" t="s">
        <v>1296</v>
      </c>
      <c r="C1317" s="3" t="str">
        <f>IFERROR(__xludf.DUMMYFUNCTION("GOOGLETRANSLATE(B1317,""id"",""en"")"),"['use', 'profider', 'heighten', 'package', 'raised', 'Tampa', 'Agreement', 'Pay', ""]")</f>
        <v>['use', 'profider', 'heighten', 'package', 'raised', 'Tampa', 'Agreement', 'Pay', "]</v>
      </c>
      <c r="D1317" s="3">
        <v>1.0</v>
      </c>
    </row>
    <row r="1318" ht="15.75" customHeight="1">
      <c r="A1318" s="1">
        <v>1426.0</v>
      </c>
      <c r="B1318" s="3" t="s">
        <v>327</v>
      </c>
      <c r="C1318" s="3" t="str">
        <f>IFERROR(__xludf.DUMMYFUNCTION("GOOGLETRANSLATE(B1318,""id"",""en"")"),"['Good', 'Job', '']")</f>
        <v>['Good', 'Job', '']</v>
      </c>
      <c r="D1318" s="3">
        <v>5.0</v>
      </c>
    </row>
    <row r="1319" ht="15.75" customHeight="1">
      <c r="A1319" s="1">
        <v>1427.0</v>
      </c>
      <c r="B1319" s="3" t="s">
        <v>1297</v>
      </c>
      <c r="C1319" s="3" t="str">
        <f>IFERROR(__xludf.DUMMYFUNCTION("GOOGLETRANSLATE(B1319,""id"",""en"")"),"['application', 'ping', 'ugly', 'belongs', 'nation']")</f>
        <v>['application', 'ping', 'ugly', 'belongs', 'nation']</v>
      </c>
      <c r="D1319" s="3">
        <v>1.0</v>
      </c>
    </row>
    <row r="1320" ht="15.75" customHeight="1">
      <c r="A1320" s="1">
        <v>1428.0</v>
      </c>
      <c r="B1320" s="3" t="s">
        <v>1298</v>
      </c>
      <c r="C1320" s="3" t="str">
        <f>IFERROR(__xludf.DUMMYFUNCTION("GOOGLETRANSLATE(B1320,""id"",""en"")"),"['Good', 'APK']")</f>
        <v>['Good', 'APK']</v>
      </c>
      <c r="D1320" s="3">
        <v>5.0</v>
      </c>
    </row>
    <row r="1321" ht="15.75" customHeight="1">
      <c r="A1321" s="1">
        <v>1429.0</v>
      </c>
      <c r="B1321" s="3" t="s">
        <v>1299</v>
      </c>
      <c r="C1321" s="3" t="str">
        <f>IFERROR(__xludf.DUMMYFUNCTION("GOOGLETRANSLATE(B1321,""id"",""en"")"),"['Application', 'slow']")</f>
        <v>['Application', 'slow']</v>
      </c>
      <c r="D1321" s="3">
        <v>1.0</v>
      </c>
    </row>
    <row r="1322" ht="15.75" customHeight="1">
      <c r="A1322" s="1">
        <v>1430.0</v>
      </c>
      <c r="B1322" s="3" t="s">
        <v>1300</v>
      </c>
      <c r="C1322" s="3" t="str">
        <f>IFERROR(__xludf.DUMMYFUNCTION("GOOGLETRANSLATE(B1322,""id"",""en"")"),"['APK', 'Login', 'account']")</f>
        <v>['APK', 'Login', 'account']</v>
      </c>
      <c r="D1322" s="3">
        <v>1.0</v>
      </c>
    </row>
    <row r="1323" ht="15.75" customHeight="1">
      <c r="A1323" s="1">
        <v>1431.0</v>
      </c>
      <c r="B1323" s="3" t="s">
        <v>1301</v>
      </c>
      <c r="C1323" s="3" t="str">
        <f>IFERROR(__xludf.DUMMYFUNCTION("GOOGLETRANSLATE(B1323,""id"",""en"")"),"['Sungwah', 'Indihome', 'ugly', 'slow']")</f>
        <v>['Sungwah', 'Indihome', 'ugly', 'slow']</v>
      </c>
      <c r="D1323" s="3">
        <v>1.0</v>
      </c>
    </row>
    <row r="1324" ht="15.75" customHeight="1">
      <c r="A1324" s="1">
        <v>1432.0</v>
      </c>
      <c r="B1324" s="3" t="s">
        <v>1302</v>
      </c>
      <c r="C1324" s="3" t="str">
        <f>IFERROR(__xludf.DUMMYFUNCTION("GOOGLETRANSLATE(B1324,""id"",""en"")"),"['expensive', 'pay', 'use']")</f>
        <v>['expensive', 'pay', 'use']</v>
      </c>
      <c r="D1324" s="3">
        <v>1.0</v>
      </c>
    </row>
    <row r="1325" ht="15.75" customHeight="1">
      <c r="A1325" s="1">
        <v>1433.0</v>
      </c>
      <c r="B1325" s="3" t="s">
        <v>1075</v>
      </c>
      <c r="C1325" s="3" t="str">
        <f>IFERROR(__xludf.DUMMYFUNCTION("GOOGLETRANSLATE(B1325,""id"",""en"")"),"['Application', 'Help']")</f>
        <v>['Application', 'Help']</v>
      </c>
      <c r="D1325" s="3">
        <v>5.0</v>
      </c>
    </row>
    <row r="1326" ht="15.75" customHeight="1">
      <c r="A1326" s="1">
        <v>1434.0</v>
      </c>
      <c r="B1326" s="3" t="s">
        <v>1303</v>
      </c>
      <c r="C1326" s="3" t="str">
        <f>IFERROR(__xludf.DUMMYFUNCTION("GOOGLETRANSLATE(B1326,""id"",""en"")"),"['Oooohhh', 'Indihome', 'with you', 'managing', 'PIN', 'Ribeeet', 'Forgiveness',' Web ',' Indihome ',' Loading ',' Mulu ',' See ',' Details', 'Packages',' PIN ',' WEEK ',' FORE ',' HADEEEH ',' Rempong ']")</f>
        <v>['Oooohhh', 'Indihome', 'with you', 'managing', 'PIN', 'Ribeeet', 'Forgiveness',' Web ',' Indihome ',' Loading ',' Mulu ',' See ',' Details', 'Packages',' PIN ',' WEEK ',' FORE ',' HADEEEH ',' Rempong ']</v>
      </c>
      <c r="D1326" s="3">
        <v>1.0</v>
      </c>
    </row>
    <row r="1327" ht="15.75" customHeight="1">
      <c r="A1327" s="1">
        <v>1435.0</v>
      </c>
      <c r="B1327" s="3" t="s">
        <v>1304</v>
      </c>
      <c r="C1327" s="3" t="str">
        <f>IFERROR(__xludf.DUMMYFUNCTION("GOOGLETRANSLATE(B1327,""id"",""en"")"),"['Download', 'number', 'Indihom', 'known', 'system', 'number', 'already', 'right', 'already', 'tens',' times', 'try', ' So ']")</f>
        <v>['Download', 'number', 'Indihom', 'known', 'system', 'number', 'already', 'right', 'already', 'tens',' times', 'try', ' So ']</v>
      </c>
      <c r="D1327" s="3">
        <v>1.0</v>
      </c>
    </row>
    <row r="1328" ht="15.75" customHeight="1">
      <c r="A1328" s="1">
        <v>1437.0</v>
      </c>
      <c r="B1328" s="3" t="s">
        <v>1305</v>
      </c>
      <c r="C1328" s="3" t="str">
        <f>IFERROR(__xludf.DUMMYFUNCTION("GOOGLETRANSLATE(B1328,""id"",""en"")"),"['Disappointed', 'internet', 'dead', 'pay', 'late', ""]")</f>
        <v>['Disappointed', 'internet', 'dead', 'pay', 'late', "]</v>
      </c>
      <c r="D1328" s="3">
        <v>1.0</v>
      </c>
    </row>
    <row r="1329" ht="15.75" customHeight="1">
      <c r="A1329" s="1">
        <v>1438.0</v>
      </c>
      <c r="B1329" s="3" t="s">
        <v>1306</v>
      </c>
      <c r="C1329" s="3" t="str">
        <f>IFERROR(__xludf.DUMMYFUNCTION("GOOGLETRANSLATE(B1329,""id"",""en"")"),"['thank', 'love', 'help']")</f>
        <v>['thank', 'love', 'help']</v>
      </c>
      <c r="D1329" s="3">
        <v>5.0</v>
      </c>
    </row>
    <row r="1330" ht="15.75" customHeight="1">
      <c r="A1330" s="1">
        <v>1439.0</v>
      </c>
      <c r="B1330" s="3" t="s">
        <v>1307</v>
      </c>
      <c r="C1330" s="3" t="str">
        <f>IFERROR(__xludf.DUMMYFUNCTION("GOOGLETRANSLATE(B1330,""id"",""en"")"),"['Wii', 'Cool', 'really', 'application']")</f>
        <v>['Wii', 'Cool', 'really', 'application']</v>
      </c>
      <c r="D1330" s="3">
        <v>5.0</v>
      </c>
    </row>
    <row r="1331" ht="15.75" customHeight="1">
      <c r="A1331" s="1">
        <v>1440.0</v>
      </c>
      <c r="B1331" s="3" t="s">
        <v>1308</v>
      </c>
      <c r="C1331" s="3" t="str">
        <f>IFERROR(__xludf.DUMMYFUNCTION("GOOGLETRANSLATE(B1331,""id"",""en"")"),"['Disruption', 'Mulu', 'feeling', 'APK']")</f>
        <v>['Disruption', 'Mulu', 'feeling', 'APK']</v>
      </c>
      <c r="D1331" s="3">
        <v>1.0</v>
      </c>
    </row>
    <row r="1332" ht="15.75" customHeight="1">
      <c r="A1332" s="1">
        <v>1441.0</v>
      </c>
      <c r="B1332" s="3" t="s">
        <v>1309</v>
      </c>
      <c r="C1332" s="3" t="str">
        <f>IFERROR(__xludf.DUMMYFUNCTION("GOOGLETRANSLATE(B1332,""id"",""en"")"),"['Application', 'Best', '']")</f>
        <v>['Application', 'Best', '']</v>
      </c>
      <c r="D1332" s="3">
        <v>5.0</v>
      </c>
    </row>
    <row r="1333" ht="15.75" customHeight="1">
      <c r="A1333" s="1">
        <v>1442.0</v>
      </c>
      <c r="B1333" s="3" t="s">
        <v>1310</v>
      </c>
      <c r="C1333" s="3" t="str">
        <f>IFERROR(__xludf.DUMMYFUNCTION("GOOGLETRANSLATE(B1333,""id"",""en"")"),"['update', 'no', 'open']")</f>
        <v>['update', 'no', 'open']</v>
      </c>
      <c r="D1333" s="3">
        <v>1.0</v>
      </c>
    </row>
    <row r="1334" ht="15.75" customHeight="1">
      <c r="A1334" s="1">
        <v>1443.0</v>
      </c>
      <c r="B1334" s="3" t="s">
        <v>1311</v>
      </c>
      <c r="C1334" s="3" t="str">
        <f>IFERROR(__xludf.DUMMYFUNCTION("GOOGLETRANSLATE(B1334,""id"",""en"")"),"['', 'good', 'easy', 'tasty', 'login', 'slow', 'lalod', 'opened', 'difficult', 'pokes',' entered ',' alllaaaaaahhhhhhhhhhhhhhhhhhhhh")</f>
        <v>['', 'good', 'easy', 'tasty', 'login', 'slow', 'lalod', 'opened', 'difficult', 'pokes',' entered ',' alllaaaaaahhhhhhhhhhhhhhhhhhhhh</v>
      </c>
      <c r="D1334" s="3">
        <v>1.0</v>
      </c>
    </row>
    <row r="1335" ht="15.75" customHeight="1">
      <c r="A1335" s="1">
        <v>1444.0</v>
      </c>
      <c r="B1335" s="3" t="s">
        <v>1312</v>
      </c>
      <c r="C1335" s="3" t="str">
        <f>IFERROR(__xludf.DUMMYFUNCTION("GOOGLETRANSLATE(B1335,""id"",""en"")"),"['', 'very']")</f>
        <v>['', 'very']</v>
      </c>
      <c r="D1335" s="3">
        <v>5.0</v>
      </c>
    </row>
    <row r="1336" ht="15.75" customHeight="1">
      <c r="A1336" s="1">
        <v>1445.0</v>
      </c>
      <c r="B1336" s="3" t="s">
        <v>1313</v>
      </c>
      <c r="C1336" s="3" t="str">
        <f>IFERROR(__xludf.DUMMYFUNCTION("GOOGLETRANSLATE(B1336,""id"",""en"")"),"['Loss', 'quality', 'good', 'pdhal', 'mutus', 'a year', 'usage', 'fined', 'pdahal', 'service', 'satisfying', 'where' Search ',' protection ',' right ',' consumer ',' ']")</f>
        <v>['Loss', 'quality', 'good', 'pdhal', 'mutus', 'a year', 'usage', 'fined', 'pdahal', 'service', 'satisfying', 'where' Search ',' protection ',' right ',' consumer ',' ']</v>
      </c>
      <c r="D1336" s="3">
        <v>1.0</v>
      </c>
    </row>
    <row r="1337" ht="15.75" customHeight="1">
      <c r="A1337" s="1">
        <v>1446.0</v>
      </c>
      <c r="B1337" s="3" t="s">
        <v>1314</v>
      </c>
      <c r="C1337" s="3" t="str">
        <f>IFERROR(__xludf.DUMMYFUNCTION("GOOGLETRANSLATE(B1337,""id"",""en"")"),"['Network', 'Los', 'repairs', 'eat', 'HR', 'slamming', 'tools', 'handling', 'Tenition', 'take advantage of', 'situation', ""]")</f>
        <v>['Network', 'Los', 'repairs', 'eat', 'HR', 'slamming', 'tools', 'handling', 'Tenition', 'take advantage of', 'situation', "]</v>
      </c>
      <c r="D1337" s="3">
        <v>1.0</v>
      </c>
    </row>
    <row r="1338" ht="15.75" customHeight="1">
      <c r="A1338" s="1">
        <v>1447.0</v>
      </c>
      <c r="B1338" s="3" t="s">
        <v>1315</v>
      </c>
      <c r="C1338" s="3" t="str">
        <f>IFERROR(__xludf.DUMMYFUNCTION("GOOGLETRANSLATE(B1338,""id"",""en"")"),"['Good', 'Cool']")</f>
        <v>['Good', 'Cool']</v>
      </c>
      <c r="D1338" s="3">
        <v>5.0</v>
      </c>
    </row>
    <row r="1339" ht="15.75" customHeight="1">
      <c r="A1339" s="1">
        <v>1448.0</v>
      </c>
      <c r="B1339" s="3" t="s">
        <v>1316</v>
      </c>
      <c r="C1339" s="3" t="str">
        <f>IFERROR(__xludf.DUMMYFUNCTION("GOOGLETRANSLATE(B1339,""id"",""en"")"),"['Personal', 'user', 'loyal', 'network', 'fiber', 'Hime', 'Indihome', 'disappointed', 'ugly', 'network', 'network', 'disconnected', ' Filt ',' Lights', 'Modem', 'Light', 'Listen', 'User', 'Indihome', 'Switch', 'Kexlhome', 'Network', 'Good', 'Indihome', 'I"&amp;"n the future' , 'Network', 'ugly', 'xlhome', 'enthusiasts', '']")</f>
        <v>['Personal', 'user', 'loyal', 'network', 'fiber', 'Hime', 'Indihome', 'disappointed', 'ugly', 'network', 'network', 'disconnected', ' Filt ',' Lights', 'Modem', 'Light', 'Listen', 'User', 'Indihome', 'Switch', 'Kexlhome', 'Network', 'Good', 'Indihome', 'In the future' , 'Network', 'ugly', 'xlhome', 'enthusiasts', '']</v>
      </c>
      <c r="D1339" s="3">
        <v>2.0</v>
      </c>
    </row>
    <row r="1340" ht="15.75" customHeight="1">
      <c r="A1340" s="1">
        <v>1449.0</v>
      </c>
      <c r="B1340" s="3" t="s">
        <v>1317</v>
      </c>
      <c r="C1340" s="3" t="str">
        <f>IFERROR(__xludf.DUMMYFUNCTION("GOOGLETRANSLATE(B1340,""id"",""en"")"),"['ajorrr', 'ora', 'iso', 'complaint', '']")</f>
        <v>['ajorrr', 'ora', 'iso', 'complaint', '']</v>
      </c>
      <c r="D1340" s="3">
        <v>1.0</v>
      </c>
    </row>
    <row r="1341" ht="15.75" customHeight="1">
      <c r="A1341" s="1">
        <v>1450.0</v>
      </c>
      <c r="B1341" s="3" t="s">
        <v>1318</v>
      </c>
      <c r="C1341" s="3" t="str">
        <f>IFERROR(__xludf.DUMMYFUNCTION("GOOGLETRANSLATE(B1341,""id"",""en"")"),"['steady']")</f>
        <v>['steady']</v>
      </c>
      <c r="D1341" s="3">
        <v>5.0</v>
      </c>
    </row>
    <row r="1342" ht="15.75" customHeight="1">
      <c r="A1342" s="1">
        <v>1451.0</v>
      </c>
      <c r="B1342" s="3" t="s">
        <v>1319</v>
      </c>
      <c r="C1342" s="3" t="str">
        <f>IFERROR(__xludf.DUMMYFUNCTION("GOOGLETRANSLATE(B1342,""id"",""en"")"),"['Internet', 'Full', 'told', 'Pay', 'Full', 'Try', 'Check', 'Disconnect', 'Internet', 'Date', 'September', 'Date', ' September ',' Date ',' September ',' Lined ',' Pay ',' How ',' The story ',' Slow ',' handling ',' the application ',' slow ',' response '"&amp;",' complaint ' , 'service', 'public', 'bad', '']")</f>
        <v>['Internet', 'Full', 'told', 'Pay', 'Full', 'Try', 'Check', 'Disconnect', 'Internet', 'Date', 'September', 'Date', ' September ',' Date ',' September ',' Lined ',' Pay ',' How ',' The story ',' Slow ',' handling ',' the application ',' slow ',' response ',' complaint ' , 'service', 'public', 'bad', '']</v>
      </c>
      <c r="D1342" s="3">
        <v>5.0</v>
      </c>
    </row>
    <row r="1343" ht="15.75" customHeight="1">
      <c r="A1343" s="1">
        <v>1452.0</v>
      </c>
      <c r="B1343" s="3" t="s">
        <v>1320</v>
      </c>
      <c r="C1343" s="3" t="str">
        <f>IFERROR(__xludf.DUMMYFUNCTION("GOOGLETRANSLATE(B1343,""id"",""en"")"),"['Good', 'Helpful', 'Sekakiii']")</f>
        <v>['Good', 'Helpful', 'Sekakiii']</v>
      </c>
      <c r="D1343" s="3">
        <v>5.0</v>
      </c>
    </row>
    <row r="1344" ht="15.75" customHeight="1">
      <c r="A1344" s="1">
        <v>1453.0</v>
      </c>
      <c r="B1344" s="3" t="s">
        <v>1321</v>
      </c>
      <c r="C1344" s="3" t="str">
        <f>IFERROR(__xludf.DUMMYFUNCTION("GOOGLETRANSLATE(B1344,""id"",""en"")"),"['thank you', 'service', 'help', 'network', 'stable', 'according to', 'Keinganan', '']")</f>
        <v>['thank you', 'service', 'help', 'network', 'stable', 'according to', 'Keinganan', '']</v>
      </c>
      <c r="D1344" s="3">
        <v>5.0</v>
      </c>
    </row>
    <row r="1345" ht="15.75" customHeight="1">
      <c r="A1345" s="1">
        <v>1454.0</v>
      </c>
      <c r="B1345" s="3" t="s">
        <v>1322</v>
      </c>
      <c r="C1345" s="3" t="str">
        <f>IFERROR(__xludf.DUMMYFUNCTION("GOOGLETRANSLATE(B1345,""id"",""en"")"),"['Bagus', 'disorder', 'yaa', 'love', 'indihome']")</f>
        <v>['Bagus', 'disorder', 'yaa', 'love', 'indihome']</v>
      </c>
      <c r="D1345" s="3">
        <v>5.0</v>
      </c>
    </row>
    <row r="1346" ht="15.75" customHeight="1">
      <c r="A1346" s="1">
        <v>1455.0</v>
      </c>
      <c r="B1346" s="3" t="s">
        <v>1323</v>
      </c>
      <c r="C1346" s="3" t="str">
        <f>IFERROR(__xludf.DUMMYFUNCTION("GOOGLETRANSLATE(B1346,""id"",""en"")"),"['The network', 'Top', 'really', 'work', 'comfortable', '']")</f>
        <v>['The network', 'Top', 'really', 'work', 'comfortable', '']</v>
      </c>
      <c r="D1346" s="3">
        <v>5.0</v>
      </c>
    </row>
    <row r="1347" ht="15.75" customHeight="1">
      <c r="A1347" s="1">
        <v>1456.0</v>
      </c>
      <c r="B1347" s="3" t="s">
        <v>1324</v>
      </c>
      <c r="C1347" s="3" t="str">
        <f>IFERROR(__xludf.DUMMYFUNCTION("GOOGLETRANSLATE(B1347,""id"",""en"")"),"['Cool', 'Bangett', 'mantapp']")</f>
        <v>['Cool', 'Bangett', 'mantapp']</v>
      </c>
      <c r="D1347" s="3">
        <v>5.0</v>
      </c>
    </row>
    <row r="1348" ht="15.75" customHeight="1">
      <c r="A1348" s="1">
        <v>1457.0</v>
      </c>
      <c r="B1348" s="3" t="s">
        <v>1325</v>
      </c>
      <c r="C1348" s="3" t="str">
        <f>IFERROR(__xludf.DUMMYFUNCTION("GOOGLETRANSLATE(B1348,""id"",""en"")"),"['Ticket', 'Complaints',' Many "", 'responded', 'intention', 'Enggk', 'gave', 'service',""]")</f>
        <v>['Ticket', 'Complaints',' Many ", 'responded', 'intention', 'Enggk', 'gave', 'service',"]</v>
      </c>
      <c r="D1348" s="3">
        <v>1.0</v>
      </c>
    </row>
    <row r="1349" ht="15.75" customHeight="1">
      <c r="A1349" s="1">
        <v>1458.0</v>
      </c>
      <c r="B1349" s="3" t="s">
        <v>1326</v>
      </c>
      <c r="C1349" s="3" t="str">
        <f>IFERROR(__xludf.DUMMYFUNCTION("GOOGLETRANSLATE(B1349,""id"",""en"")"),"['application', 'good', 'help', 'it's easy', '']")</f>
        <v>['application', 'good', 'help', 'it's easy', '']</v>
      </c>
      <c r="D1349" s="3">
        <v>5.0</v>
      </c>
    </row>
    <row r="1350" ht="15.75" customHeight="1">
      <c r="A1350" s="1">
        <v>1459.0</v>
      </c>
      <c r="B1350" s="3" t="s">
        <v>1327</v>
      </c>
      <c r="C1350" s="3" t="str">
        <f>IFERROR(__xludf.DUMMYFUNCTION("GOOGLETRANSLATE(B1350,""id"",""en"")"),"['Help', 'thank you']")</f>
        <v>['Help', 'thank you']</v>
      </c>
      <c r="D1350" s="3">
        <v>5.0</v>
      </c>
    </row>
    <row r="1351" ht="15.75" customHeight="1">
      <c r="A1351" s="1">
        <v>1460.0</v>
      </c>
      <c r="B1351" s="3" t="s">
        <v>1328</v>
      </c>
      <c r="C1351" s="3" t="str">
        <f>IFERROR(__xludf.DUMMYFUNCTION("GOOGLETRANSLATE(B1351,""id"",""en"")"),"['min', 'payment', 'Where', 'looks', ""]")</f>
        <v>['min', 'payment', 'Where', 'looks', "]</v>
      </c>
      <c r="D1351" s="3">
        <v>5.0</v>
      </c>
    </row>
    <row r="1352" ht="15.75" customHeight="1">
      <c r="A1352" s="1">
        <v>1461.0</v>
      </c>
      <c r="B1352" s="3" t="s">
        <v>1329</v>
      </c>
      <c r="C1352" s="3" t="str">
        <f>IFERROR(__xludf.DUMMYFUNCTION("GOOGLETRANSLATE(B1352,""id"",""en"")"),"['', 'Tide', 'WiFi', 'Indihome', 'Weeks',' Wonder ',' Knp ',' Indihome ',' Leet ',' Very ',' Internet ',' account ',' owner ',' name ',' person ',' intent ',' purpose ',' account ',' relation ',' indihome ',' owner ',' different ', ""]")</f>
        <v>['', 'Tide', 'WiFi', 'Indihome', 'Weeks',' Wonder ',' Knp ',' Indihome ',' Leet ',' Very ',' Internet ',' account ',' owner ',' name ',' person ',' intent ',' purpose ',' account ',' relation ',' indihome ',' owner ',' different ', "]</v>
      </c>
      <c r="D1352" s="3">
        <v>2.0</v>
      </c>
    </row>
    <row r="1353" ht="15.75" customHeight="1">
      <c r="A1353" s="1">
        <v>1462.0</v>
      </c>
      <c r="B1353" s="3" t="s">
        <v>1330</v>
      </c>
      <c r="C1353" s="3" t="str">
        <f>IFERROR(__xludf.DUMMYFUNCTION("GOOGLETRANSLATE(B1353,""id"",""en"")"),"['Application', 'Helping', 'Control', 'Use', '']")</f>
        <v>['Application', 'Helping', 'Control', 'Use', '']</v>
      </c>
      <c r="D1353" s="3">
        <v>5.0</v>
      </c>
    </row>
    <row r="1354" ht="15.75" customHeight="1">
      <c r="A1354" s="1">
        <v>1463.0</v>
      </c>
      <c r="B1354" s="3" t="s">
        <v>1331</v>
      </c>
      <c r="C1354" s="3" t="str">
        <f>IFERROR(__xludf.DUMMYFUNCTION("GOOGLETRANSLATE(B1354,""id"",""en"")"),"['My APK', 'Help', ""]")</f>
        <v>['My APK', 'Help', "]</v>
      </c>
      <c r="D1354" s="3">
        <v>5.0</v>
      </c>
    </row>
    <row r="1355" ht="15.75" customHeight="1">
      <c r="A1355" s="1">
        <v>1464.0</v>
      </c>
      <c r="B1355" s="3" t="s">
        <v>1155</v>
      </c>
      <c r="C1355" s="3" t="str">
        <f>IFERROR(__xludf.DUMMYFUNCTION("GOOGLETRANSLATE(B1355,""id"",""en"")"),"['Application', 'Helpful']")</f>
        <v>['Application', 'Helpful']</v>
      </c>
      <c r="D1355" s="3">
        <v>5.0</v>
      </c>
    </row>
    <row r="1356" ht="15.75" customHeight="1">
      <c r="A1356" s="1">
        <v>1465.0</v>
      </c>
      <c r="B1356" s="3" t="s">
        <v>1332</v>
      </c>
      <c r="C1356" s="3" t="str">
        <f>IFERROR(__xludf.DUMMYFUNCTION("GOOGLETRANSLATE(B1356,""id"",""en"")"),"['Wow', 'good', 'the application', 'steady', 'steady']")</f>
        <v>['Wow', 'good', 'the application', 'steady', 'steady']</v>
      </c>
      <c r="D1356" s="3">
        <v>5.0</v>
      </c>
    </row>
    <row r="1357" ht="15.75" customHeight="1">
      <c r="A1357" s="1">
        <v>1466.0</v>
      </c>
      <c r="B1357" s="3" t="s">
        <v>1333</v>
      </c>
      <c r="C1357" s="3" t="str">
        <f>IFERROR(__xludf.DUMMYFUNCTION("GOOGLETRANSLATE(B1357,""id"",""en"")"),"['Download', 'check', 'availability', 'contents',' data ',' customer ',' full ',' ODP ',' clarity ',' built ',' ODP ',' say it ',' Easy ',' as soon as possible ',' disappointing ']")</f>
        <v>['Download', 'check', 'availability', 'contents',' data ',' customer ',' full ',' ODP ',' clarity ',' built ',' ODP ',' say it ',' Easy ',' as soon as possible ',' disappointing ']</v>
      </c>
      <c r="D1357" s="3">
        <v>1.0</v>
      </c>
    </row>
    <row r="1358" ht="15.75" customHeight="1">
      <c r="A1358" s="1">
        <v>1467.0</v>
      </c>
      <c r="B1358" s="3" t="s">
        <v>1334</v>
      </c>
      <c r="C1358" s="3" t="str">
        <f>IFERROR(__xludf.DUMMYFUNCTION("GOOGLETRANSLATE(B1358,""id"",""en"")"),"['Steady', 'Indihome']")</f>
        <v>['Steady', 'Indihome']</v>
      </c>
      <c r="D1358" s="3">
        <v>5.0</v>
      </c>
    </row>
    <row r="1359" ht="15.75" customHeight="1">
      <c r="A1359" s="1">
        <v>1468.0</v>
      </c>
      <c r="B1359" s="3" t="s">
        <v>1335</v>
      </c>
      <c r="C1359" s="3" t="str">
        <f>IFERROR(__xludf.DUMMYFUNCTION("GOOGLETRANSLATE(B1359,""id"",""en"")"),"['repair', 'cable', 'break up', 'slow', 'report', 'pkl', 'repair']")</f>
        <v>['repair', 'cable', 'break up', 'slow', 'report', 'pkl', 'repair']</v>
      </c>
      <c r="D1359" s="3">
        <v>1.0</v>
      </c>
    </row>
    <row r="1360" ht="15.75" customHeight="1">
      <c r="A1360" s="1">
        <v>1469.0</v>
      </c>
      <c r="B1360" s="3" t="s">
        <v>1336</v>
      </c>
      <c r="C1360" s="3" t="str">
        <f>IFERROR(__xludf.DUMMYFUNCTION("GOOGLETRANSLATE(B1360,""id"",""en"")"),"['mantaappp', '']")</f>
        <v>['mantaappp', '']</v>
      </c>
      <c r="D1360" s="3">
        <v>5.0</v>
      </c>
    </row>
    <row r="1361" ht="15.75" customHeight="1">
      <c r="A1361" s="1">
        <v>1470.0</v>
      </c>
      <c r="B1361" s="3" t="s">
        <v>1337</v>
      </c>
      <c r="C1361" s="3" t="str">
        <f>IFERROR(__xludf.DUMMYFUNCTION("GOOGLETRANSLATE(B1361,""id"",""en"")"),"['App', 'Mantul', 'Suitable', 'Comfort', 'Use', 'Indihome', '']")</f>
        <v>['App', 'Mantul', 'Suitable', 'Comfort', 'Use', 'Indihome', '']</v>
      </c>
      <c r="D1361" s="3">
        <v>5.0</v>
      </c>
    </row>
    <row r="1362" ht="15.75" customHeight="1">
      <c r="A1362" s="1">
        <v>1471.0</v>
      </c>
      <c r="B1362" s="3" t="s">
        <v>1338</v>
      </c>
      <c r="C1362" s="3" t="str">
        <f>IFERROR(__xludf.DUMMYFUNCTION("GOOGLETRANSLATE(B1362,""id"",""en"")"),"['complaints', 'application', 'solution', 'telephone', 'email', 'sosmed', 'application', 'gave', 'solution']")</f>
        <v>['complaints', 'application', 'solution', 'telephone', 'email', 'sosmed', 'application', 'gave', 'solution']</v>
      </c>
      <c r="D1362" s="3">
        <v>1.0</v>
      </c>
    </row>
    <row r="1363" ht="15.75" customHeight="1">
      <c r="A1363" s="1">
        <v>1472.0</v>
      </c>
      <c r="B1363" s="3" t="s">
        <v>1339</v>
      </c>
      <c r="C1363" s="3" t="str">
        <f>IFERROR(__xludf.DUMMYFUNCTION("GOOGLETRANSLATE(B1363,""id"",""en"")"),"['Okay', 'Champion']")</f>
        <v>['Okay', 'Champion']</v>
      </c>
      <c r="D1363" s="3">
        <v>5.0</v>
      </c>
    </row>
    <row r="1364" ht="15.75" customHeight="1">
      <c r="A1364" s="1">
        <v>1473.0</v>
      </c>
      <c r="B1364" s="3" t="s">
        <v>1340</v>
      </c>
      <c r="C1364" s="3" t="str">
        <f>IFERROR(__xludf.DUMMYFUNCTION("GOOGLETRANSLATE(B1364,""id"",""en"")"),"['Application', 'help', ""]")</f>
        <v>['Application', 'help', "]</v>
      </c>
      <c r="D1364" s="3">
        <v>5.0</v>
      </c>
    </row>
    <row r="1365" ht="15.75" customHeight="1">
      <c r="A1365" s="1">
        <v>1474.0</v>
      </c>
      <c r="B1365" s="3" t="s">
        <v>1341</v>
      </c>
      <c r="C1365" s="3" t="str">
        <f>IFERROR(__xludf.DUMMYFUNCTION("GOOGLETRANSLATE(B1365,""id"",""en"")"),"['Jaringa', 'Nyaa', 'satisfying', ""]")</f>
        <v>['Jaringa', 'Nyaa', 'satisfying', "]</v>
      </c>
      <c r="D1365" s="3">
        <v>5.0</v>
      </c>
    </row>
    <row r="1366" ht="15.75" customHeight="1">
      <c r="A1366" s="1">
        <v>1475.0</v>
      </c>
      <c r="B1366" s="3" t="s">
        <v>1342</v>
      </c>
      <c r="C1366" s="3" t="str">
        <f>IFERROR(__xludf.DUMMYFUNCTION("GOOGLETRANSLATE(B1366,""id"",""en"")"),"['already', 'no', 'can', 'knp', 'error', 'mulu', ""]")</f>
        <v>['already', 'no', 'can', 'knp', 'error', 'mulu', "]</v>
      </c>
      <c r="D1366" s="3">
        <v>1.0</v>
      </c>
    </row>
    <row r="1367" ht="15.75" customHeight="1">
      <c r="A1367" s="1">
        <v>1476.0</v>
      </c>
      <c r="B1367" s="3" t="s">
        <v>1343</v>
      </c>
      <c r="C1367" s="3" t="str">
        <f>IFERROR(__xludf.DUMMYFUNCTION("GOOGLETRANSLATE(B1367,""id"",""en"")"),"['Cost', 'expensive', 'network', 'cheap', 'poor', ""]")</f>
        <v>['Cost', 'expensive', 'network', 'cheap', 'poor', "]</v>
      </c>
      <c r="D1367" s="3">
        <v>1.0</v>
      </c>
    </row>
    <row r="1368" ht="15.75" customHeight="1">
      <c r="A1368" s="1">
        <v>1477.0</v>
      </c>
      <c r="B1368" s="3" t="s">
        <v>1344</v>
      </c>
      <c r="C1368" s="3" t="str">
        <f>IFERROR(__xludf.DUMMYFUNCTION("GOOGLETRANSLATE(B1368,""id"",""en"")"),"['Pay', 'pay', 'Rada', 'late', 'a week', 'usage', 'internet', 'dead', 'report', 'already', 'broke', 'blacklist', ' Plaza ',' told ',' pairs', 'already', 'crazy', 'emang', 'indinih']")</f>
        <v>['Pay', 'pay', 'Rada', 'late', 'a week', 'usage', 'internet', 'dead', 'report', 'already', 'broke', 'blacklist', ' Plaza ',' told ',' pairs', 'already', 'crazy', 'emang', 'indinih']</v>
      </c>
      <c r="D1368" s="3">
        <v>1.0</v>
      </c>
    </row>
    <row r="1369" ht="15.75" customHeight="1">
      <c r="A1369" s="1">
        <v>1478.0</v>
      </c>
      <c r="B1369" s="3" t="s">
        <v>1345</v>
      </c>
      <c r="C1369" s="3" t="str">
        <f>IFERROR(__xludf.DUMMYFUNCTION("GOOGLETRANSLATE(B1369,""id"",""en"")"),"['use', 'Myindihome', 'smooth', 'obstacles', 'at all', 'good', 'really']")</f>
        <v>['use', 'Myindihome', 'smooth', 'obstacles', 'at all', 'good', 'really']</v>
      </c>
      <c r="D1369" s="3">
        <v>5.0</v>
      </c>
    </row>
    <row r="1370" ht="15.75" customHeight="1">
      <c r="A1370" s="1">
        <v>1479.0</v>
      </c>
      <c r="B1370" s="3" t="s">
        <v>1346</v>
      </c>
      <c r="C1370" s="3" t="str">
        <f>IFERROR(__xludf.DUMMYFUNCTION("GOOGLETRANSLATE(B1370,""id"",""en"")"),"['Olda', 'Indiehome', 'smooth', 'Jaya', 'Mantab', 'Help', 'Needs', 'a day']")</f>
        <v>['Olda', 'Indiehome', 'smooth', 'Jaya', 'Mantab', 'Help', 'Needs', 'a day']</v>
      </c>
      <c r="D1370" s="3">
        <v>5.0</v>
      </c>
    </row>
    <row r="1371" ht="15.75" customHeight="1">
      <c r="A1371" s="1">
        <v>1481.0</v>
      </c>
      <c r="B1371" s="3" t="s">
        <v>1347</v>
      </c>
      <c r="C1371" s="3" t="str">
        <f>IFERROR(__xludf.DUMMYFUNCTION("GOOGLETRANSLATE(B1371,""id"",""en"")"),"['service', 'good', 'report', 'disorder', 'lgsg', 'handy', 'trima', 'love', ""]")</f>
        <v>['service', 'good', 'report', 'disorder', 'lgsg', 'handy', 'trima', 'love', "]</v>
      </c>
      <c r="D1371" s="3">
        <v>5.0</v>
      </c>
    </row>
    <row r="1372" ht="15.75" customHeight="1">
      <c r="A1372" s="1">
        <v>1482.0</v>
      </c>
      <c r="B1372" s="3" t="s">
        <v>1348</v>
      </c>
      <c r="C1372" s="3" t="str">
        <f>IFERROR(__xludf.DUMMYFUNCTION("GOOGLETRANSLATE(B1372,""id"",""en"")"),"['application', 'ugly']")</f>
        <v>['application', 'ugly']</v>
      </c>
      <c r="D1372" s="3">
        <v>1.0</v>
      </c>
    </row>
    <row r="1373" ht="15.75" customHeight="1">
      <c r="A1373" s="1">
        <v>1483.0</v>
      </c>
      <c r="B1373" s="3" t="s">
        <v>1349</v>
      </c>
      <c r="C1373" s="3" t="str">
        <f>IFERROR(__xludf.DUMMYFUNCTION("GOOGLETRANSLATE(B1373,""id"",""en"")"),"['The application', 'Baguus']")</f>
        <v>['The application', 'Baguus']</v>
      </c>
      <c r="D1373" s="3">
        <v>5.0</v>
      </c>
    </row>
    <row r="1374" ht="15.75" customHeight="1">
      <c r="A1374" s="1">
        <v>1485.0</v>
      </c>
      <c r="B1374" s="3" t="s">
        <v>1350</v>
      </c>
      <c r="C1374" s="3" t="str">
        <f>IFERROR(__xludf.DUMMYFUNCTION("GOOGLETRANSLATE(B1374,""id"",""en"")"),"['Mantul', 'really', '']")</f>
        <v>['Mantul', 'really', '']</v>
      </c>
      <c r="D1374" s="3">
        <v>5.0</v>
      </c>
    </row>
    <row r="1375" ht="15.75" customHeight="1">
      <c r="A1375" s="1">
        <v>1486.0</v>
      </c>
      <c r="B1375" s="3" t="s">
        <v>1351</v>
      </c>
      <c r="C1375" s="3" t="str">
        <f>IFERROR(__xludf.DUMMYFUNCTION("GOOGLETRANSLATE(B1375,""id"",""en"")"),"['Application', 'good', 'really', 'makes it easy']")</f>
        <v>['Application', 'good', 'really', 'makes it easy']</v>
      </c>
      <c r="D1375" s="3">
        <v>5.0</v>
      </c>
    </row>
    <row r="1376" ht="15.75" customHeight="1">
      <c r="A1376" s="1">
        <v>1487.0</v>
      </c>
      <c r="B1376" s="3" t="s">
        <v>1352</v>
      </c>
      <c r="C1376" s="3" t="str">
        <f>IFERROR(__xludf.DUMMYFUNCTION("GOOGLETRANSLATE(B1376,""id"",""en"")"),"['The application', 'useful', 'see', 'bills', 'add', 'speed', 'report', 'disorder', 'kndla', ""]")</f>
        <v>['The application', 'useful', 'see', 'bills', 'add', 'speed', 'report', 'disorder', 'kndla', "]</v>
      </c>
      <c r="D1376" s="3">
        <v>5.0</v>
      </c>
    </row>
    <row r="1377" ht="15.75" customHeight="1">
      <c r="A1377" s="1">
        <v>1488.0</v>
      </c>
      <c r="B1377" s="3" t="s">
        <v>1353</v>
      </c>
      <c r="C1377" s="3" t="str">
        <f>IFERROR(__xludf.DUMMYFUNCTION("GOOGLETRANSLATE(B1377,""id"",""en"")"),"['Please', 'KNPA', 'The Network', 'Indihomen', 'Ngelag', 'Mulu', 'Ngerni', 'LGI']")</f>
        <v>['Please', 'KNPA', 'The Network', 'Indihomen', 'Ngelag', 'Mulu', 'Ngerni', 'LGI']</v>
      </c>
      <c r="D1377" s="3">
        <v>1.0</v>
      </c>
    </row>
    <row r="1378" ht="15.75" customHeight="1">
      <c r="A1378" s="1">
        <v>1489.0</v>
      </c>
      <c r="B1378" s="3" t="s">
        <v>1354</v>
      </c>
      <c r="C1378" s="3" t="str">
        <f>IFERROR(__xludf.DUMMYFUNCTION("GOOGLETRANSLATE(B1378,""id"",""en"")"),"['Indihome', 'help', 'need', 'a day', 'online']")</f>
        <v>['Indihome', 'help', 'need', 'a day', 'online']</v>
      </c>
      <c r="D1378" s="3">
        <v>5.0</v>
      </c>
    </row>
    <row r="1379" ht="15.75" customHeight="1">
      <c r="A1379" s="1">
        <v>1490.0</v>
      </c>
      <c r="B1379" s="3" t="s">
        <v>1355</v>
      </c>
      <c r="C1379" s="3" t="str">
        <f>IFERROR(__xludf.DUMMYFUNCTION("GOOGLETRANSLATE(B1379,""id"",""en"")"),"['Application', 'Baguss', 'steady', 'mantapp']")</f>
        <v>['Application', 'Baguss', 'steady', 'mantapp']</v>
      </c>
      <c r="D1379" s="3">
        <v>5.0</v>
      </c>
    </row>
    <row r="1380" ht="15.75" customHeight="1">
      <c r="A1380" s="1">
        <v>1492.0</v>
      </c>
      <c r="B1380" s="3" t="s">
        <v>1356</v>
      </c>
      <c r="C1380" s="3" t="str">
        <f>IFERROR(__xludf.DUMMYFUNCTION("GOOGLETRANSLATE(B1380,""id"",""en"")"),"['Network', 'okay']")</f>
        <v>['Network', 'okay']</v>
      </c>
      <c r="D1380" s="3">
        <v>5.0</v>
      </c>
    </row>
    <row r="1381" ht="15.75" customHeight="1">
      <c r="A1381" s="1">
        <v>1494.0</v>
      </c>
      <c r="B1381" s="3" t="s">
        <v>1357</v>
      </c>
      <c r="C1381" s="3" t="str">
        <f>IFERROR(__xludf.DUMMYFUNCTION("GOOGLETRANSLATE(B1381,""id"",""en"")"),"['Severe', 'report']")</f>
        <v>['Severe', 'report']</v>
      </c>
      <c r="D1381" s="3">
        <v>1.0</v>
      </c>
    </row>
    <row r="1382" ht="15.75" customHeight="1">
      <c r="A1382" s="1">
        <v>1495.0</v>
      </c>
      <c r="B1382" s="3" t="s">
        <v>1358</v>
      </c>
      <c r="C1382" s="3" t="str">
        <f>IFERROR(__xludf.DUMMYFUNCTION("GOOGLETRANSLATE(B1382,""id"",""en"")"),"['user', 'internet', 'cable', 'Indihome', 'satisfied', 'plus',' use ',' application ',' help ',' monitor ',' indihome ',' steady ',' Dehh ',' loss']")</f>
        <v>['user', 'internet', 'cable', 'Indihome', 'satisfied', 'plus',' use ',' application ',' help ',' monitor ',' indihome ',' steady ',' Dehh ',' loss']</v>
      </c>
      <c r="D1382" s="3">
        <v>5.0</v>
      </c>
    </row>
    <row r="1383" ht="15.75" customHeight="1">
      <c r="A1383" s="1">
        <v>1496.0</v>
      </c>
      <c r="B1383" s="3" t="s">
        <v>1359</v>
      </c>
      <c r="C1383" s="3" t="str">
        <f>IFERROR(__xludf.DUMMYFUNCTION("GOOGLETRANSLATE(B1383,""id"",""en"")"),"['signal', 'slow']")</f>
        <v>['signal', 'slow']</v>
      </c>
      <c r="D1383" s="3">
        <v>1.0</v>
      </c>
    </row>
    <row r="1384" ht="15.75" customHeight="1">
      <c r="A1384" s="1">
        <v>1497.0</v>
      </c>
      <c r="B1384" s="3" t="s">
        <v>1360</v>
      </c>
      <c r="C1384" s="3" t="str">
        <f>IFERROR(__xludf.DUMMYFUNCTION("GOOGLETRANSLATE(B1384,""id"",""en"")"),"['application', 'good', 'has', 'features', 'useful', 'comfortable', 'hopefully', 'maintained', 'enhanced', 'features', 'features', ""]")</f>
        <v>['application', 'good', 'has', 'features', 'useful', 'comfortable', 'hopefully', 'maintained', 'enhanced', 'features', 'features', "]</v>
      </c>
      <c r="D1384" s="3">
        <v>5.0</v>
      </c>
    </row>
    <row r="1385" ht="15.75" customHeight="1">
      <c r="A1385" s="1">
        <v>1498.0</v>
      </c>
      <c r="B1385" s="3" t="s">
        <v>1340</v>
      </c>
      <c r="C1385" s="3" t="str">
        <f>IFERROR(__xludf.DUMMYFUNCTION("GOOGLETRANSLATE(B1385,""id"",""en"")"),"['Application', 'help', ""]")</f>
        <v>['Application', 'help', "]</v>
      </c>
      <c r="D1385" s="3">
        <v>5.0</v>
      </c>
    </row>
    <row r="1386" ht="15.75" customHeight="1">
      <c r="A1386" s="1">
        <v>1499.0</v>
      </c>
      <c r="B1386" s="3" t="s">
        <v>1361</v>
      </c>
      <c r="C1386" s="3" t="str">
        <f>IFERROR(__xludf.DUMMYFUNCTION("GOOGLETRANSLATE(B1386,""id"",""en"")"),"['Application', 'bother']")</f>
        <v>['Application', 'bother']</v>
      </c>
      <c r="D1386" s="3">
        <v>1.0</v>
      </c>
    </row>
    <row r="1387" ht="15.75" customHeight="1">
      <c r="A1387" s="1">
        <v>1500.0</v>
      </c>
      <c r="B1387" s="3" t="s">
        <v>1362</v>
      </c>
      <c r="C1387" s="3" t="str">
        <f>IFERROR(__xludf.DUMMYFUNCTION("GOOGLETRANSLATE(B1387,""id"",""en"")"),"['Application', 'INDIHOME', 'HELP', 'Easy to', 'User']")</f>
        <v>['Application', 'INDIHOME', 'HELP', 'Easy to', 'User']</v>
      </c>
      <c r="D1387" s="3">
        <v>5.0</v>
      </c>
    </row>
    <row r="1388" ht="15.75" customHeight="1">
      <c r="A1388" s="1">
        <v>1504.0</v>
      </c>
      <c r="B1388" s="3" t="s">
        <v>1363</v>
      </c>
      <c r="C1388" s="3" t="str">
        <f>IFERROR(__xludf.DUMMYFUNCTION("GOOGLETRANSLATE(B1388,""id"",""en"")"),"['help']")</f>
        <v>['help']</v>
      </c>
      <c r="D1388" s="3">
        <v>5.0</v>
      </c>
    </row>
    <row r="1389" ht="15.75" customHeight="1">
      <c r="A1389" s="1">
        <v>1507.0</v>
      </c>
      <c r="B1389" s="3" t="s">
        <v>1364</v>
      </c>
      <c r="C1389" s="3" t="str">
        <f>IFERROR(__xludf.DUMMYFUNCTION("GOOGLETRANSLATE(B1389,""id"",""en"")"),"['Good', '']")</f>
        <v>['Good', '']</v>
      </c>
      <c r="D1389" s="3">
        <v>5.0</v>
      </c>
    </row>
    <row r="1390" ht="15.75" customHeight="1">
      <c r="A1390" s="1">
        <v>1508.0</v>
      </c>
      <c r="B1390" s="3" t="s">
        <v>1365</v>
      </c>
      <c r="C1390" s="3" t="str">
        <f>IFERROR(__xludf.DUMMYFUNCTION("GOOGLETRANSLATE(B1390,""id"",""en"")"),"['mantaapp']")</f>
        <v>['mantaapp']</v>
      </c>
      <c r="D1390" s="3">
        <v>5.0</v>
      </c>
    </row>
    <row r="1391" ht="15.75" customHeight="1">
      <c r="A1391" s="1">
        <v>1509.0</v>
      </c>
      <c r="B1391" s="3" t="s">
        <v>1366</v>
      </c>
      <c r="C1391" s="3" t="str">
        <f>IFERROR(__xludf.DUMMYFUNCTION("GOOGLETRANSLATE(B1391,""id"",""en"")"),"['thanks']")</f>
        <v>['thanks']</v>
      </c>
      <c r="D1391" s="3">
        <v>5.0</v>
      </c>
    </row>
    <row r="1392" ht="15.75" customHeight="1">
      <c r="A1392" s="1">
        <v>1510.0</v>
      </c>
      <c r="B1392" s="3" t="s">
        <v>1367</v>
      </c>
      <c r="C1392" s="3" t="str">
        <f>IFERROR(__xludf.DUMMYFUNCTION("GOOGLETRANSLATE(B1392,""id"",""en"")"),"['thanks']")</f>
        <v>['thanks']</v>
      </c>
      <c r="D1392" s="3">
        <v>5.0</v>
      </c>
    </row>
    <row r="1393" ht="15.75" customHeight="1">
      <c r="A1393" s="1">
        <v>1511.0</v>
      </c>
      <c r="B1393" s="3" t="s">
        <v>1368</v>
      </c>
      <c r="C1393" s="3" t="str">
        <f>IFERROR(__xludf.DUMMYFUNCTION("GOOGLETRANSLATE(B1393,""id"",""en"")"),"['thank', 'love', 'indihome']")</f>
        <v>['thank', 'love', 'indihome']</v>
      </c>
      <c r="D1393" s="3">
        <v>5.0</v>
      </c>
    </row>
    <row r="1394" ht="15.75" customHeight="1">
      <c r="A1394" s="1">
        <v>1512.0</v>
      </c>
      <c r="B1394" s="3" t="s">
        <v>1369</v>
      </c>
      <c r="C1394" s="3" t="str">
        <f>IFERROR(__xludf.DUMMYFUNCTION("GOOGLETRANSLATE(B1394,""id"",""en"")"),"['Trimakasih', 'Indihome']")</f>
        <v>['Trimakasih', 'Indihome']</v>
      </c>
      <c r="D1394" s="3">
        <v>5.0</v>
      </c>
    </row>
    <row r="1395" ht="15.75" customHeight="1">
      <c r="A1395" s="1">
        <v>1515.0</v>
      </c>
      <c r="B1395" s="3" t="s">
        <v>174</v>
      </c>
      <c r="C1395" s="3" t="str">
        <f>IFERROR(__xludf.DUMMYFUNCTION("GOOGLETRANSLATE(B1395,""id"",""en"")"),"['help', '']")</f>
        <v>['help', '']</v>
      </c>
      <c r="D1395" s="3">
        <v>5.0</v>
      </c>
    </row>
    <row r="1396" ht="15.75" customHeight="1">
      <c r="A1396" s="1">
        <v>1516.0</v>
      </c>
      <c r="B1396" s="3" t="s">
        <v>1370</v>
      </c>
      <c r="C1396" s="3" t="str">
        <f>IFERROR(__xludf.DUMMYFUNCTION("GOOGLETRANSLATE(B1396,""id"",""en"")"),"['mantaaaap']")</f>
        <v>['mantaaaap']</v>
      </c>
      <c r="D1396" s="3">
        <v>5.0</v>
      </c>
    </row>
    <row r="1397" ht="15.75" customHeight="1">
      <c r="A1397" s="1">
        <v>1517.0</v>
      </c>
      <c r="B1397" s="3" t="s">
        <v>1371</v>
      </c>
      <c r="C1397" s="3" t="str">
        <f>IFERROR(__xludf.DUMMYFUNCTION("GOOGLETRANSLATE(B1397,""id"",""en"")"),"['subscription', 'Indisport', 'Champions', 'September', 'appears', 'Chanel', 'appeared', 'bills', 'paid', 'tks', 'answer', '']")</f>
        <v>['subscription', 'Indisport', 'Champions', 'September', 'appears', 'Chanel', 'appeared', 'bills', 'paid', 'tks', 'answer', '']</v>
      </c>
      <c r="D1397" s="3">
        <v>3.0</v>
      </c>
    </row>
    <row r="1398" ht="15.75" customHeight="1">
      <c r="A1398" s="1">
        <v>1518.0</v>
      </c>
      <c r="B1398" s="3" t="s">
        <v>1372</v>
      </c>
      <c r="C1398" s="3" t="str">
        <f>IFERROR(__xludf.DUMMYFUNCTION("GOOGLETRANSLATE(B1398,""id"",""en"")"),"['Application', 'Help']")</f>
        <v>['Application', 'Help']</v>
      </c>
      <c r="D1398" s="3">
        <v>5.0</v>
      </c>
    </row>
    <row r="1399" ht="15.75" customHeight="1">
      <c r="A1399" s="1">
        <v>1520.0</v>
      </c>
      <c r="B1399" s="3" t="s">
        <v>1373</v>
      </c>
      <c r="C1399" s="3" t="str">
        <f>IFERROR(__xludf.DUMMYFUNCTION("GOOGLETRANSLATE(B1399,""id"",""en"")"),"['Thank you', 'Indihome', 'help']")</f>
        <v>['Thank you', 'Indihome', 'help']</v>
      </c>
      <c r="D1399" s="3">
        <v>5.0</v>
      </c>
    </row>
    <row r="1400" ht="15.75" customHeight="1">
      <c r="A1400" s="1">
        <v>1522.0</v>
      </c>
      <c r="B1400" s="3" t="s">
        <v>1374</v>
      </c>
      <c r="C1400" s="3" t="str">
        <f>IFERROR(__xludf.DUMMYFUNCTION("GOOGLETRANSLATE(B1400,""id"",""en"")"),"['mantaapppp', 'Helpful', '']")</f>
        <v>['mantaapppp', 'Helpful', '']</v>
      </c>
      <c r="D1400" s="3">
        <v>5.0</v>
      </c>
    </row>
    <row r="1401" ht="15.75" customHeight="1">
      <c r="A1401" s="1">
        <v>1523.0</v>
      </c>
      <c r="B1401" s="3" t="s">
        <v>239</v>
      </c>
      <c r="C1401" s="3" t="str">
        <f>IFERROR(__xludf.DUMMYFUNCTION("GOOGLETRANSLATE(B1401,""id"",""en"")"),"['', '']")</f>
        <v>['', '']</v>
      </c>
      <c r="D1401" s="3">
        <v>5.0</v>
      </c>
    </row>
    <row r="1402" ht="15.75" customHeight="1">
      <c r="A1402" s="1">
        <v>1525.0</v>
      </c>
      <c r="B1402" s="3" t="s">
        <v>1375</v>
      </c>
      <c r="C1402" s="3" t="str">
        <f>IFERROR(__xludf.DUMMYFUNCTION("GOOGLETRANSLATE(B1402,""id"",""en"")"),"['It's easier for']")</f>
        <v>['It's easier for']</v>
      </c>
      <c r="D1402" s="3">
        <v>5.0</v>
      </c>
    </row>
    <row r="1403" ht="15.75" customHeight="1">
      <c r="A1403" s="1">
        <v>1526.0</v>
      </c>
      <c r="B1403" s="3" t="s">
        <v>1376</v>
      </c>
      <c r="C1403" s="3" t="str">
        <f>IFERROR(__xludf.DUMMYFUNCTION("GOOGLETRANSLATE(B1403,""id"",""en"")"),"['Service', 'Indihome', 'Kian', 'Kian', 'Bad', 'Pay', 'Expensive', 'Results', 'satisfying']")</f>
        <v>['Service', 'Indihome', 'Kian', 'Kian', 'Bad', 'Pay', 'Expensive', 'Results', 'satisfying']</v>
      </c>
      <c r="D1403" s="3">
        <v>1.0</v>
      </c>
    </row>
    <row r="1404" ht="15.75" customHeight="1">
      <c r="A1404" s="1">
        <v>1527.0</v>
      </c>
      <c r="B1404" s="3" t="s">
        <v>1377</v>
      </c>
      <c r="C1404" s="3" t="str">
        <f>IFERROR(__xludf.DUMMYFUNCTION("GOOGLETRANSLATE(B1404,""id"",""en"")"),"['bad network']")</f>
        <v>['bad network']</v>
      </c>
      <c r="D1404" s="3">
        <v>1.0</v>
      </c>
    </row>
    <row r="1405" ht="15.75" customHeight="1">
      <c r="A1405" s="1">
        <v>1529.0</v>
      </c>
      <c r="B1405" s="3" t="s">
        <v>1378</v>
      </c>
      <c r="C1405" s="3" t="str">
        <f>IFERROR(__xludf.DUMMYFUNCTION("GOOGLETRANSLATE(B1405,""id"",""en"")"),"['Good', 'service', 'Garcep']")</f>
        <v>['Good', 'service', 'Garcep']</v>
      </c>
      <c r="D1405" s="3">
        <v>5.0</v>
      </c>
    </row>
    <row r="1406" ht="15.75" customHeight="1">
      <c r="A1406" s="1">
        <v>1530.0</v>
      </c>
      <c r="B1406" s="3" t="s">
        <v>1379</v>
      </c>
      <c r="C1406" s="3" t="str">
        <f>IFERROR(__xludf.DUMMYFUNCTION("GOOGLETRANSLATE(B1406,""id"",""en"")"),"['Network', 'Loss', 'Mulu', 'wonder']")</f>
        <v>['Network', 'Loss', 'Mulu', 'wonder']</v>
      </c>
      <c r="D1406" s="3">
        <v>1.0</v>
      </c>
    </row>
    <row r="1407" ht="15.75" customHeight="1">
      <c r="A1407" s="1">
        <v>1531.0</v>
      </c>
      <c r="B1407" s="3" t="s">
        <v>1380</v>
      </c>
      <c r="C1407" s="3" t="str">
        <f>IFERROR(__xludf.DUMMYFUNCTION("GOOGLETRANSLATE(B1407,""id"",""en"")"),"['Yesterday', 'Alhamdulillah', 'Sampe', 'Good', '']")</f>
        <v>['Yesterday', 'Alhamdulillah', 'Sampe', 'Good', '']</v>
      </c>
      <c r="D1407" s="3">
        <v>5.0</v>
      </c>
    </row>
    <row r="1408" ht="15.75" customHeight="1">
      <c r="A1408" s="1">
        <v>1533.0</v>
      </c>
      <c r="B1408" s="3" t="s">
        <v>1381</v>
      </c>
      <c r="C1408" s="3" t="str">
        <f>IFERROR(__xludf.DUMMYFUNCTION("GOOGLETRANSLATE(B1408,""id"",""en"")"),"['apk', 'help', 'wifi', 'at home', 'disorder']")</f>
        <v>['apk', 'help', 'wifi', 'at home', 'disorder']</v>
      </c>
      <c r="D1408" s="3">
        <v>5.0</v>
      </c>
    </row>
    <row r="1409" ht="15.75" customHeight="1">
      <c r="A1409" s="1">
        <v>1535.0</v>
      </c>
      <c r="B1409" s="3" t="s">
        <v>1382</v>
      </c>
      <c r="C1409" s="3" t="str">
        <f>IFERROR(__xludf.DUMMYFUNCTION("GOOGLETRANSLATE(B1409,""id"",""en"")"),"['app', 'help']")</f>
        <v>['app', 'help']</v>
      </c>
      <c r="D1409" s="3">
        <v>5.0</v>
      </c>
    </row>
    <row r="1410" ht="15.75" customHeight="1">
      <c r="A1410" s="1">
        <v>1537.0</v>
      </c>
      <c r="B1410" s="3" t="s">
        <v>1383</v>
      </c>
      <c r="C1410" s="3" t="str">
        <f>IFERROR(__xludf.DUMMYFUNCTION("GOOGLETRANSLATE(B1410,""id"",""en"")"),"['Helpful', 'application']")</f>
        <v>['Helpful', 'application']</v>
      </c>
      <c r="D1410" s="3">
        <v>5.0</v>
      </c>
    </row>
    <row r="1411" ht="15.75" customHeight="1">
      <c r="A1411" s="1">
        <v>1538.0</v>
      </c>
      <c r="B1411" s="3" t="s">
        <v>1384</v>
      </c>
      <c r="C1411" s="3" t="str">
        <f>IFERROR(__xludf.DUMMYFUNCTION("GOOGLETRANSLATE(B1411,""id"",""en"")"),"['Current', 'Jaya']")</f>
        <v>['Current', 'Jaya']</v>
      </c>
      <c r="D1411" s="3">
        <v>5.0</v>
      </c>
    </row>
    <row r="1412" ht="15.75" customHeight="1">
      <c r="A1412" s="1">
        <v>1539.0</v>
      </c>
      <c r="B1412" s="3" t="s">
        <v>1385</v>
      </c>
      <c r="C1412" s="3" t="str">
        <f>IFERROR(__xludf.DUMMYFUNCTION("GOOGLETRANSLATE(B1412,""id"",""en"")"),"['wiII', 'steady', 'application', 'myindihome', '']")</f>
        <v>['wiII', 'steady', 'application', 'myindihome', '']</v>
      </c>
      <c r="D1412" s="3">
        <v>5.0</v>
      </c>
    </row>
    <row r="1413" ht="15.75" customHeight="1">
      <c r="A1413" s="1">
        <v>1541.0</v>
      </c>
      <c r="B1413" s="3" t="s">
        <v>1386</v>
      </c>
      <c r="C1413" s="3" t="str">
        <f>IFERROR(__xludf.DUMMYFUNCTION("GOOGLETRANSLATE(B1413,""id"",""en"")"),"['My APK', 'good', 'help']")</f>
        <v>['My APK', 'good', 'help']</v>
      </c>
      <c r="D1413" s="3">
        <v>5.0</v>
      </c>
    </row>
    <row r="1414" ht="15.75" customHeight="1">
      <c r="A1414" s="1">
        <v>1543.0</v>
      </c>
      <c r="B1414" s="3" t="s">
        <v>1387</v>
      </c>
      <c r="C1414" s="3" t="str">
        <f>IFERROR(__xludf.DUMMYFUNCTION("GOOGLETRANSLATE(B1414,""id"",""en"")"),"['knapa', 'connection', 'Lemott', 'open', 'YouTube', 'slow', 'play', 'game', ""]")</f>
        <v>['knapa', 'connection', 'Lemott', 'open', 'YouTube', 'slow', 'play', 'game', "]</v>
      </c>
      <c r="D1414" s="3">
        <v>3.0</v>
      </c>
    </row>
    <row r="1415" ht="15.75" customHeight="1">
      <c r="A1415" s="1">
        <v>1544.0</v>
      </c>
      <c r="B1415" s="3" t="s">
        <v>1388</v>
      </c>
      <c r="C1415" s="3" t="str">
        <f>IFERROR(__xludf.DUMMYFUNCTION("GOOGLETRANSLATE(B1415,""id"",""en"")"),"['Myindihome', 'Cool', 'really', 'Success', 'yaa', ""]")</f>
        <v>['Myindihome', 'Cool', 'really', 'Success', 'yaa', "]</v>
      </c>
      <c r="D1415" s="3">
        <v>5.0</v>
      </c>
    </row>
    <row r="1416" ht="15.75" customHeight="1">
      <c r="A1416" s="1">
        <v>1545.0</v>
      </c>
      <c r="B1416" s="3" t="s">
        <v>1389</v>
      </c>
      <c r="C1416" s="3" t="str">
        <f>IFERROR(__xludf.DUMMYFUNCTION("GOOGLETRANSLATE(B1416,""id"",""en"")"),"['Provider', 'Internet', 'Worst', 'World', 'Provider', 'Expensive', 'Troubled', 'Confirmed', 'Try', 'Restart', 'WiFinya', 'Sis',' restarted ',' ngak ',' complain ',' ngeapain ',' waste ',' pulse ',' just ',' restart ',' ']")</f>
        <v>['Provider', 'Internet', 'Worst', 'World', 'Provider', 'Expensive', 'Troubled', 'Confirmed', 'Try', 'Restart', 'WiFinya', 'Sis',' restarted ',' ngak ',' complain ',' ngeapain ',' waste ',' pulse ',' just ',' restart ',' ']</v>
      </c>
      <c r="D1416" s="3">
        <v>1.0</v>
      </c>
    </row>
    <row r="1417" ht="15.75" customHeight="1">
      <c r="A1417" s="1">
        <v>1546.0</v>
      </c>
      <c r="B1417" s="3" t="s">
        <v>1390</v>
      </c>
      <c r="C1417" s="3" t="str">
        <f>IFERROR(__xludf.DUMMYFUNCTION("GOOGLETRANSLATE(B1417,""id"",""en"")"),"['Current', 'Play', 'Valorant', 'Terimaksih', 'Indihome']")</f>
        <v>['Current', 'Play', 'Valorant', 'Terimaksih', 'Indihome']</v>
      </c>
      <c r="D1417" s="3">
        <v>5.0</v>
      </c>
    </row>
    <row r="1418" ht="15.75" customHeight="1">
      <c r="A1418" s="1">
        <v>1547.0</v>
      </c>
      <c r="B1418" s="3" t="s">
        <v>1391</v>
      </c>
      <c r="C1418" s="3" t="str">
        <f>IFERROR(__xludf.DUMMYFUNCTION("GOOGLETRANSLATE(B1418,""id"",""en"")"),"['wifi', 'expensive', 'quality', 'low']")</f>
        <v>['wifi', 'expensive', 'quality', 'low']</v>
      </c>
      <c r="D1418" s="3">
        <v>1.0</v>
      </c>
    </row>
    <row r="1419" ht="15.75" customHeight="1">
      <c r="A1419" s="1">
        <v>1548.0</v>
      </c>
      <c r="B1419" s="3" t="s">
        <v>1392</v>
      </c>
      <c r="C1419" s="3" t="str">
        <f>IFERROR(__xludf.DUMMYFUNCTION("GOOGLETRANSLATE(B1419,""id"",""en"")"),"['manteeppp', 'really', 'nihh', 'indihome', '']")</f>
        <v>['manteeppp', 'really', 'nihh', 'indihome', '']</v>
      </c>
      <c r="D1419" s="3">
        <v>5.0</v>
      </c>
    </row>
    <row r="1420" ht="15.75" customHeight="1">
      <c r="A1420" s="1">
        <v>1549.0</v>
      </c>
      <c r="B1420" s="3" t="s">
        <v>1393</v>
      </c>
      <c r="C1420" s="3" t="str">
        <f>IFERROR(__xludf.DUMMYFUNCTION("GOOGLETRANSLATE(B1420,""id"",""en"")"),"['Cool', 'App', '']")</f>
        <v>['Cool', 'App', '']</v>
      </c>
      <c r="D1420" s="3">
        <v>5.0</v>
      </c>
    </row>
    <row r="1421" ht="15.75" customHeight="1">
      <c r="A1421" s="1">
        <v>1550.0</v>
      </c>
      <c r="B1421" s="3" t="s">
        <v>1394</v>
      </c>
      <c r="C1421" s="3" t="str">
        <f>IFERROR(__xludf.DUMMYFUNCTION("GOOGLETRANSLATE(B1421,""id"",""en"")"),"['original', 'app', 'help', 'steady', 'deh', 'basically', ""]")</f>
        <v>['original', 'app', 'help', 'steady', 'deh', 'basically', "]</v>
      </c>
      <c r="D1421" s="3">
        <v>5.0</v>
      </c>
    </row>
    <row r="1422" ht="15.75" customHeight="1">
      <c r="A1422" s="1">
        <v>1551.0</v>
      </c>
      <c r="B1422" s="3" t="s">
        <v>1395</v>
      </c>
      <c r="C1422" s="3" t="str">
        <f>IFERROR(__xludf.DUMMYFUNCTION("GOOGLETRANSLATE(B1422,""id"",""en"")"),"['The network', 'good', 'fast', 'really', 'comfortable', 'pakenyaaa', 'The', 'Best', '']")</f>
        <v>['The network', 'good', 'fast', 'really', 'comfortable', 'pakenyaaa', 'The', 'Best', '']</v>
      </c>
      <c r="D1422" s="3">
        <v>5.0</v>
      </c>
    </row>
    <row r="1423" ht="15.75" customHeight="1">
      <c r="A1423" s="1">
        <v>1552.0</v>
      </c>
      <c r="B1423" s="3" t="s">
        <v>1396</v>
      </c>
      <c r="C1423" s="3" t="str">
        <f>IFERROR(__xludf.DUMMYFUNCTION("GOOGLETRANSLATE(B1423,""id"",""en"")"),"['Application', 'Help', 'Easy', 'Information', 'Service', 'Indihome', 'Select', 'Service', 'Extra', 'Opporta', 'Promo', 'Interesting', ' Report ',' disorder ',' essence ',' convenience ',' in the hand ',' customer ',' ']")</f>
        <v>['Application', 'Help', 'Easy', 'Information', 'Service', 'Indihome', 'Select', 'Service', 'Extra', 'Opporta', 'Promo', 'Interesting', ' Report ',' disorder ',' essence ',' convenience ',' in the hand ',' customer ',' ']</v>
      </c>
      <c r="D1423" s="3">
        <v>5.0</v>
      </c>
    </row>
    <row r="1424" ht="15.75" customHeight="1">
      <c r="A1424" s="1">
        <v>1553.0</v>
      </c>
      <c r="B1424" s="3" t="s">
        <v>1397</v>
      </c>
      <c r="C1424" s="3" t="str">
        <f>IFERROR(__xludf.DUMMYFUNCTION("GOOGLETRANSLATE(B1424,""id"",""en"")"),"['APK', 'steady', 'really']")</f>
        <v>['APK', 'steady', 'really']</v>
      </c>
      <c r="D1424" s="3">
        <v>5.0</v>
      </c>
    </row>
    <row r="1425" ht="15.75" customHeight="1">
      <c r="A1425" s="1">
        <v>1554.0</v>
      </c>
      <c r="B1425" s="3" t="s">
        <v>1398</v>
      </c>
      <c r="C1425" s="3" t="str">
        <f>IFERROR(__xludf.DUMMYFUNCTION("GOOGLETRANSLATE(B1425,""id"",""en"")"),"['Good', 'App']")</f>
        <v>['Good', 'App']</v>
      </c>
      <c r="D1425" s="3">
        <v>5.0</v>
      </c>
    </row>
    <row r="1426" ht="15.75" customHeight="1">
      <c r="A1426" s="1">
        <v>1555.0</v>
      </c>
      <c r="B1426" s="3" t="s">
        <v>1399</v>
      </c>
      <c r="C1426" s="3" t="str">
        <f>IFERROR(__xludf.DUMMYFUNCTION("GOOGLETRANSLATE(B1426,""id"",""en"")"),"['thank you', 'application', 'help', 'era', 'pandemic']")</f>
        <v>['thank you', 'application', 'help', 'era', 'pandemic']</v>
      </c>
      <c r="D1426" s="3">
        <v>5.0</v>
      </c>
    </row>
    <row r="1427" ht="15.75" customHeight="1">
      <c r="A1427" s="1">
        <v>1556.0</v>
      </c>
      <c r="B1427" s="3" t="s">
        <v>1400</v>
      </c>
      <c r="C1427" s="3" t="str">
        <f>IFERROR(__xludf.DUMMYFUNCTION("GOOGLETRANSLATE(B1427,""id"",""en"")"),"['Cool', 'Help', 'Lecture', 'Online']")</f>
        <v>['Cool', 'Help', 'Lecture', 'Online']</v>
      </c>
      <c r="D1427" s="3">
        <v>5.0</v>
      </c>
    </row>
    <row r="1428" ht="15.75" customHeight="1">
      <c r="A1428" s="1">
        <v>1557.0</v>
      </c>
      <c r="B1428" s="3" t="s">
        <v>1401</v>
      </c>
      <c r="C1428" s="3" t="str">
        <f>IFERROR(__xludf.DUMMYFUNCTION("GOOGLETRANSLATE(B1428,""id"",""en"")"),"['Speed', 'internet', 'bln', 'smooth', 'fast', 'according to', 'package', 'selected', 'tapiiii', 'bln', 'skrg', 'slow', ' Complaints', 'Reasons',' Improvement ',' Network ',' Recommended ',' Udh ',' Pay ',' again ',' bln ']")</f>
        <v>['Speed', 'internet', 'bln', 'smooth', 'fast', 'according to', 'package', 'selected', 'tapiiii', 'bln', 'skrg', 'slow', ' Complaints', 'Reasons',' Improvement ',' Network ',' Recommended ',' Udh ',' Pay ',' again ',' bln ']</v>
      </c>
      <c r="D1428" s="3">
        <v>3.0</v>
      </c>
    </row>
    <row r="1429" ht="15.75" customHeight="1">
      <c r="A1429" s="1">
        <v>1558.0</v>
      </c>
      <c r="B1429" s="3" t="s">
        <v>1402</v>
      </c>
      <c r="C1429" s="3" t="str">
        <f>IFERROR(__xludf.DUMMYFUNCTION("GOOGLETRANSLATE(B1429,""id"",""en"")"),"['Internet', 'Indihome', 'experience', 'Disruption', 'Morning', 'night', 'Morning', 'Report', 'Call', 'Center', 'Processed', 'Afternoon', ' Afternoon ',' telephone ',' Life ',' told ',' Wait ',' Tomorrow ',' Morning ',' Gara ',' Internet ',' Disorders', '"&amp;"Sell', 'Online', 'Trading' , 'school', 'online', 'child', 'constrained', '']")</f>
        <v>['Internet', 'Indihome', 'experience', 'Disruption', 'Morning', 'night', 'Morning', 'Report', 'Call', 'Center', 'Processed', 'Afternoon', ' Afternoon ',' telephone ',' Life ',' told ',' Wait ',' Tomorrow ',' Morning ',' Gara ',' Internet ',' Disorders', 'Sell', 'Online', 'Trading' , 'school', 'online', 'child', 'constrained', '']</v>
      </c>
      <c r="D1429" s="3">
        <v>1.0</v>
      </c>
    </row>
    <row r="1430" ht="15.75" customHeight="1">
      <c r="A1430" s="1">
        <v>1559.0</v>
      </c>
      <c r="B1430" s="3" t="s">
        <v>1403</v>
      </c>
      <c r="C1430" s="3" t="str">
        <f>IFERROR(__xludf.DUMMYFUNCTION("GOOGLETRANSLATE(B1430,""id"",""en"")"),"['easy to understand', '']")</f>
        <v>['easy to understand', '']</v>
      </c>
      <c r="D1430" s="3">
        <v>5.0</v>
      </c>
    </row>
    <row r="1431" ht="15.75" customHeight="1">
      <c r="A1431" s="1">
        <v>1560.0</v>
      </c>
      <c r="B1431" s="3" t="s">
        <v>1404</v>
      </c>
      <c r="C1431" s="3" t="str">
        <f>IFERROR(__xludf.DUMMYFUNCTION("GOOGLETRANSLATE(B1431,""id"",""en"")"),"['Application', 'TOP']")</f>
        <v>['Application', 'TOP']</v>
      </c>
      <c r="D1431" s="3">
        <v>5.0</v>
      </c>
    </row>
    <row r="1432" ht="15.75" customHeight="1">
      <c r="A1432" s="1">
        <v>1561.0</v>
      </c>
      <c r="B1432" s="3" t="s">
        <v>1405</v>
      </c>
      <c r="C1432" s="3" t="str">
        <f>IFERROR(__xludf.DUMMYFUNCTION("GOOGLETRANSLATE(B1432,""id"",""en"")"),"['steady', 'best', 'really']")</f>
        <v>['steady', 'best', 'really']</v>
      </c>
      <c r="D1432" s="3">
        <v>5.0</v>
      </c>
    </row>
    <row r="1433" ht="15.75" customHeight="1">
      <c r="A1433" s="1">
        <v>1562.0</v>
      </c>
      <c r="B1433" s="3" t="s">
        <v>1406</v>
      </c>
      <c r="C1433" s="3" t="str">
        <f>IFERROR(__xludf.DUMMYFUNCTION("GOOGLETRANSLATE(B1433,""id"",""en"")"),"['The application', 'help', 'use']")</f>
        <v>['The application', 'help', 'use']</v>
      </c>
      <c r="D1433" s="3">
        <v>5.0</v>
      </c>
    </row>
    <row r="1434" ht="15.75" customHeight="1">
      <c r="A1434" s="1">
        <v>1563.0</v>
      </c>
      <c r="B1434" s="3" t="s">
        <v>1407</v>
      </c>
      <c r="C1434" s="3" t="str">
        <f>IFERROR(__xludf.DUMMYFUNCTION("GOOGLETRANSLATE(B1434,""id"",""en"")"),"['really good']")</f>
        <v>['really good']</v>
      </c>
      <c r="D1434" s="3">
        <v>5.0</v>
      </c>
    </row>
    <row r="1435" ht="15.75" customHeight="1">
      <c r="A1435" s="1">
        <v>1564.0</v>
      </c>
      <c r="B1435" s="3" t="s">
        <v>962</v>
      </c>
      <c r="C1435" s="3" t="str">
        <f>IFERROR(__xludf.DUMMYFUNCTION("GOOGLETRANSLATE(B1435,""id"",""en"")"),"['Cool', 'App']")</f>
        <v>['Cool', 'App']</v>
      </c>
      <c r="D1435" s="3">
        <v>5.0</v>
      </c>
    </row>
    <row r="1436" ht="15.75" customHeight="1">
      <c r="A1436" s="1">
        <v>1566.0</v>
      </c>
      <c r="B1436" s="3" t="s">
        <v>1408</v>
      </c>
      <c r="C1436" s="3" t="str">
        <f>IFERROR(__xludf.DUMMYFUNCTION("GOOGLETRANSLATE(B1436,""id"",""en"")"),"['erooooooor', 'access']")</f>
        <v>['erooooooor', 'access']</v>
      </c>
      <c r="D1436" s="3">
        <v>1.0</v>
      </c>
    </row>
    <row r="1437" ht="15.75" customHeight="1">
      <c r="A1437" s="1">
        <v>1567.0</v>
      </c>
      <c r="B1437" s="3" t="s">
        <v>1409</v>
      </c>
      <c r="C1437" s="3" t="str">
        <f>IFERROR(__xludf.DUMMYFUNCTION("GOOGLETRANSLATE(B1437,""id"",""en"")"),"['The network', 'stable', 'the application', 'help']")</f>
        <v>['The network', 'stable', 'the application', 'help']</v>
      </c>
      <c r="D1437" s="3">
        <v>5.0</v>
      </c>
    </row>
    <row r="1438" ht="15.75" customHeight="1">
      <c r="A1438" s="1">
        <v>1569.0</v>
      </c>
      <c r="B1438" s="3" t="s">
        <v>1410</v>
      </c>
      <c r="C1438" s="3" t="str">
        <f>IFERROR(__xludf.DUMMYFUNCTION("GOOGLETRANSLATE(B1438,""id"",""en"")"),"['speed', 'good', 'good', 'klw', 'fup']")</f>
        <v>['speed', 'good', 'good', 'klw', 'fup']</v>
      </c>
      <c r="D1438" s="3">
        <v>5.0</v>
      </c>
    </row>
    <row r="1439" ht="15.75" customHeight="1">
      <c r="A1439" s="1">
        <v>1570.0</v>
      </c>
      <c r="B1439" s="3" t="s">
        <v>1411</v>
      </c>
      <c r="C1439" s="3" t="str">
        <f>IFERROR(__xludf.DUMMYFUNCTION("GOOGLETRANSLATE(B1439,""id"",""en"")"),"['downgrade', 'application', 'newest', 'slow', 'really', 'apk', 'king']")</f>
        <v>['downgrade', 'application', 'newest', 'slow', 'really', 'apk', 'king']</v>
      </c>
      <c r="D1439" s="3">
        <v>2.0</v>
      </c>
    </row>
    <row r="1440" ht="15.75" customHeight="1">
      <c r="A1440" s="1">
        <v>1571.0</v>
      </c>
      <c r="B1440" s="3" t="s">
        <v>1412</v>
      </c>
      <c r="C1440" s="3" t="str">
        <f>IFERROR(__xludf.DUMMYFUNCTION("GOOGLETRANSLATE(B1440,""id"",""en"")"),"['The application', 'Good', 'Help', 'also', 'Thanks', 'Indihome', ""]")</f>
        <v>['The application', 'Good', 'Help', 'also', 'Thanks', 'Indihome', "]</v>
      </c>
      <c r="D1440" s="3">
        <v>5.0</v>
      </c>
    </row>
    <row r="1441" ht="15.75" customHeight="1">
      <c r="A1441" s="1">
        <v>1572.0</v>
      </c>
      <c r="B1441" s="3" t="s">
        <v>1413</v>
      </c>
      <c r="C1441" s="3" t="str">
        <f>IFERROR(__xludf.DUMMYFUNCTION("GOOGLETRANSLATE(B1441,""id"",""en"")"),"['satisfying', 'trusted', ""]")</f>
        <v>['satisfying', 'trusted', "]</v>
      </c>
      <c r="D1441" s="3">
        <v>5.0</v>
      </c>
    </row>
    <row r="1442" ht="15.75" customHeight="1">
      <c r="A1442" s="1">
        <v>1573.0</v>
      </c>
      <c r="B1442" s="3" t="s">
        <v>1414</v>
      </c>
      <c r="C1442" s="3" t="str">
        <f>IFERROR(__xludf.DUMMYFUNCTION("GOOGLETRANSLATE(B1442,""id"",""en"")"),"['Satisfied', 'service', 'fast', 'in', 'resolved', 'obstacles', ""]")</f>
        <v>['Satisfied', 'service', 'fast', 'in', 'resolved', 'obstacles', "]</v>
      </c>
      <c r="D1442" s="3">
        <v>5.0</v>
      </c>
    </row>
    <row r="1443" ht="15.75" customHeight="1">
      <c r="A1443" s="1">
        <v>1575.0</v>
      </c>
      <c r="B1443" s="3" t="s">
        <v>1415</v>
      </c>
      <c r="C1443" s="3" t="str">
        <f>IFERROR(__xludf.DUMMYFUNCTION("GOOGLETRANSLATE(B1443,""id"",""en"")"),"['ugly', 'ndada', 'use']")</f>
        <v>['ugly', 'ndada', 'use']</v>
      </c>
      <c r="D1443" s="3">
        <v>1.0</v>
      </c>
    </row>
    <row r="1444" ht="15.75" customHeight="1">
      <c r="A1444" s="1">
        <v>1576.0</v>
      </c>
      <c r="B1444" s="3" t="s">
        <v>1416</v>
      </c>
      <c r="C1444" s="3" t="str">
        <f>IFERROR(__xludf.DUMMYFUNCTION("GOOGLETRANSLATE(B1444,""id"",""en"")"),"['Good', 'Cool', 'Application', 'Mantapp']")</f>
        <v>['Good', 'Cool', 'Application', 'Mantapp']</v>
      </c>
      <c r="D1444" s="3">
        <v>5.0</v>
      </c>
    </row>
    <row r="1445" ht="15.75" customHeight="1">
      <c r="A1445" s="1">
        <v>1577.0</v>
      </c>
      <c r="B1445" s="3" t="s">
        <v>1417</v>
      </c>
      <c r="C1445" s="3" t="str">
        <f>IFERROR(__xludf.DUMMYFUNCTION("GOOGLETRANSLATE(B1445,""id"",""en"")"),"['Application', 'Difficult', 'Loading', 'Display', 'Profile', 'PDHL', 'WIFI', 'INDIHOME', 'Mbps',' Please ',' repaired ',' Accept ',' love']")</f>
        <v>['Application', 'Difficult', 'Loading', 'Display', 'Profile', 'PDHL', 'WIFI', 'INDIHOME', 'Mbps',' Please ',' repaired ',' Accept ',' love']</v>
      </c>
      <c r="D1445" s="3">
        <v>4.0</v>
      </c>
    </row>
    <row r="1446" ht="15.75" customHeight="1">
      <c r="A1446" s="1">
        <v>1578.0</v>
      </c>
      <c r="B1446" s="3" t="s">
        <v>1418</v>
      </c>
      <c r="C1446" s="3" t="str">
        <f>IFERROR(__xludf.DUMMYFUNCTION("GOOGLETRANSLATE(B1446,""id"",""en"")"),"['Technician', 'Manado', 'No', 'Bener', 'Yahh', 'Customer', 'neglected', 'no', 'polite', ""]")</f>
        <v>['Technician', 'Manado', 'No', 'Bener', 'Yahh', 'Customer', 'neglected', 'no', 'polite', "]</v>
      </c>
      <c r="D1446" s="3">
        <v>1.0</v>
      </c>
    </row>
    <row r="1447" ht="15.75" customHeight="1">
      <c r="A1447" s="1">
        <v>1580.0</v>
      </c>
      <c r="B1447" s="3" t="s">
        <v>1419</v>
      </c>
      <c r="C1447" s="3" t="str">
        <f>IFERROR(__xludf.DUMMYFUNCTION("GOOGLETRANSLATE(B1447,""id"",""en"")"),"['enter', 'number', 'indiehome', 'wrong', 'wrong', 'person', 'pay', 'number']")</f>
        <v>['enter', 'number', 'indiehome', 'wrong', 'wrong', 'person', 'pay', 'number']</v>
      </c>
      <c r="D1447" s="3">
        <v>1.0</v>
      </c>
    </row>
    <row r="1448" ht="15.75" customHeight="1">
      <c r="A1448" s="1">
        <v>1581.0</v>
      </c>
      <c r="B1448" s="3" t="s">
        <v>1420</v>
      </c>
      <c r="C1448" s="3" t="str">
        <f>IFERROR(__xludf.DUMMYFUNCTION("GOOGLETRANSLATE(B1448,""id"",""en"")"),"['Ahem', 'Ahem']")</f>
        <v>['Ahem', 'Ahem']</v>
      </c>
      <c r="D1448" s="3">
        <v>5.0</v>
      </c>
    </row>
    <row r="1449" ht="15.75" customHeight="1">
      <c r="A1449" s="1">
        <v>1582.0</v>
      </c>
      <c r="B1449" s="3" t="s">
        <v>1421</v>
      </c>
      <c r="C1449" s="3" t="str">
        <f>IFERROR(__xludf.DUMMYFUNCTION("GOOGLETRANSLATE(B1449,""id"",""en"")"),"['already', 'Pay', 'expensive', 'slow', 'according to', 'quality']")</f>
        <v>['already', 'Pay', 'expensive', 'slow', 'according to', 'quality']</v>
      </c>
      <c r="D1449" s="3">
        <v>1.0</v>
      </c>
    </row>
    <row r="1450" ht="15.75" customHeight="1">
      <c r="A1450" s="1">
        <v>1583.0</v>
      </c>
      <c r="B1450" s="3" t="s">
        <v>1422</v>
      </c>
      <c r="C1450" s="3" t="str">
        <f>IFERROR(__xludf.DUMMYFUNCTION("GOOGLETRANSLATE(B1450,""id"",""en"")"),"['Udh', 'smooth', 'change', 'star']")</f>
        <v>['Udh', 'smooth', 'change', 'star']</v>
      </c>
      <c r="D1450" s="3">
        <v>4.0</v>
      </c>
    </row>
    <row r="1451" ht="15.75" customHeight="1">
      <c r="A1451" s="1">
        <v>1584.0</v>
      </c>
      <c r="B1451" s="3" t="s">
        <v>1423</v>
      </c>
      <c r="C1451" s="3" t="str">
        <f>IFERROR(__xludf.DUMMYFUNCTION("GOOGLETRANSLATE(B1451,""id"",""en"")"),"['Network', 'wifi', 'skrang', 'gmpng', 'slow', 'online', 'please', 'indihome', 'strength', 'network', 'good', 'org', ' Comfortable ',' Make ',' Network ',' Indihome ',' ']")</f>
        <v>['Network', 'wifi', 'skrang', 'gmpng', 'slow', 'online', 'please', 'indihome', 'strength', 'network', 'good', 'org', ' Comfortable ',' Make ',' Network ',' Indihome ',' ']</v>
      </c>
      <c r="D1451" s="3">
        <v>1.0</v>
      </c>
    </row>
    <row r="1452" ht="15.75" customHeight="1">
      <c r="A1452" s="1">
        <v>1586.0</v>
      </c>
      <c r="B1452" s="3" t="s">
        <v>1424</v>
      </c>
      <c r="C1452" s="3" t="str">
        <f>IFERROR(__xludf.DUMMYFUNCTION("GOOGLETRANSLATE(B1452,""id"",""en"")"),"['Good', 'Job']")</f>
        <v>['Good', 'Job']</v>
      </c>
      <c r="D1452" s="3">
        <v>5.0</v>
      </c>
    </row>
    <row r="1453" ht="15.75" customHeight="1">
      <c r="A1453" s="1">
        <v>1587.0</v>
      </c>
      <c r="B1453" s="3" t="s">
        <v>1425</v>
      </c>
      <c r="C1453" s="3" t="str">
        <f>IFERROR(__xludf.DUMMYFUNCTION("GOOGLETRANSLATE(B1453,""id"",""en"")"),"['Mendelek']")</f>
        <v>['Mendelek']</v>
      </c>
      <c r="D1453" s="3">
        <v>1.0</v>
      </c>
    </row>
    <row r="1454" ht="15.75" customHeight="1">
      <c r="A1454" s="1">
        <v>1588.0</v>
      </c>
      <c r="B1454" s="3" t="s">
        <v>1426</v>
      </c>
      <c r="C1454" s="3" t="str">
        <f>IFERROR(__xludf.DUMMYFUNCTION("GOOGLETRANSLATE(B1454,""id"",""en"")"),"['Log', 'Difficult', 'Bener', 'Delete', 'Males']")</f>
        <v>['Log', 'Difficult', 'Bener', 'Delete', 'Males']</v>
      </c>
      <c r="D1454" s="3">
        <v>1.0</v>
      </c>
    </row>
    <row r="1455" ht="15.75" customHeight="1">
      <c r="A1455" s="1">
        <v>1589.0</v>
      </c>
      <c r="B1455" s="3" t="s">
        <v>1427</v>
      </c>
      <c r="C1455" s="3" t="str">
        <f>IFERROR(__xludf.DUMMYFUNCTION("GOOGLETRANSLATE(B1455,""id"",""en"")"),"['complaint', 'many', 'number', 'complaint', 'WhatsApp', 'Information', 'Indihome', 'related', 'complaint', 'call', 'era', 'Saiki', ' Ngono ']")</f>
        <v>['complaint', 'many', 'number', 'complaint', 'WhatsApp', 'Information', 'Indihome', 'related', 'complaint', 'call', 'era', 'Saiki', ' Ngono ']</v>
      </c>
      <c r="D1455" s="3">
        <v>3.0</v>
      </c>
    </row>
    <row r="1456" ht="15.75" customHeight="1">
      <c r="A1456" s="1">
        <v>1590.0</v>
      </c>
      <c r="B1456" s="3" t="s">
        <v>1428</v>
      </c>
      <c r="C1456" s="3" t="str">
        <f>IFERROR(__xludf.DUMMYFUNCTION("GOOGLETRANSLATE(B1456,""id"",""en"")"),"['multiply', 'technicians',' pairs', 'wifi', 'indihome', 'technician', 'cook', 'cable', 'break up', 'repair', 'the reason "",' queue ']")</f>
        <v>['multiply', 'technicians',' pairs', 'wifi', 'indihome', 'technician', 'cook', 'cable', 'break up', 'repair', 'the reason ",' queue ']</v>
      </c>
      <c r="D1456" s="3">
        <v>1.0</v>
      </c>
    </row>
    <row r="1457" ht="15.75" customHeight="1">
      <c r="A1457" s="1">
        <v>1591.0</v>
      </c>
      <c r="B1457" s="3" t="s">
        <v>1429</v>
      </c>
      <c r="C1457" s="3" t="str">
        <f>IFERROR(__xludf.DUMMYFUNCTION("GOOGLETRANSLATE(B1457,""id"",""en"")"),"['', 'God', 'oath', 'APK', 'good', 'really']")</f>
        <v>['', 'God', 'oath', 'APK', 'good', 'really']</v>
      </c>
      <c r="D1457" s="3">
        <v>1.0</v>
      </c>
    </row>
    <row r="1458" ht="15.75" customHeight="1">
      <c r="A1458" s="1">
        <v>1594.0</v>
      </c>
      <c r="B1458" s="3" t="s">
        <v>1430</v>
      </c>
      <c r="C1458" s="3" t="str">
        <f>IFERROR(__xludf.DUMMYFUNCTION("GOOGLETRANSLATE(B1458,""id"",""en"")"),"['Steady', 'Champion']")</f>
        <v>['Steady', 'Champion']</v>
      </c>
      <c r="D1458" s="3">
        <v>5.0</v>
      </c>
    </row>
    <row r="1459" ht="15.75" customHeight="1">
      <c r="A1459" s="1">
        <v>1596.0</v>
      </c>
      <c r="B1459" s="3" t="s">
        <v>1431</v>
      </c>
      <c r="C1459" s="3" t="str">
        <f>IFERROR(__xludf.DUMMYFUNCTION("GOOGLETRANSLATE(B1459,""id"",""en"")"),"['cool', '']")</f>
        <v>['cool', '']</v>
      </c>
      <c r="D1459" s="3">
        <v>5.0</v>
      </c>
    </row>
    <row r="1460" ht="15.75" customHeight="1">
      <c r="A1460" s="1">
        <v>1597.0</v>
      </c>
      <c r="B1460" s="3" t="s">
        <v>1432</v>
      </c>
      <c r="C1460" s="3" t="str">
        <f>IFERROR(__xludf.DUMMYFUNCTION("GOOGLETRANSLATE(B1460,""id"",""en"")"),"['The application', 'good', 'really', 'help', 'really', 'pkoknya', 'mah', 'thought', 'serious', 'application', 'magical', 'waw']")</f>
        <v>['The application', 'good', 'really', 'help', 'really', 'pkoknya', 'mah', 'thought', 'serious', 'application', 'magical', 'waw']</v>
      </c>
      <c r="D1460" s="3">
        <v>5.0</v>
      </c>
    </row>
    <row r="1461" ht="15.75" customHeight="1">
      <c r="A1461" s="1">
        <v>1599.0</v>
      </c>
      <c r="B1461" s="3" t="s">
        <v>1433</v>
      </c>
      <c r="C1461" s="3" t="str">
        <f>IFERROR(__xludf.DUMMYFUNCTION("GOOGLETRANSLATE(B1461,""id"",""en"")"),"['Helpful', 'Helping', 'Control', 'Use', 'WiFi']")</f>
        <v>['Helpful', 'Helping', 'Control', 'Use', 'WiFi']</v>
      </c>
      <c r="D1461" s="3">
        <v>5.0</v>
      </c>
    </row>
    <row r="1462" ht="15.75" customHeight="1">
      <c r="A1462" s="1">
        <v>1601.0</v>
      </c>
      <c r="B1462" s="3" t="s">
        <v>1434</v>
      </c>
      <c r="C1462" s="3" t="str">
        <f>IFERROR(__xludf.DUMMYFUNCTION("GOOGLETRANSLATE(B1462,""id"",""en"")"),"['quality', 'good', 'indihome']")</f>
        <v>['quality', 'good', 'indihome']</v>
      </c>
      <c r="D1462" s="3">
        <v>5.0</v>
      </c>
    </row>
    <row r="1463" ht="15.75" customHeight="1">
      <c r="A1463" s="1">
        <v>1602.0</v>
      </c>
      <c r="B1463" s="3" t="s">
        <v>1435</v>
      </c>
      <c r="C1463" s="3" t="str">
        <f>IFERROR(__xludf.DUMMYFUNCTION("GOOGLETRANSLATE(B1463,""id"",""en"")"),"['Useful', 'It's easy', 'customer', 'Indihome', 'update', 'repair', 'help', 'customer']")</f>
        <v>['Useful', 'It's easy', 'customer', 'Indihome', 'update', 'repair', 'help', 'customer']</v>
      </c>
      <c r="D1463" s="3">
        <v>5.0</v>
      </c>
    </row>
    <row r="1464" ht="15.75" customHeight="1">
      <c r="A1464" s="1">
        <v>1603.0</v>
      </c>
      <c r="B1464" s="3" t="s">
        <v>1436</v>
      </c>
      <c r="C1464" s="3" t="str">
        <f>IFERROR(__xludf.DUMMYFUNCTION("GOOGLETRANSLATE(B1464,""id"",""en"")"),"['thanks']")</f>
        <v>['thanks']</v>
      </c>
      <c r="D1464" s="3">
        <v>5.0</v>
      </c>
    </row>
    <row r="1465" ht="15.75" customHeight="1">
      <c r="A1465" s="1">
        <v>1604.0</v>
      </c>
      <c r="B1465" s="3" t="s">
        <v>1437</v>
      </c>
      <c r="C1465" s="3" t="str">
        <f>IFERROR(__xludf.DUMMYFUNCTION("GOOGLETRANSLATE(B1465,""id"",""en"")"),"['speed', 'stable', 'help', 'comfortable', 'used', 'mantapp', '']")</f>
        <v>['speed', 'stable', 'help', 'comfortable', 'used', 'mantapp', '']</v>
      </c>
      <c r="D1465" s="3">
        <v>5.0</v>
      </c>
    </row>
    <row r="1466" ht="15.75" customHeight="1">
      <c r="A1466" s="1">
        <v>1605.0</v>
      </c>
      <c r="B1466" s="3" t="s">
        <v>1438</v>
      </c>
      <c r="C1466" s="3" t="str">
        <f>IFERROR(__xludf.DUMMYFUNCTION("GOOGLETRANSLATE(B1466,""id"",""en"")"),"['Mantul', 'application', 'Menbanti', '']")</f>
        <v>['Mantul', 'application', 'Menbanti', '']</v>
      </c>
      <c r="D1466" s="3">
        <v>5.0</v>
      </c>
    </row>
    <row r="1467" ht="15.75" customHeight="1">
      <c r="A1467" s="1">
        <v>1606.0</v>
      </c>
      <c r="B1467" s="3" t="s">
        <v>1439</v>
      </c>
      <c r="C1467" s="3" t="str">
        <f>IFERROR(__xludf.DUMMYFUNCTION("GOOGLETRANSLATE(B1467,""id"",""en"")"),"['Update', 'Optimal']")</f>
        <v>['Update', 'Optimal']</v>
      </c>
      <c r="D1467" s="3">
        <v>5.0</v>
      </c>
    </row>
    <row r="1468" ht="15.75" customHeight="1">
      <c r="A1468" s="1">
        <v>1607.0</v>
      </c>
      <c r="B1468" s="3" t="s">
        <v>1440</v>
      </c>
      <c r="C1468" s="3" t="str">
        <f>IFERROR(__xludf.DUMMYFUNCTION("GOOGLETRANSLATE(B1468,""id"",""en"")"),"['application', 'usefull', 'really', '']")</f>
        <v>['application', 'usefull', 'really', '']</v>
      </c>
      <c r="D1468" s="3">
        <v>5.0</v>
      </c>
    </row>
    <row r="1469" ht="15.75" customHeight="1">
      <c r="A1469" s="1">
        <v>1608.0</v>
      </c>
      <c r="B1469" s="3" t="s">
        <v>1441</v>
      </c>
      <c r="C1469" s="3" t="str">
        <f>IFERROR(__xludf.DUMMYFUNCTION("GOOGLETRANSLATE(B1469,""id"",""en"")"),"['pay', 'bill', 'indihome', 'writing', 'connection', 'internet', 'bill', 'choria', 'mayasari', 'sms',' contents', 'do', ' Grade ',' additional ',' cost ',' conscious', 'game', 'Indihome', 'ber', 'subscription', 'wifi', 'slow', 'grade', 'cost', 'please' , "&amp;"'Indihome', 'cost', 'slow', 'signal', 'wifi', 'indihome']")</f>
        <v>['pay', 'bill', 'indihome', 'writing', 'connection', 'internet', 'bill', 'choria', 'mayasari', 'sms',' contents', 'do', ' Grade ',' additional ',' cost ',' conscious', 'game', 'Indihome', 'ber', 'subscription', 'wifi', 'slow', 'grade', 'cost', 'please' , 'Indihome', 'cost', 'slow', 'signal', 'wifi', 'indihome']</v>
      </c>
      <c r="D1469" s="3">
        <v>1.0</v>
      </c>
    </row>
    <row r="1470" ht="15.75" customHeight="1">
      <c r="A1470" s="1">
        <v>1609.0</v>
      </c>
      <c r="B1470" s="3" t="s">
        <v>1442</v>
      </c>
      <c r="C1470" s="3" t="str">
        <f>IFERROR(__xludf.DUMMYFUNCTION("GOOGLETRANSLATE(B1470,""id"",""en"")"),"['improvement', 'network', 'eat', 'week', '']")</f>
        <v>['improvement', 'network', 'eat', 'week', '']</v>
      </c>
      <c r="D1470" s="3">
        <v>1.0</v>
      </c>
    </row>
    <row r="1471" ht="15.75" customHeight="1">
      <c r="A1471" s="1">
        <v>1611.0</v>
      </c>
      <c r="B1471" s="3" t="s">
        <v>1443</v>
      </c>
      <c r="C1471" s="3" t="str">
        <f>IFERROR(__xludf.DUMMYFUNCTION("GOOGLETRANSLATE(B1471,""id"",""en"")"),"['Update', 'silly', 'checked', 'ridiculous', 'Indonesia', 'Jossss']")</f>
        <v>['Update', 'silly', 'checked', 'ridiculous', 'Indonesia', 'Jossss']</v>
      </c>
      <c r="D1471" s="3">
        <v>1.0</v>
      </c>
    </row>
    <row r="1472" ht="15.75" customHeight="1">
      <c r="A1472" s="1">
        <v>1612.0</v>
      </c>
      <c r="B1472" s="3" t="s">
        <v>1444</v>
      </c>
      <c r="C1472" s="3" t="str">
        <f>IFERROR(__xludf.DUMMYFUNCTION("GOOGLETRANSLATE(B1472,""id"",""en"")"),"['The network', 'stable', 'truss', 'then']")</f>
        <v>['The network', 'stable', 'truss', 'then']</v>
      </c>
      <c r="D1472" s="3">
        <v>1.0</v>
      </c>
    </row>
    <row r="1473" ht="15.75" customHeight="1">
      <c r="A1473" s="1">
        <v>1614.0</v>
      </c>
      <c r="B1473" s="3" t="s">
        <v>1445</v>
      </c>
      <c r="C1473" s="3" t="str">
        <f>IFERROR(__xludf.DUMMYFUNCTION("GOOGLETRANSLATE(B1473,""id"",""en"")"),"['Billing', 'Payment', 'Speed', 'Speed', 'Indihome', 'Balance', 'Billing', 'Fast', 'Quality', 'Speed', 'Lemot', ""]")</f>
        <v>['Billing', 'Payment', 'Speed', 'Speed', 'Indihome', 'Balance', 'Billing', 'Fast', 'Quality', 'Speed', 'Lemot', "]</v>
      </c>
      <c r="D1473" s="3">
        <v>1.0</v>
      </c>
    </row>
    <row r="1474" ht="15.75" customHeight="1">
      <c r="A1474" s="1">
        <v>1615.0</v>
      </c>
      <c r="B1474" s="3" t="s">
        <v>1446</v>
      </c>
      <c r="C1474" s="3" t="str">
        <f>IFERROR(__xludf.DUMMYFUNCTION("GOOGLETRANSLATE(B1474,""id"",""en"")"),"['Application', 'Tested', 'Upgrade', 'Muter', 'Muter', 'Application', 'Bagusan', 'Feature', 'Current', 'Muter', 'Muter', 'Rich', ' Nga ',' signal ',' input ',' Telkom ',' Upgrade ',' Application ',' Try ',' Test ',' Application ',' Ahli ',' Try ',' Look '"&amp;",' Rating ' , 'Consumers', 'Hopefully', 'Value', 'Rating', 'BSA', 'Understanding', 'Disadvantages', 'Indihome', 'Greetings', ""]")</f>
        <v>['Application', 'Tested', 'Upgrade', 'Muter', 'Muter', 'Application', 'Bagusan', 'Feature', 'Current', 'Muter', 'Muter', 'Rich', ' Nga ',' signal ',' input ',' Telkom ',' Upgrade ',' Application ',' Try ',' Test ',' Application ',' Ahli ',' Try ',' Look ',' Rating ' , 'Consumers', 'Hopefully', 'Value', 'Rating', 'BSA', 'Understanding', 'Disadvantages', 'Indihome', 'Greetings', "]</v>
      </c>
      <c r="D1474" s="3">
        <v>1.0</v>
      </c>
    </row>
    <row r="1475" ht="15.75" customHeight="1">
      <c r="A1475" s="1">
        <v>1616.0</v>
      </c>
      <c r="B1475" s="3" t="s">
        <v>1447</v>
      </c>
      <c r="C1475" s="3" t="str">
        <f>IFERROR(__xludf.DUMMYFUNCTION("GOOGLETRANSLATE(B1475,""id"",""en"")"),"['Dri', 'BLN', 'Body', 'subscribe', 'Indihome', 'balance', 'deposit', 'BLM', 'Enter', 'Rek', 'Many', 'confirm', ' process']")</f>
        <v>['Dri', 'BLN', 'Body', 'subscribe', 'Indihome', 'balance', 'deposit', 'BLM', 'Enter', 'Rek', 'Many', 'confirm', ' process']</v>
      </c>
      <c r="D1475" s="3">
        <v>1.0</v>
      </c>
    </row>
    <row r="1476" ht="15.75" customHeight="1">
      <c r="A1476" s="1">
        <v>1617.0</v>
      </c>
      <c r="B1476" s="3" t="s">
        <v>1448</v>
      </c>
      <c r="C1476" s="3" t="str">
        <f>IFERROR(__xludf.DUMMYFUNCTION("GOOGLETRANSLATE(B1476,""id"",""en"")"),"['Login', 'number', 'Indihome', 'GMNA', 'Indihome', 'Login', 'That's', 'Sad', '']")</f>
        <v>['Login', 'number', 'Indihome', 'GMNA', 'Indihome', 'Login', 'That's', 'Sad', '']</v>
      </c>
      <c r="D1476" s="3">
        <v>1.0</v>
      </c>
    </row>
    <row r="1477" ht="15.75" customHeight="1">
      <c r="A1477" s="1">
        <v>1618.0</v>
      </c>
      <c r="B1477" s="3" t="s">
        <v>1449</v>
      </c>
      <c r="C1477" s="3" t="str">
        <f>IFERROR(__xludf.DUMMYFUNCTION("GOOGLETRANSLATE(B1477,""id"",""en"")"),"['check', 'usage']")</f>
        <v>['check', 'usage']</v>
      </c>
      <c r="D1477" s="3">
        <v>2.0</v>
      </c>
    </row>
    <row r="1478" ht="15.75" customHeight="1">
      <c r="A1478" s="1">
        <v>1619.0</v>
      </c>
      <c r="B1478" s="3" t="s">
        <v>1450</v>
      </c>
      <c r="C1478" s="3" t="str">
        <f>IFERROR(__xludf.DUMMYFUNCTION("GOOGLETRANSLATE(B1478,""id"",""en"")"),"['poor', 'Login', 'Gue', 'Direct', '']")</f>
        <v>['poor', 'Login', 'Gue', 'Direct', '']</v>
      </c>
      <c r="D1478" s="3">
        <v>1.0</v>
      </c>
    </row>
    <row r="1479" ht="15.75" customHeight="1">
      <c r="A1479" s="1">
        <v>1620.0</v>
      </c>
      <c r="B1479" s="3" t="s">
        <v>1451</v>
      </c>
      <c r="C1479" s="3" t="str">
        <f>IFERROR(__xludf.DUMMYFUNCTION("GOOGLETRANSLATE(B1479,""id"",""en"")"),"['logout', 'uda', 'try', 'login', 'according to', 'email', 'telephone', 'enter', '']")</f>
        <v>['logout', 'uda', 'try', 'login', 'according to', 'email', 'telephone', 'enter', '']</v>
      </c>
      <c r="D1479" s="3">
        <v>2.0</v>
      </c>
    </row>
    <row r="1480" ht="15.75" customHeight="1">
      <c r="A1480" s="1">
        <v>1621.0</v>
      </c>
      <c r="B1480" s="3" t="s">
        <v>1452</v>
      </c>
      <c r="C1480" s="3" t="str">
        <f>IFERROR(__xludf.DUMMYFUNCTION("GOOGLETRANSLATE(B1480,""id"",""en"")"),"['innovation']")</f>
        <v>['innovation']</v>
      </c>
      <c r="D1480" s="3">
        <v>3.0</v>
      </c>
    </row>
    <row r="1481" ht="15.75" customHeight="1">
      <c r="A1481" s="1">
        <v>1622.0</v>
      </c>
      <c r="B1481" s="3" t="s">
        <v>1453</v>
      </c>
      <c r="C1481" s="3" t="str">
        <f>IFERROR(__xludf.DUMMYFUNCTION("GOOGLETRANSLATE(B1481,""id"",""en"")"),"['apk', 'steady', 'mania']")</f>
        <v>['apk', 'steady', 'mania']</v>
      </c>
      <c r="D1481" s="3">
        <v>5.0</v>
      </c>
    </row>
    <row r="1482" ht="15.75" customHeight="1">
      <c r="A1482" s="1">
        <v>1623.0</v>
      </c>
      <c r="B1482" s="3" t="s">
        <v>1454</v>
      </c>
      <c r="C1482" s="3" t="str">
        <f>IFERROR(__xludf.DUMMYFUNCTION("GOOGLETRANSLATE(B1482,""id"",""en"")"),"['The application', 'Help', 'really', 'Lohhh', 'Champion', '']")</f>
        <v>['The application', 'Help', 'really', 'Lohhh', 'Champion', '']</v>
      </c>
      <c r="D1482" s="3">
        <v>5.0</v>
      </c>
    </row>
    <row r="1483" ht="15.75" customHeight="1">
      <c r="A1483" s="1">
        <v>1624.0</v>
      </c>
      <c r="B1483" s="3" t="s">
        <v>1455</v>
      </c>
      <c r="C1483" s="3" t="str">
        <f>IFERROR(__xludf.DUMMYFUNCTION("GOOGLETRANSLATE(B1483,""id"",""en"")"),"['The application', 'help', 'steady', '']")</f>
        <v>['The application', 'help', 'steady', '']</v>
      </c>
      <c r="D1483" s="3">
        <v>5.0</v>
      </c>
    </row>
    <row r="1484" ht="15.75" customHeight="1">
      <c r="A1484" s="1">
        <v>1626.0</v>
      </c>
      <c r="B1484" s="3" t="s">
        <v>1456</v>
      </c>
      <c r="C1484" s="3" t="str">
        <f>IFERROR(__xludf.DUMMYFUNCTION("GOOGLETRANSLATE(B1484,""id"",""en"")"),"['Help', 'for', 'monitor', 'information', 'sanagat', 'help']")</f>
        <v>['Help', 'for', 'monitor', 'information', 'sanagat', 'help']</v>
      </c>
      <c r="D1484" s="3">
        <v>5.0</v>
      </c>
    </row>
    <row r="1485" ht="15.75" customHeight="1">
      <c r="A1485" s="1">
        <v>1627.0</v>
      </c>
      <c r="B1485" s="3" t="s">
        <v>1457</v>
      </c>
      <c r="C1485" s="3" t="str">
        <f>IFERROR(__xludf.DUMMYFUNCTION("GOOGLETRANSLATE(B1485,""id"",""en"")"),"['Cool', 'really', 'the application', 'help', 'thank you', 'myindihome']")</f>
        <v>['Cool', 'really', 'the application', 'help', 'thank you', 'myindihome']</v>
      </c>
      <c r="D1485" s="3">
        <v>5.0</v>
      </c>
    </row>
    <row r="1486" ht="15.75" customHeight="1">
      <c r="A1486" s="1">
        <v>1628.0</v>
      </c>
      <c r="B1486" s="3" t="s">
        <v>1458</v>
      </c>
      <c r="C1486" s="3" t="str">
        <f>IFERROR(__xludf.DUMMYFUNCTION("GOOGLETRANSLATE(B1486,""id"",""en"")"),"['Goodjob', '']")</f>
        <v>['Goodjob', '']</v>
      </c>
      <c r="D1486" s="3">
        <v>5.0</v>
      </c>
    </row>
    <row r="1487" ht="15.75" customHeight="1">
      <c r="A1487" s="1">
        <v>1629.0</v>
      </c>
      <c r="B1487" s="3" t="s">
        <v>1459</v>
      </c>
      <c r="C1487" s="3" t="str">
        <f>IFERROR(__xludf.DUMMYFUNCTION("GOOGLETRANSLATE(B1487,""id"",""en"")"),"['trimakasih', 'application', 'help', ""]")</f>
        <v>['trimakasih', 'application', 'help', "]</v>
      </c>
      <c r="D1487" s="3">
        <v>5.0</v>
      </c>
    </row>
    <row r="1488" ht="15.75" customHeight="1">
      <c r="A1488" s="1">
        <v>1630.0</v>
      </c>
      <c r="B1488" s="3" t="s">
        <v>1460</v>
      </c>
      <c r="C1488" s="3" t="str">
        <f>IFERROR(__xludf.DUMMYFUNCTION("GOOGLETRANSLATE(B1488,""id"",""en"")"),"['', 'Tengkyu', 'Indihome']")</f>
        <v>['', 'Tengkyu', 'Indihome']</v>
      </c>
      <c r="D1488" s="3">
        <v>5.0</v>
      </c>
    </row>
    <row r="1489" ht="15.75" customHeight="1">
      <c r="A1489" s="1">
        <v>1631.0</v>
      </c>
      <c r="B1489" s="3" t="s">
        <v>1461</v>
      </c>
      <c r="C1489" s="3" t="str">
        <f>IFERROR(__xludf.DUMMYFUNCTION("GOOGLETRANSLATE(B1489,""id"",""en"")"),"['Cool', 'App', 'help']")</f>
        <v>['Cool', 'App', 'help']</v>
      </c>
      <c r="D1489" s="3">
        <v>5.0</v>
      </c>
    </row>
    <row r="1490" ht="15.75" customHeight="1">
      <c r="A1490" s="1">
        <v>1632.0</v>
      </c>
      <c r="B1490" s="3" t="s">
        <v>1462</v>
      </c>
      <c r="C1490" s="3" t="str">
        <f>IFERROR(__xludf.DUMMYFUNCTION("GOOGLETRANSLATE(B1490,""id"",""en"")"),"['handler', 'customer', 'bad', 'slow', 'overcome', 'yng', 'customer', 'complain', 'replace', 'address',' really ',' nangin ',' Severe ',' really ',' Indigo ',' slow ',' really ',' handler ']")</f>
        <v>['handler', 'customer', 'bad', 'slow', 'overcome', 'yng', 'customer', 'complain', 'replace', 'address',' really ',' nangin ',' Severe ',' really ',' Indigo ',' slow ',' really ',' handler ']</v>
      </c>
      <c r="D1490" s="3">
        <v>1.0</v>
      </c>
    </row>
    <row r="1491" ht="15.75" customHeight="1">
      <c r="A1491" s="1">
        <v>1633.0</v>
      </c>
      <c r="B1491" s="3" t="s">
        <v>1463</v>
      </c>
      <c r="C1491" s="3" t="str">
        <f>IFERROR(__xludf.DUMMYFUNCTION("GOOGLETRANSLATE(B1491,""id"",""en"")"),"['Help', 'Comfortable', 'Indihome']")</f>
        <v>['Help', 'Comfortable', 'Indihome']</v>
      </c>
      <c r="D1491" s="3">
        <v>5.0</v>
      </c>
    </row>
    <row r="1492" ht="15.75" customHeight="1">
      <c r="A1492" s="1">
        <v>1634.0</v>
      </c>
      <c r="B1492" s="3" t="s">
        <v>1464</v>
      </c>
      <c r="C1492" s="3" t="str">
        <f>IFERROR(__xludf.DUMMYFUNCTION("GOOGLETRANSLATE(B1492,""id"",""en"")"),"['success']")</f>
        <v>['success']</v>
      </c>
      <c r="D1492" s="3">
        <v>5.0</v>
      </c>
    </row>
    <row r="1493" ht="15.75" customHeight="1">
      <c r="A1493" s="1">
        <v>1635.0</v>
      </c>
      <c r="B1493" s="3" t="s">
        <v>1465</v>
      </c>
      <c r="C1493" s="3" t="str">
        <f>IFERROR(__xludf.DUMMYFUNCTION("GOOGLETRANSLATE(B1493,""id"",""en"")"),"['steady', 'help', 'conditioned', 'pandemic', '']")</f>
        <v>['steady', 'help', 'conditioned', 'pandemic', '']</v>
      </c>
      <c r="D1493" s="3">
        <v>5.0</v>
      </c>
    </row>
    <row r="1494" ht="15.75" customHeight="1">
      <c r="A1494" s="1">
        <v>1636.0</v>
      </c>
      <c r="B1494" s="3" t="s">
        <v>1466</v>
      </c>
      <c r="C1494" s="3" t="str">
        <f>IFERROR(__xludf.DUMMYFUNCTION("GOOGLETRANSLATE(B1494,""id"",""en"")"),"['Network', 'Help', 'Malaysia', 'WFH', 'School', 'Child', 'Online']")</f>
        <v>['Network', 'Help', 'Malaysia', 'WFH', 'School', 'Child', 'Online']</v>
      </c>
      <c r="D1494" s="3">
        <v>5.0</v>
      </c>
    </row>
    <row r="1495" ht="15.75" customHeight="1">
      <c r="A1495" s="1">
        <v>1637.0</v>
      </c>
      <c r="B1495" s="3" t="s">
        <v>1467</v>
      </c>
      <c r="C1495" s="3" t="str">
        <f>IFERROR(__xludf.DUMMYFUNCTION("GOOGLETRANSLATE(B1495,""id"",""en"")"),"['Mantop', 'Indihome']")</f>
        <v>['Mantop', 'Indihome']</v>
      </c>
      <c r="D1495" s="3">
        <v>5.0</v>
      </c>
    </row>
    <row r="1496" ht="15.75" customHeight="1">
      <c r="A1496" s="1">
        <v>1638.0</v>
      </c>
      <c r="B1496" s="3" t="s">
        <v>1468</v>
      </c>
      <c r="C1496" s="3" t="str">
        <f>IFERROR(__xludf.DUMMYFUNCTION("GOOGLETRANSLATE(B1496,""id"",""en"")"),"['Helpful', 'Application', 'Hopefully', 'Success', 'Thank', 'You', 'Indihome', '']")</f>
        <v>['Helpful', 'Application', 'Hopefully', 'Success', 'Thank', 'You', 'Indihome', '']</v>
      </c>
      <c r="D1496" s="3">
        <v>5.0</v>
      </c>
    </row>
    <row r="1497" ht="15.75" customHeight="1">
      <c r="A1497" s="1">
        <v>1639.0</v>
      </c>
      <c r="B1497" s="3" t="s">
        <v>1469</v>
      </c>
      <c r="C1497" s="3" t="str">
        <f>IFERROR(__xludf.DUMMYFUNCTION("GOOGLETRANSLATE(B1497,""id"",""en"")"),"['Mantaffff', 'Myindihome', 'Cool', 'The Application', 'Easy', 'Success', 'Best', '']")</f>
        <v>['Mantaffff', 'Myindihome', 'Cool', 'The Application', 'Easy', 'Success', 'Best', '']</v>
      </c>
      <c r="D1497" s="3">
        <v>5.0</v>
      </c>
    </row>
    <row r="1498" ht="15.75" customHeight="1">
      <c r="A1498" s="1">
        <v>1640.0</v>
      </c>
      <c r="B1498" s="3" t="s">
        <v>1470</v>
      </c>
      <c r="C1498" s="3" t="str">
        <f>IFERROR(__xludf.DUMMYFUNCTION("GOOGLETRANSLATE(B1498,""id"",""en"")"),"['Kereeeen', 'Success', 'Indihome']")</f>
        <v>['Kereeeen', 'Success', 'Indihome']</v>
      </c>
      <c r="D1498" s="3">
        <v>5.0</v>
      </c>
    </row>
    <row r="1499" ht="15.75" customHeight="1">
      <c r="A1499" s="1">
        <v>1641.0</v>
      </c>
      <c r="B1499" s="3" t="s">
        <v>1471</v>
      </c>
      <c r="C1499" s="3" t="str">
        <f>IFERROR(__xludf.DUMMYFUNCTION("GOOGLETRANSLATE(B1499,""id"",""en"")"),"['steady', 'surantaaap', 'tap', 'tap']")</f>
        <v>['steady', 'surantaaap', 'tap', 'tap']</v>
      </c>
      <c r="D1499" s="3">
        <v>5.0</v>
      </c>
    </row>
    <row r="1500" ht="15.75" customHeight="1">
      <c r="A1500" s="1">
        <v>1642.0</v>
      </c>
      <c r="B1500" s="3" t="s">
        <v>1472</v>
      </c>
      <c r="C1500" s="3" t="str">
        <f>IFERROR(__xludf.DUMMYFUNCTION("GOOGLETRANSLATE(B1500,""id"",""en"")"),"['Really good']")</f>
        <v>['Really good']</v>
      </c>
      <c r="D1500" s="3">
        <v>5.0</v>
      </c>
    </row>
    <row r="1501" ht="15.75" customHeight="1">
      <c r="A1501" s="1">
        <v>1643.0</v>
      </c>
      <c r="B1501" s="3" t="s">
        <v>1473</v>
      </c>
      <c r="C1501" s="3" t="str">
        <f>IFERROR(__xludf.DUMMYFUNCTION("GOOGLETRANSLATE(B1501,""id"",""en"")"),"['Network', 'stable', 'scattered', 'throughout', 'remote', 'success', 'Indihome', ""]")</f>
        <v>['Network', 'stable', 'scattered', 'throughout', 'remote', 'success', 'Indihome', "]</v>
      </c>
      <c r="D1501" s="3">
        <v>5.0</v>
      </c>
    </row>
    <row r="1502" ht="15.75" customHeight="1">
      <c r="A1502" s="1">
        <v>1644.0</v>
      </c>
      <c r="B1502" s="3" t="s">
        <v>1474</v>
      </c>
      <c r="C1502" s="3" t="str">
        <f>IFERROR(__xludf.DUMMYFUNCTION("GOOGLETRANSLATE(B1502,""id"",""en"")"),"['The network', 'Good', 'Success', 'Indihome', '']")</f>
        <v>['The network', 'Good', 'Success', 'Indihome', '']</v>
      </c>
      <c r="D1502" s="3">
        <v>5.0</v>
      </c>
    </row>
    <row r="1503" ht="15.75" customHeight="1">
      <c r="A1503" s="1">
        <v>1645.0</v>
      </c>
      <c r="B1503" s="3" t="s">
        <v>1475</v>
      </c>
      <c r="C1503" s="3" t="str">
        <f>IFERROR(__xludf.DUMMYFUNCTION("GOOGLETRANSLATE(B1503,""id"",""en"")"),"['At Home', 'Indihome', 'Alhamdulillah', 'The Network', 'Good', 'Forward', 'Success', 'Indihome']")</f>
        <v>['At Home', 'Indihome', 'Alhamdulillah', 'The Network', 'Good', 'Forward', 'Success', 'Indihome']</v>
      </c>
      <c r="D1503" s="3">
        <v>5.0</v>
      </c>
    </row>
    <row r="1504" ht="15.75" customHeight="1">
      <c r="A1504" s="1">
        <v>1646.0</v>
      </c>
      <c r="B1504" s="3" t="s">
        <v>1476</v>
      </c>
      <c r="C1504" s="3" t="str">
        <f>IFERROR(__xludf.DUMMYFUNCTION("GOOGLETRANSLATE(B1504,""id"",""en"")"),"['Amazing', '']")</f>
        <v>['Amazing', '']</v>
      </c>
      <c r="D1504" s="3">
        <v>5.0</v>
      </c>
    </row>
    <row r="1505" ht="15.75" customHeight="1">
      <c r="A1505" s="1">
        <v>1647.0</v>
      </c>
      <c r="B1505" s="3" t="s">
        <v>1477</v>
      </c>
      <c r="C1505" s="3" t="str">
        <f>IFERROR(__xludf.DUMMYFUNCTION("GOOGLETRANSLATE(B1505,""id"",""en"")"),"['', 'really', 'the network', 'champion']")</f>
        <v>['', 'really', 'the network', 'champion']</v>
      </c>
      <c r="D1505" s="3">
        <v>5.0</v>
      </c>
    </row>
    <row r="1506" ht="15.75" customHeight="1">
      <c r="A1506" s="1">
        <v>1650.0</v>
      </c>
      <c r="B1506" s="3" t="s">
        <v>1478</v>
      </c>
      <c r="C1506" s="3" t="str">
        <f>IFERROR(__xludf.DUMMYFUNCTION("GOOGLETRANSLATE(B1506,""id"",""en"")"),"['Application', 'Okay', 'help']")</f>
        <v>['Application', 'Okay', 'help']</v>
      </c>
      <c r="D1506" s="3">
        <v>5.0</v>
      </c>
    </row>
    <row r="1507" ht="15.75" customHeight="1">
      <c r="A1507" s="1">
        <v>1651.0</v>
      </c>
      <c r="B1507" s="3" t="s">
        <v>1479</v>
      </c>
      <c r="C1507" s="3" t="str">
        <f>IFERROR(__xludf.DUMMYFUNCTION("GOOGLETRANSLATE(B1507,""id"",""en"")"),"['Come on', 'Indihome', 'Easy']")</f>
        <v>['Come on', 'Indihome', 'Easy']</v>
      </c>
      <c r="D1507" s="3">
        <v>5.0</v>
      </c>
    </row>
    <row r="1508" ht="15.75" customHeight="1">
      <c r="A1508" s="1">
        <v>1654.0</v>
      </c>
      <c r="B1508" s="3" t="s">
        <v>1480</v>
      </c>
      <c r="C1508" s="3" t="str">
        <f>IFERROR(__xludf.DUMMYFUNCTION("GOOGLETRANSLATE(B1508,""id"",""en"")"),"['Awesome', '']")</f>
        <v>['Awesome', '']</v>
      </c>
      <c r="D1508" s="3">
        <v>5.0</v>
      </c>
    </row>
    <row r="1509" ht="15.75" customHeight="1">
      <c r="A1509" s="1">
        <v>1655.0</v>
      </c>
      <c r="B1509" s="3" t="s">
        <v>1481</v>
      </c>
      <c r="C1509" s="3" t="str">
        <f>IFERROR(__xludf.DUMMYFUNCTION("GOOGLETRANSLATE(B1509,""id"",""en"")"),"['Mantaps', '']")</f>
        <v>['Mantaps', '']</v>
      </c>
      <c r="D1509" s="3">
        <v>5.0</v>
      </c>
    </row>
    <row r="1510" ht="15.75" customHeight="1">
      <c r="A1510" s="1">
        <v>1657.0</v>
      </c>
      <c r="B1510" s="3" t="s">
        <v>1482</v>
      </c>
      <c r="C1510" s="3" t="str">
        <f>IFERROR(__xludf.DUMMYFUNCTION("GOOGLETRANSLATE(B1510,""id"",""en"")"),"['Cool', 'euy']")</f>
        <v>['Cool', 'euy']</v>
      </c>
      <c r="D1510" s="3">
        <v>5.0</v>
      </c>
    </row>
    <row r="1511" ht="15.75" customHeight="1">
      <c r="A1511" s="1">
        <v>1658.0</v>
      </c>
      <c r="B1511" s="3" t="s">
        <v>1483</v>
      </c>
      <c r="C1511" s="3" t="str">
        <f>IFERROR(__xludf.DUMMYFUNCTION("GOOGLETRANSLATE(B1511,""id"",""en"")"),"['Registration', 'Verication', 'Data', 'Progress', 'Installation', 'Track', 'Lost', 'Application', 'Registration', '']")</f>
        <v>['Registration', 'Verication', 'Data', 'Progress', 'Installation', 'Track', 'Lost', 'Application', 'Registration', '']</v>
      </c>
      <c r="D1511" s="3">
        <v>2.0</v>
      </c>
    </row>
    <row r="1512" ht="15.75" customHeight="1">
      <c r="A1512" s="1">
        <v>1659.0</v>
      </c>
      <c r="B1512" s="3" t="s">
        <v>1484</v>
      </c>
      <c r="C1512" s="3" t="str">
        <f>IFERROR(__xludf.DUMMYFUNCTION("GOOGLETRANSLATE(B1512,""id"",""en"")"),"['Crazy', 'Cool', 'Cave', 'Lucky', 'APK', 'Gaes', ""]")</f>
        <v>['Crazy', 'Cool', 'Cave', 'Lucky', 'APK', 'Gaes', "]</v>
      </c>
      <c r="D1512" s="3">
        <v>5.0</v>
      </c>
    </row>
    <row r="1513" ht="15.75" customHeight="1">
      <c r="A1513" s="1">
        <v>1660.0</v>
      </c>
      <c r="B1513" s="3" t="s">
        <v>1485</v>
      </c>
      <c r="C1513" s="3" t="str">
        <f>IFERROR(__xludf.DUMMYFUNCTION("GOOGLETRANSLATE(B1513,""id"",""en"")"),"['Kereeen', '']")</f>
        <v>['Kereeen', '']</v>
      </c>
      <c r="D1513" s="3">
        <v>5.0</v>
      </c>
    </row>
    <row r="1514" ht="15.75" customHeight="1">
      <c r="A1514" s="1">
        <v>1662.0</v>
      </c>
      <c r="B1514" s="3" t="s">
        <v>1486</v>
      </c>
      <c r="C1514" s="3" t="str">
        <f>IFERROR(__xludf.DUMMYFUNCTION("GOOGLETRANSLATE(B1514,""id"",""en"")"),"['updated', 'problematic', 'logout', 'poor']")</f>
        <v>['updated', 'problematic', 'logout', 'poor']</v>
      </c>
      <c r="D1514" s="3">
        <v>1.0</v>
      </c>
    </row>
    <row r="1515" ht="15.75" customHeight="1">
      <c r="A1515" s="1">
        <v>1663.0</v>
      </c>
      <c r="B1515" s="3" t="s">
        <v>1487</v>
      </c>
      <c r="C1515" s="3" t="str">
        <f>IFERROR(__xludf.DUMMYFUNCTION("GOOGLETRANSLATE(B1515,""id"",""en"")"),"['repair', 'zaringan']")</f>
        <v>['repair', 'zaringan']</v>
      </c>
      <c r="D1515" s="3">
        <v>3.0</v>
      </c>
    </row>
    <row r="1516" ht="15.75" customHeight="1">
      <c r="A1516" s="1">
        <v>1664.0</v>
      </c>
      <c r="B1516" s="3" t="s">
        <v>1488</v>
      </c>
      <c r="C1516" s="3" t="str">
        <f>IFERROR(__xludf.DUMMYFUNCTION("GOOGLETRANSLATE(B1516,""id"",""en"")"),"['Steady', 'Ngelag', 'Uninstall', 'Raying', 'Donwload']")</f>
        <v>['Steady', 'Ngelag', 'Uninstall', 'Raying', 'Donwload']</v>
      </c>
      <c r="D1516" s="3">
        <v>1.0</v>
      </c>
    </row>
    <row r="1517" ht="15.75" customHeight="1">
      <c r="A1517" s="1">
        <v>1665.0</v>
      </c>
      <c r="B1517" s="3" t="s">
        <v>1489</v>
      </c>
      <c r="C1517" s="3" t="str">
        <f>IFERROR(__xludf.DUMMYFUNCTION("GOOGLETRANSLATE(B1517,""id"",""en"")"),"['', 'psional', '']")</f>
        <v>['', 'psional', '']</v>
      </c>
      <c r="D1517" s="3">
        <v>5.0</v>
      </c>
    </row>
    <row r="1518" ht="15.75" customHeight="1">
      <c r="A1518" s="1">
        <v>1666.0</v>
      </c>
      <c r="B1518" s="3" t="s">
        <v>1490</v>
      </c>
      <c r="C1518" s="3" t="str">
        <f>IFERROR(__xludf.DUMMYFUNCTION("GOOGLETRANSLATE(B1518,""id"",""en"")"),"['Entering', 'confirm', 'infalid', 'please', 'stone', ""]")</f>
        <v>['Entering', 'confirm', 'infalid', 'please', 'stone', "]</v>
      </c>
      <c r="D1518" s="3">
        <v>4.0</v>
      </c>
    </row>
    <row r="1519" ht="15.75" customHeight="1">
      <c r="A1519" s="1">
        <v>1667.0</v>
      </c>
      <c r="B1519" s="3" t="s">
        <v>1491</v>
      </c>
      <c r="C1519" s="3" t="str">
        <f>IFERROR(__xludf.DUMMYFUNCTION("GOOGLETRANSLATE(B1519,""id"",""en"")"),"['Network', 'slow', 'pay', 'bill', 'service', 'good', 'telkom', 'take', 'luck']")</f>
        <v>['Network', 'slow', 'pay', 'bill', 'service', 'good', 'telkom', 'take', 'luck']</v>
      </c>
      <c r="D1519" s="3">
        <v>1.0</v>
      </c>
    </row>
    <row r="1520" ht="15.75" customHeight="1">
      <c r="A1520" s="1">
        <v>1668.0</v>
      </c>
      <c r="B1520" s="3" t="s">
        <v>1492</v>
      </c>
      <c r="C1520" s="3" t="str">
        <f>IFERROR(__xludf.DUMMYFUNCTION("GOOGLETRANSLATE(B1520,""id"",""en"")"),"['application', 'usefull', 'pay', 'bills', 'at home', 'monitor', 'usage', 'internet', 'Thanks', 'Telkom']")</f>
        <v>['application', 'usefull', 'pay', 'bills', 'at home', 'monitor', 'usage', 'internet', 'Thanks', 'Telkom']</v>
      </c>
      <c r="D1520" s="3">
        <v>5.0</v>
      </c>
    </row>
    <row r="1521" ht="15.75" customHeight="1">
      <c r="A1521" s="1">
        <v>1669.0</v>
      </c>
      <c r="B1521" s="3" t="s">
        <v>1493</v>
      </c>
      <c r="C1521" s="3" t="str">
        <f>IFERROR(__xludf.DUMMYFUNCTION("GOOGLETRANSLATE(B1521,""id"",""en"")"),"['wifi', 'indihome', 'loss',' stable ',' morning ',' noon ',' malem ',' down ',' morning ',' trading ',' down ',' annoying ',' work ',' comment ',' screen ',' KB ',' SPT ',' improvement ',' lbh ',' search ',' replace ']")</f>
        <v>['wifi', 'indihome', 'loss',' stable ',' morning ',' noon ',' malem ',' down ',' morning ',' trading ',' down ',' annoying ',' work ',' comment ',' screen ',' KB ',' SPT ',' improvement ',' lbh ',' search ',' replace ']</v>
      </c>
      <c r="D1521" s="3">
        <v>2.0</v>
      </c>
    </row>
    <row r="1522" ht="15.75" customHeight="1">
      <c r="A1522" s="1">
        <v>1670.0</v>
      </c>
      <c r="B1522" s="3" t="s">
        <v>1494</v>
      </c>
      <c r="C1522" s="3" t="str">
        <f>IFERROR(__xludf.DUMMYFUNCTION("GOOGLETRANSLATE(B1522,""id"",""en"")"),"['mantul', 'pay', 'easy', 'check', 'use', 'inet', 'recomend', ""]")</f>
        <v>['mantul', 'pay', 'easy', 'check', 'use', 'inet', 'recomend', "]</v>
      </c>
      <c r="D1522" s="3">
        <v>5.0</v>
      </c>
    </row>
    <row r="1523" ht="15.75" customHeight="1">
      <c r="A1523" s="1">
        <v>1671.0</v>
      </c>
      <c r="B1523" s="3" t="s">
        <v>1495</v>
      </c>
      <c r="C1523" s="3" t="str">
        <f>IFERROR(__xludf.DUMMYFUNCTION("GOOGLETRANSLATE(B1523,""id"",""en"")"),"['ugly', 'really', 'the application', 'tip', 'open', 'halam', 'loading', 'mulu', 'slow', 'really', 'loading', 'ngak', ' The application ']")</f>
        <v>['ugly', 'really', 'the application', 'tip', 'open', 'halam', 'loading', 'mulu', 'slow', 'really', 'loading', 'ngak', ' The application ']</v>
      </c>
      <c r="D1523" s="3">
        <v>1.0</v>
      </c>
    </row>
    <row r="1524" ht="15.75" customHeight="1">
      <c r="A1524" s="1">
        <v>1672.0</v>
      </c>
      <c r="B1524" s="3" t="s">
        <v>1496</v>
      </c>
      <c r="C1524" s="3" t="str">
        <f>IFERROR(__xludf.DUMMYFUNCTION("GOOGLETRANSLATE(B1524,""id"",""en"")"),"['Reach', 'broad', 'tdak', 'Available', 'My place', 'poor', ""]")</f>
        <v>['Reach', 'broad', 'tdak', 'Available', 'My place', 'poor', "]</v>
      </c>
      <c r="D1524" s="3">
        <v>1.0</v>
      </c>
    </row>
    <row r="1525" ht="15.75" customHeight="1">
      <c r="A1525" s="1">
        <v>1673.0</v>
      </c>
      <c r="B1525" s="3" t="s">
        <v>1497</v>
      </c>
      <c r="C1525" s="3" t="str">
        <f>IFERROR(__xludf.DUMMYFUNCTION("GOOGLETRANSLATE(B1525,""id"",""en"")"),"['Try', 'Many', 'times',' a week ',' appears', 'writing', 'user', 'blocked', 'my fault', 'pay', 'ontime', 'then', ' ']")</f>
        <v>['Try', 'Many', 'times',' a week ',' appears', 'writing', 'user', 'blocked', 'my fault', 'pay', 'ontime', 'then', ' ']</v>
      </c>
      <c r="D1525" s="3">
        <v>1.0</v>
      </c>
    </row>
    <row r="1526" ht="15.75" customHeight="1">
      <c r="A1526" s="1">
        <v>1675.0</v>
      </c>
      <c r="B1526" s="3" t="s">
        <v>1498</v>
      </c>
      <c r="C1526" s="3" t="str">
        <f>IFERROR(__xludf.DUMMYFUNCTION("GOOGLETRANSLATE(B1526,""id"",""en"")"),"['Help', 'check', 'bill']")</f>
        <v>['Help', 'check', 'bill']</v>
      </c>
      <c r="D1526" s="3">
        <v>5.0</v>
      </c>
    </row>
    <row r="1527" ht="15.75" customHeight="1">
      <c r="A1527" s="1">
        <v>1676.0</v>
      </c>
      <c r="B1527" s="3" t="s">
        <v>1499</v>
      </c>
      <c r="C1527" s="3" t="str">
        <f>IFERROR(__xludf.DUMMYFUNCTION("GOOGLETRANSLATE(B1527,""id"",""en"")"),"['application', 'help', 'check', 'bill', 'buy', 'package', 'addon']")</f>
        <v>['application', 'help', 'check', 'bill', 'buy', 'package', 'addon']</v>
      </c>
      <c r="D1527" s="3">
        <v>5.0</v>
      </c>
    </row>
    <row r="1528" ht="15.75" customHeight="1">
      <c r="A1528" s="1">
        <v>1677.0</v>
      </c>
      <c r="B1528" s="3" t="s">
        <v>1500</v>
      </c>
      <c r="C1528" s="3" t="str">
        <f>IFERROR(__xludf.DUMMYFUNCTION("GOOGLETRANSLATE(B1528,""id"",""en"")"),"['children', 'via', 'balance', 'myindihome', 'gmn', ""]")</f>
        <v>['children', 'via', 'balance', 'myindihome', 'gmn', "]</v>
      </c>
      <c r="D1528" s="3">
        <v>4.0</v>
      </c>
    </row>
    <row r="1529" ht="15.75" customHeight="1">
      <c r="A1529" s="1">
        <v>1678.0</v>
      </c>
      <c r="B1529" s="3" t="s">
        <v>1501</v>
      </c>
      <c r="C1529" s="3" t="str">
        <f>IFERROR(__xludf.DUMMYFUNCTION("GOOGLETRANSLATE(B1529,""id"",""en"")"),"['wifi', 'slow', 'night', 'pay', 'expensive', 'quality', '']")</f>
        <v>['wifi', 'slow', 'night', 'pay', 'expensive', 'quality', '']</v>
      </c>
      <c r="D1529" s="3">
        <v>1.0</v>
      </c>
    </row>
    <row r="1530" ht="15.75" customHeight="1">
      <c r="A1530" s="1">
        <v>1679.0</v>
      </c>
      <c r="B1530" s="3" t="s">
        <v>1502</v>
      </c>
      <c r="C1530" s="3" t="str">
        <f>IFERROR(__xludf.DUMMYFUNCTION("GOOGLETRANSLATE(B1530,""id"",""en"")"),"['Bad', 'really', 'service', 'update', 'log', 'chat', 'process', ""]")</f>
        <v>['Bad', 'really', 'service', 'update', 'log', 'chat', 'process', "]</v>
      </c>
      <c r="D1530" s="3">
        <v>1.0</v>
      </c>
    </row>
    <row r="1531" ht="15.75" customHeight="1">
      <c r="A1531" s="1">
        <v>1680.0</v>
      </c>
      <c r="B1531" s="3" t="s">
        <v>1503</v>
      </c>
      <c r="C1531" s="3" t="str">
        <f>IFERROR(__xludf.DUMMYFUNCTION("GOOGLETRANSLATE(B1531,""id"",""en"")"),"['Application', 'defecate', 'Nga', 'enter']")</f>
        <v>['Application', 'defecate', 'Nga', 'enter']</v>
      </c>
      <c r="D1531" s="3">
        <v>1.0</v>
      </c>
    </row>
    <row r="1532" ht="15.75" customHeight="1">
      <c r="A1532" s="1">
        <v>1682.0</v>
      </c>
      <c r="B1532" s="3" t="s">
        <v>1504</v>
      </c>
      <c r="C1532" s="3" t="str">
        <f>IFERROR(__xludf.DUMMYFUNCTION("GOOGLETRANSLATE(B1532,""id"",""en"")"),"['regularaa', 'help', ""]")</f>
        <v>['regularaa', 'help', "]</v>
      </c>
      <c r="D1532" s="3">
        <v>5.0</v>
      </c>
    </row>
    <row r="1533" ht="15.75" customHeight="1">
      <c r="A1533" s="1">
        <v>1683.0</v>
      </c>
      <c r="B1533" s="3" t="s">
        <v>1505</v>
      </c>
      <c r="C1533" s="3" t="str">
        <f>IFERROR(__xludf.DUMMYFUNCTION("GOOGLETRANSLATE(B1533,""id"",""en"")"),"['Monitor', 'usage', 'internet', 'anywhere']")</f>
        <v>['Monitor', 'usage', 'internet', 'anywhere']</v>
      </c>
      <c r="D1533" s="3">
        <v>5.0</v>
      </c>
    </row>
    <row r="1534" ht="15.75" customHeight="1">
      <c r="A1534" s="1">
        <v>1684.0</v>
      </c>
      <c r="B1534" s="3" t="s">
        <v>1506</v>
      </c>
      <c r="C1534" s="3" t="str">
        <f>IFERROR(__xludf.DUMMYFUNCTION("GOOGLETRANSLATE(B1534,""id"",""en"")"),"['Check', 'Bill', 'Upgrade', 'Service', 'Report', 'Disorders', 'Houses', 'Help', 'Make Easy', 'Thanks', 'Telkom', ""]")</f>
        <v>['Check', 'Bill', 'Upgrade', 'Service', 'Report', 'Disorders', 'Houses', 'Help', 'Make Easy', 'Thanks', 'Telkom', "]</v>
      </c>
      <c r="D1534" s="3">
        <v>5.0</v>
      </c>
    </row>
    <row r="1535" ht="15.75" customHeight="1">
      <c r="A1535" s="1">
        <v>1685.0</v>
      </c>
      <c r="B1535" s="3" t="s">
        <v>1507</v>
      </c>
      <c r="C1535" s="3" t="str">
        <f>IFERROR(__xludf.DUMMYFUNCTION("GOOGLETRANSLATE(B1535,""id"",""en"")"),"['Application', 'useful', 'really']")</f>
        <v>['Application', 'useful', 'really']</v>
      </c>
      <c r="D1535" s="3">
        <v>5.0</v>
      </c>
    </row>
    <row r="1536" ht="15.75" customHeight="1">
      <c r="A1536" s="1">
        <v>1686.0</v>
      </c>
      <c r="B1536" s="3" t="s">
        <v>1508</v>
      </c>
      <c r="C1536" s="3" t="str">
        <f>IFERROR(__xludf.DUMMYFUNCTION("GOOGLETRANSLATE(B1536,""id"",""en"")"),"['Good', 'enhanced', 'APK', 'bug', 'minimized', 'report', 'disorder', 'save', 'pulse', 'check', 'fup', 'bill', ' Hopefully ',' update ',' in the future ',' good ', ""]")</f>
        <v>['Good', 'enhanced', 'APK', 'bug', 'minimized', 'report', 'disorder', 'save', 'pulse', 'check', 'fup', 'bill', ' Hopefully ',' update ',' in the future ',' good ', "]</v>
      </c>
      <c r="D1536" s="3">
        <v>5.0</v>
      </c>
    </row>
    <row r="1537" ht="15.75" customHeight="1">
      <c r="A1537" s="1">
        <v>1687.0</v>
      </c>
      <c r="B1537" s="3" t="s">
        <v>1509</v>
      </c>
      <c r="C1537" s="3" t="str">
        <f>IFERROR(__xludf.DUMMYFUNCTION("GOOGLETRANSLATE(B1537,""id"",""en"")"),"['User', 'Experience', 'Easy', 'Defended', 'Details', 'Information']")</f>
        <v>['User', 'Experience', 'Easy', 'Defended', 'Details', 'Information']</v>
      </c>
      <c r="D1537" s="3">
        <v>5.0</v>
      </c>
    </row>
    <row r="1538" ht="15.75" customHeight="1">
      <c r="A1538" s="1">
        <v>1688.0</v>
      </c>
      <c r="B1538" s="3" t="s">
        <v>1510</v>
      </c>
      <c r="C1538" s="3" t="str">
        <f>IFERROR(__xludf.DUMMYFUNCTION("GOOGLETRANSLATE(B1538,""id"",""en"")"),"['ugly', 'really', 'service']")</f>
        <v>['ugly', 'really', 'service']</v>
      </c>
      <c r="D1538" s="3">
        <v>1.0</v>
      </c>
    </row>
    <row r="1539" ht="15.75" customHeight="1">
      <c r="A1539" s="1">
        <v>1689.0</v>
      </c>
      <c r="B1539" s="3" t="s">
        <v>1511</v>
      </c>
      <c r="C1539" s="3" t="str">
        <f>IFERROR(__xludf.DUMMYFUNCTION("GOOGLETRANSLATE(B1539,""id"",""en"")"),"['Help', 'payment']")</f>
        <v>['Help', 'payment']</v>
      </c>
      <c r="D1539" s="3">
        <v>5.0</v>
      </c>
    </row>
    <row r="1540" ht="15.75" customHeight="1">
      <c r="A1540" s="1">
        <v>1690.0</v>
      </c>
      <c r="B1540" s="3" t="s">
        <v>1512</v>
      </c>
      <c r="C1540" s="3" t="str">
        <f>IFERROR(__xludf.DUMMYFUNCTION("GOOGLETRANSLATE(B1540,""id"",""en"")"),"['Steady', 'Lord']")</f>
        <v>['Steady', 'Lord']</v>
      </c>
      <c r="D1540" s="3">
        <v>5.0</v>
      </c>
    </row>
    <row r="1541" ht="15.75" customHeight="1">
      <c r="A1541" s="1">
        <v>1691.0</v>
      </c>
      <c r="B1541" s="3" t="s">
        <v>1513</v>
      </c>
      <c r="C1541" s="3" t="str">
        <f>IFERROR(__xludf.DUMMYFUNCTION("GOOGLETRANSLATE(B1541,""id"",""en"")"),"['Rewel', 'update', 'application', 'account', 'complicated', 'bngt', 'process']")</f>
        <v>['Rewel', 'update', 'application', 'account', 'complicated', 'bngt', 'process']</v>
      </c>
      <c r="D1541" s="3">
        <v>1.0</v>
      </c>
    </row>
    <row r="1542" ht="15.75" customHeight="1">
      <c r="A1542" s="1">
        <v>1692.0</v>
      </c>
      <c r="B1542" s="3" t="s">
        <v>1514</v>
      </c>
      <c r="C1542" s="3" t="str">
        <f>IFERROR(__xludf.DUMMYFUNCTION("GOOGLETRANSLATE(B1542,""id"",""en"")"),"['app', 'useful', 'cool', 'pay', 'bill', 'home', 'comfortable', 'thank', 'love', 'indihome']")</f>
        <v>['app', 'useful', 'cool', 'pay', 'bill', 'home', 'comfortable', 'thank', 'love', 'indihome']</v>
      </c>
      <c r="D1542" s="3">
        <v>5.0</v>
      </c>
    </row>
    <row r="1543" ht="15.75" customHeight="1">
      <c r="A1543" s="1">
        <v>1694.0</v>
      </c>
      <c r="B1543" s="3" t="s">
        <v>1515</v>
      </c>
      <c r="C1543" s="3" t="str">
        <f>IFERROR(__xludf.DUMMYFUNCTION("GOOGLETRANSLATE(B1543,""id"",""en"")"),"['Lyanan', 'Indihome', 'best']")</f>
        <v>['Lyanan', 'Indihome', 'best']</v>
      </c>
      <c r="D1543" s="3">
        <v>5.0</v>
      </c>
    </row>
    <row r="1544" ht="15.75" customHeight="1">
      <c r="A1544" s="1">
        <v>1695.0</v>
      </c>
      <c r="B1544" s="3" t="s">
        <v>1516</v>
      </c>
      <c r="C1544" s="3" t="str">
        <f>IFERROR(__xludf.DUMMYFUNCTION("GOOGLETRANSLATE(B1544,""id"",""en"")"),"['application', 'usefull', '']")</f>
        <v>['application', 'usefull', '']</v>
      </c>
      <c r="D1544" s="3">
        <v>5.0</v>
      </c>
    </row>
    <row r="1545" ht="15.75" customHeight="1">
      <c r="A1545" s="1">
        <v>1696.0</v>
      </c>
      <c r="B1545" s="3" t="s">
        <v>1517</v>
      </c>
      <c r="C1545" s="3" t="str">
        <f>IFERROR(__xludf.DUMMYFUNCTION("GOOGLETRANSLATE(B1545,""id"",""en"")"),"['application', 'Myindihome', 'report', 'disorder', 'check', 'FUP', 'check', 'package', 'upgrade', 'speed', 'demand', 'kece', ' ']")</f>
        <v>['application', 'Myindihome', 'report', 'disorder', 'check', 'FUP', 'check', 'package', 'upgrade', 'speed', 'demand', 'kece', ' ']</v>
      </c>
      <c r="D1545" s="3">
        <v>5.0</v>
      </c>
    </row>
    <row r="1546" ht="15.75" customHeight="1">
      <c r="A1546" s="1">
        <v>1697.0</v>
      </c>
      <c r="B1546" s="3" t="s">
        <v>1518</v>
      </c>
      <c r="C1546" s="3" t="str">
        <f>IFERROR(__xludf.DUMMYFUNCTION("GOOGLETRANSLATE(B1546,""id"",""en"")"),"['Help', 'Information', 'Bill', 'reporting', 'complaints']")</f>
        <v>['Help', 'Information', 'Bill', 'reporting', 'complaints']</v>
      </c>
      <c r="D1546" s="3">
        <v>5.0</v>
      </c>
    </row>
    <row r="1547" ht="15.75" customHeight="1">
      <c r="A1547" s="1">
        <v>1698.0</v>
      </c>
      <c r="B1547" s="3" t="s">
        <v>1519</v>
      </c>
      <c r="C1547" s="3" t="str">
        <f>IFERROR(__xludf.DUMMYFUNCTION("GOOGLETRANSLATE(B1547,""id"",""en"")"),"['Cool', 'pay', 'bill', 'home', 'usefull', 'really', 'pokonya']")</f>
        <v>['Cool', 'pay', 'bill', 'home', 'usefull', 'really', 'pokonya']</v>
      </c>
      <c r="D1547" s="3">
        <v>5.0</v>
      </c>
    </row>
    <row r="1548" ht="15.75" customHeight="1">
      <c r="A1548" s="1">
        <v>1700.0</v>
      </c>
      <c r="B1548" s="3" t="s">
        <v>1520</v>
      </c>
      <c r="C1548" s="3" t="str">
        <f>IFERROR(__xludf.DUMMYFUNCTION("GOOGLETRANSLATE(B1548,""id"",""en"")"),"['Application', 'usefull', 'really']")</f>
        <v>['Application', 'usefull', 'really']</v>
      </c>
      <c r="D1548" s="3">
        <v>5.0</v>
      </c>
    </row>
    <row r="1549" ht="15.75" customHeight="1">
      <c r="A1549" s="1">
        <v>1702.0</v>
      </c>
      <c r="B1549" s="3" t="s">
        <v>1521</v>
      </c>
      <c r="C1549" s="3" t="str">
        <f>IFERROR(__xludf.DUMMYFUNCTION("GOOGLETRANSLATE(B1549,""id"",""en"")"),"['Best', 'Sis', 'Facilitates', 'Report', 'Monitor', 'Use', 'Easy', 'Hopefully', 'Developing', 'Apps']")</f>
        <v>['Best', 'Sis', 'Facilitates', 'Report', 'Monitor', 'Use', 'Easy', 'Hopefully', 'Developing', 'Apps']</v>
      </c>
      <c r="D1549" s="3">
        <v>5.0</v>
      </c>
    </row>
    <row r="1550" ht="15.75" customHeight="1">
      <c r="A1550" s="1">
        <v>1703.0</v>
      </c>
      <c r="B1550" s="3" t="s">
        <v>1522</v>
      </c>
      <c r="C1550" s="3" t="str">
        <f>IFERROR(__xludf.DUMMYFUNCTION("GOOGLETRANSLATE(B1550,""id"",""en"")"),"['', 'Ribet', 'Pay', 'bills', 'home', 'comfortable', 'monitor', 'use', ""]")</f>
        <v>['', 'Ribet', 'Pay', 'bills', 'home', 'comfortable', 'monitor', 'use', "]</v>
      </c>
      <c r="D1550" s="3">
        <v>5.0</v>
      </c>
    </row>
    <row r="1551" ht="15.75" customHeight="1">
      <c r="A1551" s="1">
        <v>1704.0</v>
      </c>
      <c r="B1551" s="3" t="s">
        <v>1523</v>
      </c>
      <c r="C1551" s="3" t="str">
        <f>IFERROR(__xludf.DUMMYFUNCTION("GOOGLETRANSLATE(B1551,""id"",""en"")"),"['Steady', 'Application', 'usefull', 'really']")</f>
        <v>['Steady', 'Application', 'usefull', 'really']</v>
      </c>
      <c r="D1551" s="3">
        <v>5.0</v>
      </c>
    </row>
    <row r="1552" ht="15.75" customHeight="1">
      <c r="A1552" s="1">
        <v>1705.0</v>
      </c>
      <c r="B1552" s="3" t="s">
        <v>1524</v>
      </c>
      <c r="C1552" s="3" t="str">
        <f>IFERROR(__xludf.DUMMYFUNCTION("GOOGLETRANSLATE(B1552,""id"",""en"")"),"['Monitor', 'Internet', 'Easy', 'Where']")</f>
        <v>['Monitor', 'Internet', 'Easy', 'Where']</v>
      </c>
      <c r="D1552" s="3">
        <v>5.0</v>
      </c>
    </row>
    <row r="1553" ht="15.75" customHeight="1">
      <c r="A1553" s="1">
        <v>1706.0</v>
      </c>
      <c r="B1553" s="3" t="s">
        <v>1525</v>
      </c>
      <c r="C1553" s="3" t="str">
        <f>IFERROR(__xludf.DUMMYFUNCTION("GOOGLETRANSLATE(B1553,""id"",""en"")"),"['finally', 'monitor', 'usage', 'internet', 'easy']")</f>
        <v>['finally', 'monitor', 'usage', 'internet', 'easy']</v>
      </c>
      <c r="D1553" s="3">
        <v>5.0</v>
      </c>
    </row>
    <row r="1554" ht="15.75" customHeight="1">
      <c r="A1554" s="1">
        <v>1707.0</v>
      </c>
      <c r="B1554" s="3" t="s">
        <v>239</v>
      </c>
      <c r="C1554" s="3" t="str">
        <f>IFERROR(__xludf.DUMMYFUNCTION("GOOGLETRANSLATE(B1554,""id"",""en"")"),"['', '']")</f>
        <v>['', '']</v>
      </c>
      <c r="D1554" s="3">
        <v>1.0</v>
      </c>
    </row>
    <row r="1555" ht="15.75" customHeight="1">
      <c r="A1555" s="1">
        <v>1708.0</v>
      </c>
      <c r="B1555" s="3" t="s">
        <v>1526</v>
      </c>
      <c r="C1555" s="3" t="str">
        <f>IFERROR(__xludf.DUMMYFUNCTION("GOOGLETRANSLATE(B1555,""id"",""en"")"),"['Entering', 'number', 'Indihome', 'failed', 'Mulu', ""]")</f>
        <v>['Entering', 'number', 'Indihome', 'failed', 'Mulu', "]</v>
      </c>
      <c r="D1555" s="3">
        <v>2.0</v>
      </c>
    </row>
    <row r="1556" ht="15.75" customHeight="1">
      <c r="A1556" s="1">
        <v>1709.0</v>
      </c>
      <c r="B1556" s="3" t="s">
        <v>1527</v>
      </c>
      <c r="C1556" s="3" t="str">
        <f>IFERROR(__xludf.DUMMYFUNCTION("GOOGLETRANSLATE(B1556,""id"",""en"")"),"['', 'telephone', 'email', 'koq', 'registered', 'how', '']")</f>
        <v>['', 'telephone', 'email', 'koq', 'registered', 'how', '']</v>
      </c>
      <c r="D1556" s="3">
        <v>1.0</v>
      </c>
    </row>
    <row r="1557" ht="15.75" customHeight="1">
      <c r="A1557" s="1">
        <v>1710.0</v>
      </c>
      <c r="B1557" s="3" t="s">
        <v>1528</v>
      </c>
      <c r="C1557" s="3" t="str">
        <f>IFERROR(__xludf.DUMMYFUNCTION("GOOGLETRANSLATE(B1557,""id"",""en"")"),"['like', 'slow', 'speed', 'Mbps']")</f>
        <v>['like', 'slow', 'speed', 'Mbps']</v>
      </c>
      <c r="D1557" s="3">
        <v>3.0</v>
      </c>
    </row>
    <row r="1558" ht="15.75" customHeight="1">
      <c r="A1558" s="1">
        <v>1711.0</v>
      </c>
      <c r="B1558" s="3" t="s">
        <v>1529</v>
      </c>
      <c r="C1558" s="3" t="str">
        <f>IFERROR(__xludf.DUMMYFUNCTION("GOOGLETRANSLATE(B1558,""id"",""en"")"),"['Say "",' bonus', 'iFlix', 'VIP', 'GDA', 'bonus',' cheated ',' rich ',' gni ']")</f>
        <v>['Say ",' bonus', 'iFlix', 'VIP', 'GDA', 'bonus',' cheated ',' rich ',' gni ']</v>
      </c>
      <c r="D1558" s="3">
        <v>1.0</v>
      </c>
    </row>
    <row r="1559" ht="15.75" customHeight="1">
      <c r="A1559" s="1">
        <v>1712.0</v>
      </c>
      <c r="B1559" s="3" t="s">
        <v>1530</v>
      </c>
      <c r="C1559" s="3" t="str">
        <f>IFERROR(__xludf.DUMMYFUNCTION("GOOGLETRANSLATE(B1559,""id"",""en"")"),"['ODP', 'full', 'Indihome', 'enthusiasts', 'ODP', 'full', 'difficult', 'pairs', 'indihome']")</f>
        <v>['ODP', 'full', 'Indihome', 'enthusiasts', 'ODP', 'full', 'difficult', 'pairs', 'indihome']</v>
      </c>
      <c r="D1559" s="3">
        <v>2.0</v>
      </c>
    </row>
    <row r="1560" ht="15.75" customHeight="1">
      <c r="A1560" s="1">
        <v>1713.0</v>
      </c>
      <c r="B1560" s="3" t="s">
        <v>1531</v>
      </c>
      <c r="C1560" s="3" t="str">
        <f>IFERROR(__xludf.DUMMYFUNCTION("GOOGLETRANSLATE(B1560,""id"",""en"")"),"['Alhamdulillah', 'Thank you', 'response', 'Nyaa', 'DLN', 'Tempo', 'Clock', 'Resolved', 'Sorry', 'Emotiii', ""]")</f>
        <v>['Alhamdulillah', 'Thank you', 'response', 'Nyaa', 'DLN', 'Tempo', 'Clock', 'Resolved', 'Sorry', 'Emotiii', "]</v>
      </c>
      <c r="D1560" s="3">
        <v>5.0</v>
      </c>
    </row>
    <row r="1561" ht="15.75" customHeight="1">
      <c r="A1561" s="1">
        <v>1714.0</v>
      </c>
      <c r="B1561" s="3" t="s">
        <v>1532</v>
      </c>
      <c r="C1561" s="3" t="str">
        <f>IFERROR(__xludf.DUMMYFUNCTION("GOOGLETRANSLATE(B1561,""id"",""en"")"),"['Sorry', 'already', 'entry', 'spill', 'automatically', '']")</f>
        <v>['Sorry', 'already', 'entry', 'spill', 'automatically', '']</v>
      </c>
      <c r="D1561" s="3">
        <v>5.0</v>
      </c>
    </row>
    <row r="1562" ht="15.75" customHeight="1">
      <c r="A1562" s="1">
        <v>1715.0</v>
      </c>
      <c r="B1562" s="3" t="s">
        <v>1533</v>
      </c>
      <c r="C1562" s="3" t="str">
        <f>IFERROR(__xludf.DUMMYFUNCTION("GOOGLETRANSLATE(B1562,""id"",""en"")"),"['Download', 'Enter', 'Application', 'Please', 'Repaired', 'Thank', 'Love', ""]")</f>
        <v>['Download', 'Enter', 'Application', 'Please', 'Repaired', 'Thank', 'Love', "]</v>
      </c>
      <c r="D1562" s="3">
        <v>2.0</v>
      </c>
    </row>
    <row r="1563" ht="15.75" customHeight="1">
      <c r="A1563" s="1">
        <v>1716.0</v>
      </c>
      <c r="B1563" s="3" t="s">
        <v>1534</v>
      </c>
      <c r="C1563" s="3" t="str">
        <f>IFERROR(__xludf.DUMMYFUNCTION("GOOGLETRANSLATE(B1563,""id"",""en"")"),"['Dapan', 'PIN', 'balance', 'can', 'pin', 'balance', 'complaint', 'Where', 'renew', 'Speed', 'Mintak', 'pin', ' balance ',' thank you ']")</f>
        <v>['Dapan', 'PIN', 'balance', 'can', 'pin', 'balance', 'complaint', 'Where', 'renew', 'Speed', 'Mintak', 'pin', ' balance ',' thank you ']</v>
      </c>
      <c r="D1563" s="3">
        <v>2.0</v>
      </c>
    </row>
    <row r="1564" ht="15.75" customHeight="1">
      <c r="A1564" s="1">
        <v>1717.0</v>
      </c>
      <c r="B1564" s="3" t="s">
        <v>1535</v>
      </c>
      <c r="C1564" s="3" t="str">
        <f>IFERROR(__xludf.DUMMYFUNCTION("GOOGLETRANSLATE(B1564,""id"",""en"")"),"['Price', 'Flat', 'little', 'tks']")</f>
        <v>['Price', 'Flat', 'little', 'tks']</v>
      </c>
      <c r="D1564" s="3">
        <v>5.0</v>
      </c>
    </row>
    <row r="1565" ht="15.75" customHeight="1">
      <c r="A1565" s="1">
        <v>1718.0</v>
      </c>
      <c r="B1565" s="3" t="s">
        <v>1536</v>
      </c>
      <c r="C1565" s="3" t="str">
        <f>IFERROR(__xludf.DUMMYFUNCTION("GOOGLETRANSLATE(B1565,""id"",""en"")"),"['Use', 'Indihome', 'November', 'Srkg', 'Alhamduli', 'Needs',' Relationship ',' Denga ',' Online ',' business', 'online', 'run', ' Current ',' obstacles', 'basically', 'loyal', 'deh', 'ama', 'indihome', 'thank you', 'indihome', 'success',' ']")</f>
        <v>['Use', 'Indihome', 'November', 'Srkg', 'Alhamduli', 'Needs',' Relationship ',' Denga ',' Online ',' business', 'online', 'run', ' Current ',' obstacles', 'basically', 'loyal', 'deh', 'ama', 'indihome', 'thank you', 'indihome', 'success',' ']</v>
      </c>
      <c r="D1565" s="3">
        <v>5.0</v>
      </c>
    </row>
    <row r="1566" ht="15.75" customHeight="1">
      <c r="A1566" s="1">
        <v>1719.0</v>
      </c>
      <c r="B1566" s="3" t="s">
        <v>1537</v>
      </c>
      <c r="C1566" s="3" t="str">
        <f>IFERROR(__xludf.DUMMYFUNCTION("GOOGLETRANSLATE(B1566,""id"",""en"")"),"['easy', 'check', 'status', 'bill', 'delivery', 'repair', '']")</f>
        <v>['easy', 'check', 'status', 'bill', 'delivery', 'repair', '']</v>
      </c>
      <c r="D1566" s="3">
        <v>5.0</v>
      </c>
    </row>
    <row r="1567" ht="15.75" customHeight="1">
      <c r="A1567" s="1">
        <v>1720.0</v>
      </c>
      <c r="B1567" s="3" t="s">
        <v>1538</v>
      </c>
      <c r="C1567" s="3" t="str">
        <f>IFERROR(__xludf.DUMMYFUNCTION("GOOGLETRANSLATE(B1567,""id"",""en"")"),"['Informative']")</f>
        <v>['Informative']</v>
      </c>
      <c r="D1567" s="3">
        <v>5.0</v>
      </c>
    </row>
    <row r="1568" ht="15.75" customHeight="1">
      <c r="A1568" s="1">
        <v>1721.0</v>
      </c>
      <c r="B1568" s="3" t="s">
        <v>1539</v>
      </c>
      <c r="C1568" s="3" t="str">
        <f>IFERROR(__xludf.DUMMYFUNCTION("GOOGLETRANSLATE(B1568,""id"",""en"")"),"['week', 'installation', 'useetv', 'blom']")</f>
        <v>['week', 'installation', 'useetv', 'blom']</v>
      </c>
      <c r="D1568" s="3">
        <v>1.0</v>
      </c>
    </row>
    <row r="1569" ht="15.75" customHeight="1">
      <c r="A1569" s="1">
        <v>1722.0</v>
      </c>
      <c r="B1569" s="3" t="s">
        <v>1540</v>
      </c>
      <c r="C1569" s="3" t="str">
        <f>IFERROR(__xludf.DUMMYFUNCTION("GOOGLETRANSLATE(B1569,""id"",""en"")"),"['MSH', 'MSH', 'LIMITED', 'ODP', 'Full', 'Customer', 'Tide', 'Hopefully', 'Permission', 'Company', 'Foreign', 'Enter', ' Breakthrough ',' ']")</f>
        <v>['MSH', 'MSH', 'LIMITED', 'ODP', 'Full', 'Customer', 'Tide', 'Hopefully', 'Permission', 'Company', 'Foreign', 'Enter', ' Breakthrough ',' ']</v>
      </c>
      <c r="D1569" s="3">
        <v>1.0</v>
      </c>
    </row>
    <row r="1570" ht="15.75" customHeight="1">
      <c r="A1570" s="1">
        <v>1723.0</v>
      </c>
      <c r="B1570" s="3" t="s">
        <v>1541</v>
      </c>
      <c r="C1570" s="3" t="str">
        <f>IFERROR(__xludf.DUMMYFUNCTION("GOOGLETRANSLATE(B1570,""id"",""en"")"),"['Feature', 'Cool']")</f>
        <v>['Feature', 'Cool']</v>
      </c>
      <c r="D1570" s="3">
        <v>5.0</v>
      </c>
    </row>
    <row r="1571" ht="15.75" customHeight="1">
      <c r="A1571" s="1">
        <v>1724.0</v>
      </c>
      <c r="B1571" s="3" t="s">
        <v>1542</v>
      </c>
      <c r="C1571" s="3" t="str">
        <f>IFERROR(__xludf.DUMMYFUNCTION("GOOGLETRANSLATE(B1571,""id"",""en"")"),"['poor', 'customer', 'service', 'told', 'download', 'Myindihome', 'UDH', 'download', 'application', 'use', 'smpe', 'fill', ' Indihome ',' Error ',' System ']")</f>
        <v>['poor', 'customer', 'service', 'told', 'download', 'Myindihome', 'UDH', 'download', 'application', 'use', 'smpe', 'fill', ' Indihome ',' Error ',' System ']</v>
      </c>
      <c r="D1571" s="3">
        <v>1.0</v>
      </c>
    </row>
    <row r="1572" ht="15.75" customHeight="1">
      <c r="A1572" s="1">
        <v>1725.0</v>
      </c>
      <c r="B1572" s="3" t="s">
        <v>1543</v>
      </c>
      <c r="C1572" s="3" t="str">
        <f>IFERROR(__xludf.DUMMYFUNCTION("GOOGLETRANSLATE(B1572,""id"",""en"")"),"['Application', 'Kaga', 'Kaga', 'Log']")</f>
        <v>['Application', 'Kaga', 'Kaga', 'Log']</v>
      </c>
      <c r="D1572" s="3">
        <v>1.0</v>
      </c>
    </row>
    <row r="1573" ht="15.75" customHeight="1">
      <c r="A1573" s="1">
        <v>1726.0</v>
      </c>
      <c r="B1573" s="3" t="s">
        <v>1544</v>
      </c>
      <c r="C1573" s="3" t="str">
        <f>IFERROR(__xludf.DUMMYFUNCTION("GOOGLETRANSLATE(B1573,""id"",""en"")"),"['Akount', 'Myindihome', 'Lost', 'check', 'UDH', 'Disappointed', 'really', ""]")</f>
        <v>['Akount', 'Myindihome', 'Lost', 'check', 'UDH', 'Disappointed', 'really', "]</v>
      </c>
      <c r="D1573" s="3">
        <v>1.0</v>
      </c>
    </row>
    <row r="1574" ht="15.75" customHeight="1">
      <c r="A1574" s="1">
        <v>1727.0</v>
      </c>
      <c r="B1574" s="3" t="s">
        <v>1545</v>
      </c>
      <c r="C1574" s="3" t="str">
        <f>IFERROR(__xludf.DUMMYFUNCTION("GOOGLETRANSLATE(B1574,""id"",""en"")"),"['Mantab', 'in', '']")</f>
        <v>['Mantab', 'in', '']</v>
      </c>
      <c r="D1574" s="3">
        <v>5.0</v>
      </c>
    </row>
    <row r="1575" ht="15.75" customHeight="1">
      <c r="A1575" s="1">
        <v>1728.0</v>
      </c>
      <c r="B1575" s="3" t="s">
        <v>1546</v>
      </c>
      <c r="C1575" s="3" t="str">
        <f>IFERROR(__xludf.DUMMYFUNCTION("GOOGLETRANSLATE(B1575,""id"",""en"")"),"['Login', 'Sudag', 'Repeated', 'Times', 'Try']")</f>
        <v>['Login', 'Sudag', 'Repeated', 'Times', 'Try']</v>
      </c>
      <c r="D1575" s="3">
        <v>1.0</v>
      </c>
    </row>
    <row r="1576" ht="15.75" customHeight="1">
      <c r="A1576" s="1">
        <v>1730.0</v>
      </c>
      <c r="B1576" s="3" t="s">
        <v>1547</v>
      </c>
      <c r="C1576" s="3" t="str">
        <f>IFERROR(__xludf.DUMMYFUNCTION("GOOGLETRANSLATE(B1576,""id"",""en"")"),"['ping', 'signal', 'trashhh']")</f>
        <v>['ping', 'signal', 'trashhh']</v>
      </c>
      <c r="D1576" s="3">
        <v>1.0</v>
      </c>
    </row>
    <row r="1577" ht="15.75" customHeight="1">
      <c r="A1577" s="1">
        <v>1731.0</v>
      </c>
      <c r="B1577" s="3" t="s">
        <v>1548</v>
      </c>
      <c r="C1577" s="3" t="str">
        <f>IFERROR(__xludf.DUMMYFUNCTION("GOOGLETRANSLATE(B1577,""id"",""en"")"),"['Humanis', 'Humanis', '']")</f>
        <v>['Humanis', 'Humanis', '']</v>
      </c>
      <c r="D1577" s="3">
        <v>5.0</v>
      </c>
    </row>
    <row r="1578" ht="15.75" customHeight="1">
      <c r="A1578" s="1">
        <v>1732.0</v>
      </c>
      <c r="B1578" s="3" t="s">
        <v>1549</v>
      </c>
      <c r="C1578" s="3" t="str">
        <f>IFERROR(__xludf.DUMMYFUNCTION("GOOGLETRANSLATE(B1578,""id"",""en"")"),"['Please', 'repaired', 'connection', 'slow', 'response']")</f>
        <v>['Please', 'repaired', 'connection', 'slow', 'response']</v>
      </c>
      <c r="D1578" s="3">
        <v>5.0</v>
      </c>
    </row>
    <row r="1579" ht="15.75" customHeight="1">
      <c r="A1579" s="1">
        <v>1733.0</v>
      </c>
      <c r="B1579" s="3" t="s">
        <v>1550</v>
      </c>
      <c r="C1579" s="3" t="str">
        <f>IFERROR(__xludf.DUMMYFUNCTION("GOOGLETRANSLATE(B1579,""id"",""en"")"),"['features']")</f>
        <v>['features']</v>
      </c>
      <c r="D1579" s="3">
        <v>5.0</v>
      </c>
    </row>
    <row r="1580" ht="15.75" customHeight="1">
      <c r="A1580" s="1">
        <v>1735.0</v>
      </c>
      <c r="B1580" s="3" t="s">
        <v>1551</v>
      </c>
      <c r="C1580" s="3" t="str">
        <f>IFERROR(__xludf.DUMMYFUNCTION("GOOGLETRANSLATE(B1580,""id"",""en"")"),"['Display', 'okay', 'understand', 'update', 'newest']")</f>
        <v>['Display', 'okay', 'understand', 'update', 'newest']</v>
      </c>
      <c r="D1580" s="3">
        <v>4.0</v>
      </c>
    </row>
    <row r="1581" ht="15.75" customHeight="1">
      <c r="A1581" s="1">
        <v>1736.0</v>
      </c>
      <c r="B1581" s="3" t="s">
        <v>77</v>
      </c>
      <c r="C1581" s="3" t="str">
        <f>IFERROR(__xludf.DUMMYFUNCTION("GOOGLETRANSLATE(B1581,""id"",""en"")"),"['Application', 'Cool', 'Help']")</f>
        <v>['Application', 'Cool', 'Help']</v>
      </c>
      <c r="D1581" s="3">
        <v>5.0</v>
      </c>
    </row>
    <row r="1582" ht="15.75" customHeight="1">
      <c r="A1582" s="1">
        <v>1737.0</v>
      </c>
      <c r="B1582" s="3" t="s">
        <v>1552</v>
      </c>
      <c r="C1582" s="3" t="str">
        <f>IFERROR(__xludf.DUMMYFUNCTION("GOOGLETRANSLATE(B1582,""id"",""en"")"),"['very', 'Bad', 'Quality', 'Signal', 'Unstabill', 'Network', 'High', 'ping', 'and', 'lag', 'Full', 'Repair', ' Your ',' Network ',' Keep ',' Your ',' Customers', 'Thanks']")</f>
        <v>['very', 'Bad', 'Quality', 'Signal', 'Unstabill', 'Network', 'High', 'ping', 'and', 'lag', 'Full', 'Repair', ' Your ',' Network ',' Keep ',' Your ',' Customers', 'Thanks']</v>
      </c>
      <c r="D1582" s="3">
        <v>1.0</v>
      </c>
    </row>
    <row r="1583" ht="15.75" customHeight="1">
      <c r="A1583" s="1">
        <v>1738.0</v>
      </c>
      <c r="B1583" s="3" t="s">
        <v>1553</v>
      </c>
      <c r="C1583" s="3" t="str">
        <f>IFERROR(__xludf.DUMMYFUNCTION("GOOGLETRANSLATE(B1583,""id"",""en"")"),"['APK', 'complete', 'good', 'hope', 'in the future']")</f>
        <v>['APK', 'complete', 'good', 'hope', 'in the future']</v>
      </c>
      <c r="D1583" s="3">
        <v>5.0</v>
      </c>
    </row>
    <row r="1584" ht="15.75" customHeight="1">
      <c r="A1584" s="1">
        <v>1739.0</v>
      </c>
      <c r="B1584" s="3" t="s">
        <v>1554</v>
      </c>
      <c r="C1584" s="3" t="str">
        <f>IFERROR(__xludf.DUMMYFUNCTION("GOOGLETRANSLATE(B1584,""id"",""en"")"),"['Myindihome', 'easy', 'checks', 'bills', 'payment', 'direct', 'application', 'debit', 'card', 'credit', '']")</f>
        <v>['Myindihome', 'easy', 'checks', 'bills', 'payment', 'direct', 'application', 'debit', 'card', 'credit', '']</v>
      </c>
      <c r="D1584" s="3">
        <v>5.0</v>
      </c>
    </row>
    <row r="1585" ht="15.75" customHeight="1">
      <c r="A1585" s="1">
        <v>1740.0</v>
      </c>
      <c r="B1585" s="3" t="s">
        <v>1555</v>
      </c>
      <c r="C1585" s="3" t="str">
        <f>IFERROR(__xludf.DUMMYFUNCTION("GOOGLETRANSLATE(B1585,""id"",""en"")"),"['fast', 'complain', 'social', 'media', 'Instagram', 'times',' report ',' finished ',' modem ',' Los', 'confirm', 'his technic', ' csnya ']")</f>
        <v>['fast', 'complain', 'social', 'media', 'Instagram', 'times',' report ',' finished ',' modem ',' Los', 'confirm', 'his technic', ' csnya ']</v>
      </c>
      <c r="D1585" s="3">
        <v>5.0</v>
      </c>
    </row>
    <row r="1586" ht="15.75" customHeight="1">
      <c r="A1586" s="1">
        <v>1741.0</v>
      </c>
      <c r="B1586" s="3" t="s">
        <v>1556</v>
      </c>
      <c r="C1586" s="3" t="str">
        <f>IFERROR(__xludf.DUMMYFUNCTION("GOOGLETRANSLATE(B1586,""id"",""en"")"),"['Official', 'Receipt', 'July', 'September', 'given', '']")</f>
        <v>['Official', 'Receipt', 'July', 'September', 'given', '']</v>
      </c>
      <c r="D1586" s="3">
        <v>1.0</v>
      </c>
    </row>
    <row r="1587" ht="15.75" customHeight="1">
      <c r="A1587" s="1">
        <v>1742.0</v>
      </c>
      <c r="B1587" s="3" t="s">
        <v>1557</v>
      </c>
      <c r="C1587" s="3" t="str">
        <f>IFERROR(__xludf.DUMMYFUNCTION("GOOGLETRANSLATE(B1587,""id"",""en"")"),"['application', 'dark', '']")</f>
        <v>['application', 'dark', '']</v>
      </c>
      <c r="D1587" s="3">
        <v>1.0</v>
      </c>
    </row>
    <row r="1588" ht="15.75" customHeight="1">
      <c r="A1588" s="1">
        <v>1743.0</v>
      </c>
      <c r="B1588" s="3" t="s">
        <v>1558</v>
      </c>
      <c r="C1588" s="3" t="str">
        <f>IFERROR(__xludf.DUMMYFUNCTION("GOOGLETRANSLATE(B1588,""id"",""en"")"),"['response', 'slow', 'complaint', 'Response', 'Network', 'Disconnect', 'Disconnect', 'Disturbing', 'Ganguan', 'Continues']")</f>
        <v>['response', 'slow', 'complaint', 'Response', 'Network', 'Disconnect', 'Disconnect', 'Disturbing', 'Ganguan', 'Continues']</v>
      </c>
      <c r="D1588" s="3">
        <v>1.0</v>
      </c>
    </row>
    <row r="1589" ht="15.75" customHeight="1">
      <c r="A1589" s="1">
        <v>1745.0</v>
      </c>
      <c r="B1589" s="3" t="s">
        <v>1559</v>
      </c>
      <c r="C1589" s="3" t="str">
        <f>IFERROR(__xludf.DUMMYFUNCTION("GOOGLETRANSLATE(B1589,""id"",""en"")"),"['Good', 'help']")</f>
        <v>['Good', 'help']</v>
      </c>
      <c r="D1589" s="3">
        <v>5.0</v>
      </c>
    </row>
    <row r="1590" ht="15.75" customHeight="1">
      <c r="A1590" s="1">
        <v>1746.0</v>
      </c>
      <c r="B1590" s="3" t="s">
        <v>1560</v>
      </c>
      <c r="C1590" s="3" t="str">
        <f>IFERROR(__xludf.DUMMYFUNCTION("GOOGLETRANSLATE(B1590,""id"",""en"")"),"['Upgrade', 'look', 'interesting', 'hope', 'bug', ""]")</f>
        <v>['Upgrade', 'look', 'interesting', 'hope', 'bug', "]</v>
      </c>
      <c r="D1590" s="3">
        <v>5.0</v>
      </c>
    </row>
    <row r="1591" ht="15.75" customHeight="1">
      <c r="A1591" s="1">
        <v>1747.0</v>
      </c>
      <c r="B1591" s="3" t="s">
        <v>1561</v>
      </c>
      <c r="C1591" s="3" t="str">
        <f>IFERROR(__xludf.DUMMYFUNCTION("GOOGLETRANSLATE(B1591,""id"",""en"")"),"['Good', 'application', 'myindihome', 'easy', 'access', 'access', 'internet']")</f>
        <v>['Good', 'application', 'myindihome', 'easy', 'access', 'access', 'internet']</v>
      </c>
      <c r="D1591" s="3">
        <v>5.0</v>
      </c>
    </row>
    <row r="1592" ht="15.75" customHeight="1">
      <c r="A1592" s="1">
        <v>1748.0</v>
      </c>
      <c r="B1592" s="3" t="s">
        <v>1562</v>
      </c>
      <c r="C1592" s="3" t="str">
        <f>IFERROR(__xludf.DUMMYFUNCTION("GOOGLETRANSLATE(B1592,""id"",""en"")"),"['Okay', 'application', '']")</f>
        <v>['Okay', 'application', '']</v>
      </c>
      <c r="D1592" s="3">
        <v>5.0</v>
      </c>
    </row>
    <row r="1593" ht="15.75" customHeight="1">
      <c r="A1593" s="1">
        <v>1749.0</v>
      </c>
      <c r="B1593" s="3" t="s">
        <v>1563</v>
      </c>
      <c r="C1593" s="3" t="str">
        <f>IFERROR(__xludf.DUMMYFUNCTION("GOOGLETRANSLATE(B1593,""id"",""en"")"),"['Signal', 'Sometimes', 'Stable', 'Sometimes']")</f>
        <v>['Signal', 'Sometimes', 'Stable', 'Sometimes']</v>
      </c>
      <c r="D1593" s="3">
        <v>4.0</v>
      </c>
    </row>
    <row r="1594" ht="15.75" customHeight="1">
      <c r="A1594" s="1">
        <v>1750.0</v>
      </c>
      <c r="B1594" s="3" t="s">
        <v>1564</v>
      </c>
      <c r="C1594" s="3" t="str">
        <f>IFERROR(__xludf.DUMMYFUNCTION("GOOGLETRANSLATE(B1594,""id"",""en"")"),"['Love', '']")</f>
        <v>['Love', '']</v>
      </c>
      <c r="D1594" s="3">
        <v>5.0</v>
      </c>
    </row>
    <row r="1595" ht="15.75" customHeight="1">
      <c r="A1595" s="1">
        <v>1751.0</v>
      </c>
      <c r="B1595" s="3" t="s">
        <v>1565</v>
      </c>
      <c r="C1595" s="3" t="str">
        <f>IFERROR(__xludf.DUMMYFUNCTION("GOOGLETRANSLATE(B1595,""id"",""en"")"),"['The application', 'good', 'informative', 'easy', 'run', 'Sometimes',' slow ',' loading ',' Hopefully ',' going forward ',' lbh ',' fast ',' Stable ',' The network ',' ']")</f>
        <v>['The application', 'good', 'informative', 'easy', 'run', 'Sometimes',' slow ',' loading ',' Hopefully ',' going forward ',' lbh ',' fast ',' Stable ',' The network ',' ']</v>
      </c>
      <c r="D1595" s="3">
        <v>4.0</v>
      </c>
    </row>
    <row r="1596" ht="15.75" customHeight="1">
      <c r="A1596" s="1">
        <v>1752.0</v>
      </c>
      <c r="B1596" s="3" t="s">
        <v>1566</v>
      </c>
      <c r="C1596" s="3" t="str">
        <f>IFERROR(__xludf.DUMMYFUNCTION("GOOGLETRANSLATE(B1596,""id"",""en"")"),"['What', 'restore', 'account', 'log', 'out', 'due to', 'update', 'app', 'kah', 'hrs',' list ',' reset ',' ']")</f>
        <v>['What', 'restore', 'account', 'log', 'out', 'due to', 'update', 'app', 'kah', 'hrs',' list ',' reset ',' ']</v>
      </c>
      <c r="D1596" s="3">
        <v>1.0</v>
      </c>
    </row>
    <row r="1597" ht="15.75" customHeight="1">
      <c r="A1597" s="1">
        <v>1754.0</v>
      </c>
      <c r="B1597" s="3" t="s">
        <v>1567</v>
      </c>
      <c r="C1597" s="3" t="str">
        <f>IFERROR(__xludf.DUMMYFUNCTION("GOOGLETRANSLATE(B1597,""id"",""en"")"),"['Keep', 'Rada', 'confused', 'little', 'Simple']")</f>
        <v>['Keep', 'Rada', 'confused', 'little', 'Simple']</v>
      </c>
      <c r="D1597" s="3">
        <v>5.0</v>
      </c>
    </row>
    <row r="1598" ht="15.75" customHeight="1">
      <c r="A1598" s="1">
        <v>1755.0</v>
      </c>
      <c r="B1598" s="3" t="s">
        <v>1568</v>
      </c>
      <c r="C1598" s="3" t="str">
        <f>IFERROR(__xludf.DUMMYFUNCTION("GOOGLETRANSLATE(B1598,""id"",""en"")"),"['Mantabbbb', '']")</f>
        <v>['Mantabbbb', '']</v>
      </c>
      <c r="D1598" s="3">
        <v>5.0</v>
      </c>
    </row>
    <row r="1599" ht="15.75" customHeight="1">
      <c r="A1599" s="1">
        <v>1756.0</v>
      </c>
      <c r="B1599" s="3" t="s">
        <v>1569</v>
      </c>
      <c r="C1599" s="3" t="str">
        <f>IFERROR(__xludf.DUMMYFUNCTION("GOOGLETRANSLATE(B1599,""id"",""en"")"),"['use', 'Indihome', 'complaints', 'signal', 'wifi', 'home', 'hope', ""]")</f>
        <v>['use', 'Indihome', 'complaints', 'signal', 'wifi', 'home', 'hope', "]</v>
      </c>
      <c r="D1599" s="3">
        <v>5.0</v>
      </c>
    </row>
    <row r="1600" ht="15.75" customHeight="1">
      <c r="A1600" s="1">
        <v>1757.0</v>
      </c>
      <c r="B1600" s="3" t="s">
        <v>1570</v>
      </c>
      <c r="C1600" s="3" t="str">
        <f>IFERROR(__xludf.DUMMYFUNCTION("GOOGLETRANSLATE(B1600,""id"",""en"")"),"['Good', 'really', 'kereeeen', 'really', 'in the future', 'yaaa']")</f>
        <v>['Good', 'really', 'kereeeen', 'really', 'in the future', 'yaaa']</v>
      </c>
      <c r="D1600" s="3">
        <v>5.0</v>
      </c>
    </row>
    <row r="1601" ht="15.75" customHeight="1">
      <c r="A1601" s="1">
        <v>1758.0</v>
      </c>
      <c r="B1601" s="3" t="s">
        <v>1571</v>
      </c>
      <c r="C1601" s="3" t="str">
        <f>IFERROR(__xludf.DUMMYFUNCTION("GOOGLETRANSLATE(B1601,""id"",""en"")"),"['shocked', 'open', 'application', 'myindihome', 'told', 'enter', 'email', 'password', 'say it', 'wrong', 'try', 'smpai', ' The next day ',' Point ',' Free ',' Phone ',' Minutes', 'Application', 'Lost', 'Pandemic', 'Child', 'Ku', 'Learning', 'Online', 'Cu"&amp;"rrent' , 'Jaya', 'trimakasih', 'myindihome', '']")</f>
        <v>['shocked', 'open', 'application', 'myindihome', 'told', 'enter', 'email', 'password', 'say it', 'wrong', 'try', 'smpai', ' The next day ',' Point ',' Free ',' Phone ',' Minutes', 'Application', 'Lost', 'Pandemic', 'Child', 'Ku', 'Learning', 'Online', 'Current' , 'Jaya', 'trimakasih', 'myindihome', '']</v>
      </c>
      <c r="D1601" s="3">
        <v>5.0</v>
      </c>
    </row>
    <row r="1602" ht="15.75" customHeight="1">
      <c r="A1602" s="1">
        <v>1759.0</v>
      </c>
      <c r="B1602" s="3" t="s">
        <v>1572</v>
      </c>
      <c r="C1602" s="3" t="str">
        <f>IFERROR(__xludf.DUMMYFUNCTION("GOOGLETRANSLATE(B1602,""id"",""en"")"),"['Seximum', 'Comfortable']")</f>
        <v>['Seximum', 'Comfortable']</v>
      </c>
      <c r="D1602" s="3">
        <v>5.0</v>
      </c>
    </row>
    <row r="1603" ht="15.75" customHeight="1">
      <c r="A1603" s="1">
        <v>1760.0</v>
      </c>
      <c r="B1603" s="3" t="s">
        <v>1573</v>
      </c>
      <c r="C1603" s="3" t="str">
        <f>IFERROR(__xludf.DUMMYFUNCTION("GOOGLETRANSLATE(B1603,""id"",""en"")"),"['It's easy', 'Bangett', 'Indihome', 'Hopefully', 'Help', 'Aamiin']")</f>
        <v>['It's easy', 'Bangett', 'Indihome', 'Hopefully', 'Help', 'Aamiin']</v>
      </c>
      <c r="D1603" s="3">
        <v>5.0</v>
      </c>
    </row>
    <row r="1604" ht="15.75" customHeight="1">
      <c r="A1604" s="1">
        <v>1761.0</v>
      </c>
      <c r="B1604" s="3" t="s">
        <v>1574</v>
      </c>
      <c r="C1604" s="3" t="str">
        <f>IFERROR(__xludf.DUMMYFUNCTION("GOOGLETRANSLATE(B1604,""id"",""en"")"),"['BNYK', 'Support', 'Indihome', 'Application', 'Complete', 'Hopefully', 'Support', 'Following']")</f>
        <v>['BNYK', 'Support', 'Indihome', 'Application', 'Complete', 'Hopefully', 'Support', 'Following']</v>
      </c>
      <c r="D1604" s="3">
        <v>5.0</v>
      </c>
    </row>
    <row r="1605" ht="15.75" customHeight="1">
      <c r="A1605" s="1">
        <v>1762.0</v>
      </c>
      <c r="B1605" s="3" t="s">
        <v>1575</v>
      </c>
      <c r="C1605" s="3" t="str">
        <f>IFERROR(__xludf.DUMMYFUNCTION("GOOGLETRANSLATE(B1605,""id"",""en"")"),"['Management', 'Indihome', 'veins',' Malunya ',' Complained ',' Many ',' Phone ',' Email ',' Asa ',' Completion ',' Date ',' AGT ',' Submission ',' move ',' address', 'junior high school', 'Sep', 'realization', 'appears',' billing ',' full ',' muali ',' a"&amp;"gt ',' geblek ',' abis' , 'Think', 'company', 'BUMN', 'KEK', 'GINI', '']")</f>
        <v>['Management', 'Indihome', 'veins',' Malunya ',' Complained ',' Many ',' Phone ',' Email ',' Asa ',' Completion ',' Date ',' AGT ',' Submission ',' move ',' address', 'junior high school', 'Sep', 'realization', 'appears',' billing ',' full ',' muali ',' agt ',' geblek ',' abis' , 'Think', 'company', 'BUMN', 'KEK', 'GINI', '']</v>
      </c>
      <c r="D1605" s="3">
        <v>1.0</v>
      </c>
    </row>
    <row r="1606" ht="15.75" customHeight="1">
      <c r="A1606" s="1">
        <v>1763.0</v>
      </c>
      <c r="B1606" s="3" t="s">
        <v>1576</v>
      </c>
      <c r="C1606" s="3" t="str">
        <f>IFERROR(__xludf.DUMMYFUNCTION("GOOGLETRANSLATE(B1606,""id"",""en"")"),"['Trims', '']")</f>
        <v>['Trims', '']</v>
      </c>
      <c r="D1606" s="3">
        <v>5.0</v>
      </c>
    </row>
    <row r="1607" ht="15.75" customHeight="1">
      <c r="A1607" s="1">
        <v>1764.0</v>
      </c>
      <c r="B1607" s="3" t="s">
        <v>1577</v>
      </c>
      <c r="C1607" s="3" t="str">
        <f>IFERROR(__xludf.DUMMYFUNCTION("GOOGLETRANSLATE(B1607,""id"",""en"")"),"['update', 'iconx', 'robot', 'green', 'enter', '']")</f>
        <v>['update', 'iconx', 'robot', 'green', 'enter', '']</v>
      </c>
      <c r="D1607" s="3">
        <v>1.0</v>
      </c>
    </row>
    <row r="1608" ht="15.75" customHeight="1">
      <c r="A1608" s="1">
        <v>1765.0</v>
      </c>
      <c r="B1608" s="3" t="s">
        <v>1578</v>
      </c>
      <c r="C1608" s="3" t="str">
        <f>IFERROR(__xludf.DUMMYFUNCTION("GOOGLETRANSLATE(B1608,""id"",""en"")"),"['application', 'useful', 'complement', 'easy', 'easy', 'bill']")</f>
        <v>['application', 'useful', 'complement', 'easy', 'easy', 'bill']</v>
      </c>
      <c r="D1608" s="3">
        <v>5.0</v>
      </c>
    </row>
    <row r="1609" ht="15.75" customHeight="1">
      <c r="A1609" s="1">
        <v>1766.0</v>
      </c>
      <c r="B1609" s="3" t="s">
        <v>1579</v>
      </c>
      <c r="C1609" s="3" t="str">
        <f>IFERROR(__xludf.DUMMYFUNCTION("GOOGLETRANSLATE(B1609,""id"",""en"")"),"['', 'Slow', 'response', '']")</f>
        <v>['', 'Slow', 'response', '']</v>
      </c>
      <c r="D1609" s="3">
        <v>1.0</v>
      </c>
    </row>
    <row r="1610" ht="15.75" customHeight="1">
      <c r="A1610" s="1">
        <v>1767.0</v>
      </c>
      <c r="B1610" s="3" t="s">
        <v>1580</v>
      </c>
      <c r="C1610" s="3" t="str">
        <f>IFERROR(__xludf.DUMMYFUNCTION("GOOGLETRANSLATE(B1610,""id"",""en"")"),"['Service', 'bad', 'a month', 'subscribe', 'Los',' Red ',' The reason ',' disorder ',' bulk ',' disorder ',' mass', 'neighbor', ' Next to ',' wifinya ',' central ',' revoked ',' wifi ',' person ',' technician ',' pay ',' hrus', 'full', 'Nian']")</f>
        <v>['Service', 'bad', 'a month', 'subscribe', 'Los',' Red ',' The reason ',' disorder ',' bulk ',' disorder ',' mass', 'neighbor', ' Next to ',' wifinya ',' central ',' revoked ',' wifi ',' person ',' technician ',' pay ',' hrus', 'full', 'Nian']</v>
      </c>
      <c r="D1610" s="3">
        <v>1.0</v>
      </c>
    </row>
    <row r="1611" ht="15.75" customHeight="1">
      <c r="A1611" s="1">
        <v>1768.0</v>
      </c>
      <c r="B1611" s="3" t="s">
        <v>1581</v>
      </c>
      <c r="C1611" s="3" t="str">
        <f>IFERROR(__xludf.DUMMYFUNCTION("GOOGLETRANSLATE(B1611,""id"",""en"")"),"['The intention', 'upgraded', 'Mbps',' Mbps', 'ditanceled', 'down', 'Mbps',' disappointing ',' tickets', 'complaint', 'application', 'responded', ' ']")</f>
        <v>['The intention', 'upgraded', 'Mbps',' Mbps', 'ditanceled', 'down', 'Mbps',' disappointing ',' tickets', 'complaint', 'application', 'responded', ' ']</v>
      </c>
      <c r="D1611" s="3">
        <v>1.0</v>
      </c>
    </row>
    <row r="1612" ht="15.75" customHeight="1">
      <c r="A1612" s="1">
        <v>1769.0</v>
      </c>
      <c r="B1612" s="3" t="s">
        <v>1582</v>
      </c>
      <c r="C1612" s="3" t="str">
        <f>IFERROR(__xludf.DUMMYFUNCTION("GOOGLETRANSLATE(B1612,""id"",""en"")"),"['Please', 'enlightenment', 'min', 'difficult', 'really', 'enter', 'customer', 'failed', 'gmn', 'solution']")</f>
        <v>['Please', 'enlightenment', 'min', 'difficult', 'really', 'enter', 'customer', 'failed', 'gmn', 'solution']</v>
      </c>
      <c r="D1612" s="3">
        <v>1.0</v>
      </c>
    </row>
    <row r="1613" ht="15.75" customHeight="1">
      <c r="A1613" s="1">
        <v>1770.0</v>
      </c>
      <c r="B1613" s="3" t="s">
        <v>1583</v>
      </c>
      <c r="C1613" s="3" t="str">
        <f>IFERROR(__xludf.DUMMYFUNCTION("GOOGLETRANSLATE(B1613,""id"",""en"")"),"['Display', 'Fresh', 'Fresh', 'Success']")</f>
        <v>['Display', 'Fresh', 'Fresh', 'Success']</v>
      </c>
      <c r="D1613" s="3">
        <v>5.0</v>
      </c>
    </row>
    <row r="1614" ht="15.75" customHeight="1">
      <c r="A1614" s="1">
        <v>1771.0</v>
      </c>
      <c r="B1614" s="3" t="s">
        <v>1584</v>
      </c>
      <c r="C1614" s="3" t="str">
        <f>IFERROR(__xludf.DUMMYFUNCTION("GOOGLETRANSLATE(B1614,""id"",""en"")"),"['League', 'Champion', 'Indihome', ""]")</f>
        <v>['League', 'Champion', 'Indihome', "]</v>
      </c>
      <c r="D1614" s="3">
        <v>5.0</v>
      </c>
    </row>
    <row r="1615" ht="15.75" customHeight="1">
      <c r="A1615" s="1">
        <v>1772.0</v>
      </c>
      <c r="B1615" s="3" t="s">
        <v>1585</v>
      </c>
      <c r="C1615" s="3" t="str">
        <f>IFERROR(__xludf.DUMMYFUNCTION("GOOGLETRANSLATE(B1615,""id"",""en"")"),"['Bagusan', 'Myindihome', 'Method', 'Payment', 'Link']")</f>
        <v>['Bagusan', 'Myindihome', 'Method', 'Payment', 'Link']</v>
      </c>
      <c r="D1615" s="3">
        <v>3.0</v>
      </c>
    </row>
    <row r="1616" ht="15.75" customHeight="1">
      <c r="A1616" s="1">
        <v>1773.0</v>
      </c>
      <c r="B1616" s="3" t="s">
        <v>1586</v>
      </c>
      <c r="C1616" s="3" t="str">
        <f>IFERROR(__xludf.DUMMYFUNCTION("GOOGLETRANSLATE(B1616,""id"",""en"")"),"['steady', 'the application', 'easy', 'like', '']")</f>
        <v>['steady', 'the application', 'easy', 'like', '']</v>
      </c>
      <c r="D1616" s="3">
        <v>5.0</v>
      </c>
    </row>
    <row r="1617" ht="15.75" customHeight="1">
      <c r="A1617" s="1">
        <v>1774.0</v>
      </c>
      <c r="B1617" s="3" t="s">
        <v>1587</v>
      </c>
      <c r="C1617" s="3" t="str">
        <f>IFERROR(__xludf.DUMMYFUNCTION("GOOGLETRANSLATE(B1617,""id"",""en"")"),"['steady', 'application', 'myindihome', 'newest', 'display', 'cool', 'menu', 'complete', 'responsive', 'payment', 'application', 'myindihome', ' Additional ',' Costs', 'Admin', 'Linkaja', 'Mobile', 'Banking', '']")</f>
        <v>['steady', 'application', 'myindihome', 'newest', 'display', 'cool', 'menu', 'complete', 'responsive', 'payment', 'application', 'myindihome', ' Additional ',' Costs', 'Admin', 'Linkaja', 'Mobile', 'Banking', '']</v>
      </c>
      <c r="D1617" s="3">
        <v>5.0</v>
      </c>
    </row>
    <row r="1618" ht="15.75" customHeight="1">
      <c r="A1618" s="1">
        <v>1775.0</v>
      </c>
      <c r="B1618" s="3" t="s">
        <v>1588</v>
      </c>
      <c r="C1618" s="3" t="str">
        <f>IFERROR(__xludf.DUMMYFUNCTION("GOOGLETRANSLATE(B1618,""id"",""en"")"),"['Current', 'recommended']")</f>
        <v>['Current', 'recommended']</v>
      </c>
      <c r="D1618" s="3">
        <v>5.0</v>
      </c>
    </row>
    <row r="1619" ht="15.75" customHeight="1">
      <c r="A1619" s="1">
        <v>1776.0</v>
      </c>
      <c r="B1619" s="3" t="s">
        <v>1589</v>
      </c>
      <c r="C1619" s="3" t="str">
        <f>IFERROR(__xludf.DUMMYFUNCTION("GOOGLETRANSLATE(B1619,""id"",""en"")"),"['Display', 'myindihome', 'times', 'interesting', 'data', 'used']")</f>
        <v>['Display', 'myindihome', 'times', 'interesting', 'data', 'used']</v>
      </c>
      <c r="D1619" s="3">
        <v>5.0</v>
      </c>
    </row>
    <row r="1620" ht="15.75" customHeight="1">
      <c r="A1620" s="1">
        <v>1777.0</v>
      </c>
      <c r="B1620" s="3" t="s">
        <v>1590</v>
      </c>
      <c r="C1620" s="3" t="str">
        <f>IFERROR(__xludf.DUMMYFUNCTION("GOOGLETRANSLATE(B1620,""id"",""en"")"),"['Masang', 'via', 'Sin', 'internet', 'given', 'include', 'disappointed', 'cable', 'brand', 'klmnopq', ""]")</f>
        <v>['Masang', 'via', 'Sin', 'internet', 'given', 'include', 'disappointed', 'cable', 'brand', 'klmnopq', "]</v>
      </c>
      <c r="D1620" s="3">
        <v>1.0</v>
      </c>
    </row>
    <row r="1621" ht="15.75" customHeight="1">
      <c r="A1621" s="1">
        <v>1778.0</v>
      </c>
      <c r="B1621" s="3" t="s">
        <v>1591</v>
      </c>
      <c r="C1621" s="3" t="str">
        <f>IFERROR(__xludf.DUMMYFUNCTION("GOOGLETRANSLATE(B1621,""id"",""en"")"),"['slow network', '']")</f>
        <v>['slow network', '']</v>
      </c>
      <c r="D1621" s="3">
        <v>1.0</v>
      </c>
    </row>
    <row r="1622" ht="15.75" customHeight="1">
      <c r="A1622" s="1">
        <v>1779.0</v>
      </c>
      <c r="B1622" s="3" t="s">
        <v>1592</v>
      </c>
      <c r="C1622" s="3" t="str">
        <f>IFERROR(__xludf.DUMMYFUNCTION("GOOGLETRANSLATE(B1622,""id"",""en"")"),"['application', 'stable', '']")</f>
        <v>['application', 'stable', '']</v>
      </c>
      <c r="D1622" s="3">
        <v>1.0</v>
      </c>
    </row>
    <row r="1623" ht="15.75" customHeight="1">
      <c r="A1623" s="1">
        <v>1780.0</v>
      </c>
      <c r="B1623" s="3" t="s">
        <v>1593</v>
      </c>
      <c r="C1623" s="3" t="str">
        <f>IFERROR(__xludf.DUMMYFUNCTION("GOOGLETRANSLATE(B1623,""id"",""en"")"),"['Indihom', ""]")</f>
        <v>['Indihom', "]</v>
      </c>
      <c r="D1623" s="3">
        <v>5.0</v>
      </c>
    </row>
    <row r="1624" ht="15.75" customHeight="1">
      <c r="A1624" s="1">
        <v>1781.0</v>
      </c>
      <c r="B1624" s="3" t="s">
        <v>1594</v>
      </c>
      <c r="C1624" s="3" t="str">
        <f>IFERROR(__xludf.DUMMYFUNCTION("GOOGLETRANSLATE(B1624,""id"",""en"")"),"['', 'Customer', 'Disappointed', 'Report', 'Krna', 'Internet', 'Loss',' Stiap ',' Report ',' Action ',' Technician ',' Tomorrow ',' Loss ',' TGL ',' Sept ',' report ',' krna ',' loss', 'smpe', 'skrng', 'technician', 'dtng', 'pdhl', 'pay']")</f>
        <v>['', 'Customer', 'Disappointed', 'Report', 'Krna', 'Internet', 'Loss',' Stiap ',' Report ',' Action ',' Technician ',' Tomorrow ',' Loss ',' TGL ',' Sept ',' report ',' krna ',' loss', 'smpe', 'skrng', 'technician', 'dtng', 'pdhl', 'pay']</v>
      </c>
      <c r="D1624" s="3">
        <v>1.0</v>
      </c>
    </row>
    <row r="1625" ht="15.75" customHeight="1">
      <c r="A1625" s="1">
        <v>1782.0</v>
      </c>
      <c r="B1625" s="3" t="s">
        <v>1595</v>
      </c>
      <c r="C1625" s="3" t="str">
        <f>IFERROR(__xludf.DUMMYFUNCTION("GOOGLETRANSLATE(B1625,""id"",""en"")"),"['Good', 'good', 'good']")</f>
        <v>['Good', 'good', 'good']</v>
      </c>
      <c r="D1625" s="3">
        <v>5.0</v>
      </c>
    </row>
    <row r="1626" ht="15.75" customHeight="1">
      <c r="A1626" s="1">
        <v>1783.0</v>
      </c>
      <c r="B1626" s="3" t="s">
        <v>1596</v>
      </c>
      <c r="C1626" s="3" t="str">
        <f>IFERROR(__xludf.DUMMYFUNCTION("GOOGLETRANSLATE(B1626,""id"",""en"")"),"['application', 'good', 'help', 'really', 'basically', 'sip']")</f>
        <v>['application', 'good', 'help', 'really', 'basically', 'sip']</v>
      </c>
      <c r="D1626" s="3">
        <v>5.0</v>
      </c>
    </row>
    <row r="1627" ht="15.75" customHeight="1">
      <c r="A1627" s="1">
        <v>1784.0</v>
      </c>
      <c r="B1627" s="3" t="s">
        <v>1597</v>
      </c>
      <c r="C1627" s="3" t="str">
        <f>IFERROR(__xludf.DUMMYFUNCTION("GOOGLETRANSLATE(B1627,""id"",""en"")"),"['', 'Indihome', 'it's easy', 'consumers',' report ',' network ',' at home ',' direct ',' respond ',' minutes', 'repair', 'direct', 'resolved ',' Tomorrow ',' HariDalam ',' Clock ',' Thank "", 'Love', 'Indihome']")</f>
        <v>['', 'Indihome', 'it's easy', 'consumers',' report ',' network ',' at home ',' direct ',' respond ',' minutes', 'repair', 'direct', 'resolved ',' Tomorrow ',' HariDalam ',' Clock ',' Thank ", 'Love', 'Indihome']</v>
      </c>
      <c r="D1627" s="3">
        <v>3.0</v>
      </c>
    </row>
    <row r="1628" ht="15.75" customHeight="1">
      <c r="A1628" s="1">
        <v>1785.0</v>
      </c>
      <c r="B1628" s="3" t="s">
        <v>1598</v>
      </c>
      <c r="C1628" s="3" t="str">
        <f>IFERROR(__xludf.DUMMYFUNCTION("GOOGLETRANSLATE(B1628,""id"",""en"")"),"['update', 'features', 'gampng', 'understood', 'version', 'version', 'slow', 'really', 'already', 'okay', 'okay', 'okay']")</f>
        <v>['update', 'features', 'gampng', 'understood', 'version', 'version', 'slow', 'really', 'already', 'okay', 'okay', 'okay']</v>
      </c>
      <c r="D1628" s="3">
        <v>5.0</v>
      </c>
    </row>
    <row r="1629" ht="15.75" customHeight="1">
      <c r="A1629" s="1">
        <v>1786.0</v>
      </c>
      <c r="B1629" s="3" t="s">
        <v>1599</v>
      </c>
      <c r="C1629" s="3" t="str">
        <f>IFERROR(__xludf.DUMMYFUNCTION("GOOGLETRANSLATE(B1629,""id"",""en"")"),"['Customer', 'annoyed', 'service', 'improvement', 'damage', 'service', 'indihome', 'technician', 'choice', 'indihome', 'chaotic']")</f>
        <v>['Customer', 'annoyed', 'service', 'improvement', 'damage', 'service', 'indihome', 'technician', 'choice', 'indihome', 'chaotic']</v>
      </c>
      <c r="D1629" s="3">
        <v>1.0</v>
      </c>
    </row>
    <row r="1630" ht="15.75" customHeight="1">
      <c r="A1630" s="1">
        <v>1787.0</v>
      </c>
      <c r="B1630" s="3" t="s">
        <v>1600</v>
      </c>
      <c r="C1630" s="3" t="str">
        <f>IFERROR(__xludf.DUMMYFUNCTION("GOOGLETRANSLATE(B1630,""id"",""en"")"),"['Severe', 'Home', 'Home', 'Mending', 'Application', 'Display', 'Points',' ilang ',' Use ',' FUP ',' No ',' etc. ',' Disappointing ',' Mending ',' ']")</f>
        <v>['Severe', 'Home', 'Home', 'Mending', 'Application', 'Display', 'Points',' ilang ',' Use ',' FUP ',' No ',' etc. ',' Disappointing ',' Mending ',' ']</v>
      </c>
      <c r="D1630" s="3">
        <v>1.0</v>
      </c>
    </row>
    <row r="1631" ht="15.75" customHeight="1">
      <c r="A1631" s="1">
        <v>1788.0</v>
      </c>
      <c r="B1631" s="3" t="s">
        <v>1601</v>
      </c>
      <c r="C1631" s="3" t="str">
        <f>IFERROR(__xludf.DUMMYFUNCTION("GOOGLETRANSLATE(B1631,""id"",""en"")"),"['Okay', 'Sis', ""]")</f>
        <v>['Okay', 'Sis', "]</v>
      </c>
      <c r="D1631" s="3">
        <v>5.0</v>
      </c>
    </row>
    <row r="1632" ht="15.75" customHeight="1">
      <c r="A1632" s="1">
        <v>1789.0</v>
      </c>
      <c r="B1632" s="3" t="s">
        <v>1602</v>
      </c>
      <c r="C1632" s="3" t="str">
        <f>IFERROR(__xludf.DUMMYFUNCTION("GOOGLETRANSLATE(B1632,""id"",""en"")"),"['Congratulations', 'stay', 'Indihome', 'subscribe', 'tasty', 'explanation', 'satisfying', '']")</f>
        <v>['Congratulations', 'stay', 'Indihome', 'subscribe', 'tasty', 'explanation', 'satisfying', '']</v>
      </c>
      <c r="D1632" s="3">
        <v>1.0</v>
      </c>
    </row>
    <row r="1633" ht="15.75" customHeight="1">
      <c r="A1633" s="1">
        <v>1790.0</v>
      </c>
      <c r="B1633" s="3" t="s">
        <v>1603</v>
      </c>
      <c r="C1633" s="3" t="str">
        <f>IFERROR(__xludf.DUMMYFUNCTION("GOOGLETRANSLATE(B1633,""id"",""en"")"),"['Installation', 'already', 'news', 'complicated', 'rich', 'pinjol', 'fota', 'photo', 'mulu']")</f>
        <v>['Installation', 'already', 'news', 'complicated', 'rich', 'pinjol', 'fota', 'photo', 'mulu']</v>
      </c>
      <c r="D1633" s="3">
        <v>1.0</v>
      </c>
    </row>
    <row r="1634" ht="15.75" customHeight="1">
      <c r="A1634" s="1">
        <v>1791.0</v>
      </c>
      <c r="B1634" s="3" t="s">
        <v>1604</v>
      </c>
      <c r="C1634" s="3" t="str">
        <f>IFERROR(__xludf.DUMMYFUNCTION("GOOGLETRANSLATE(B1634,""id"",""en"")"),"['Dona', 'Indihome', 'Disappointed', 'Speed', 'Internet', 'Lemot', 'Install', 'Indihome', 'Speed', 'Mbps',' Upload ',' Video ',' youtube ',' fast ',' really ',' watch ',' tiktok ',' fast ',' really ',' download ',' film ',' fast ',' really ',' watch ',' v"&amp;"ideo ' , 'Facebook', 'fast', 'really', 'slow', 'management', 'indihome', 'suggest', 'Mbps',' here ',' slow ',' regret ',' pairs', ' Indihome ',' Maintenance ',' Songong ', ""]")</f>
        <v>['Dona', 'Indihome', 'Disappointed', 'Speed', 'Internet', 'Lemot', 'Install', 'Indihome', 'Speed', 'Mbps',' Upload ',' Video ',' youtube ',' fast ',' really ',' watch ',' tiktok ',' fast ',' really ',' download ',' film ',' fast ',' really ',' watch ',' video ' , 'Facebook', 'fast', 'really', 'slow', 'management', 'indihome', 'suggest', 'Mbps',' here ',' slow ',' regret ',' pairs', ' Indihome ',' Maintenance ',' Songong ', "]</v>
      </c>
      <c r="D1634" s="3">
        <v>1.0</v>
      </c>
    </row>
    <row r="1635" ht="15.75" customHeight="1">
      <c r="A1635" s="1">
        <v>1792.0</v>
      </c>
      <c r="B1635" s="3" t="s">
        <v>1142</v>
      </c>
      <c r="C1635" s="3" t="str">
        <f>IFERROR(__xludf.DUMMYFUNCTION("GOOGLETRANSLATE(B1635,""id"",""en"")"),"['steady', '']")</f>
        <v>['steady', '']</v>
      </c>
      <c r="D1635" s="3">
        <v>5.0</v>
      </c>
    </row>
    <row r="1636" ht="15.75" customHeight="1">
      <c r="A1636" s="1">
        <v>1793.0</v>
      </c>
      <c r="B1636" s="3" t="s">
        <v>1605</v>
      </c>
      <c r="C1636" s="3" t="str">
        <f>IFERROR(__xludf.DUMMYFUNCTION("GOOGLETRANSLATE(B1636,""id"",""en"")"),"['Good', 'Helping', 'Update', 'Indihome', 'Maintain', 'Increase', 'Satisfaction', 'Service', 'Consumer']")</f>
        <v>['Good', 'Helping', 'Update', 'Indihome', 'Maintain', 'Increase', 'Satisfaction', 'Service', 'Consumer']</v>
      </c>
      <c r="D1636" s="3">
        <v>5.0</v>
      </c>
    </row>
    <row r="1637" ht="15.75" customHeight="1">
      <c r="A1637" s="1">
        <v>1794.0</v>
      </c>
      <c r="B1637" s="3" t="s">
        <v>1606</v>
      </c>
      <c r="C1637" s="3" t="str">
        <f>IFERROR(__xludf.DUMMYFUNCTION("GOOGLETRANSLATE(B1637,""id"",""en"")"),"['Display', 'new', 'interesting', 'features',' already ',' complete ',' easy ',' check ',' bill ',' check ',' use ',' internet ',' Check ',' use ',' bonus', 'telephone', 'add', 'hope', 'in the future', 'indihome', 'lgi', 'service', 'best', 'customer', 'lo"&amp;"yal' , '']")</f>
        <v>['Display', 'new', 'interesting', 'features',' already ',' complete ',' easy ',' check ',' bill ',' check ',' use ',' internet ',' Check ',' use ',' bonus', 'telephone', 'add', 'hope', 'in the future', 'indihome', 'lgi', 'service', 'best', 'customer', 'loyal' , '']</v>
      </c>
      <c r="D1637" s="3">
        <v>5.0</v>
      </c>
    </row>
    <row r="1638" ht="15.75" customHeight="1">
      <c r="A1638" s="1">
        <v>1795.0</v>
      </c>
      <c r="B1638" s="3" t="s">
        <v>1607</v>
      </c>
      <c r="C1638" s="3" t="str">
        <f>IFERROR(__xludf.DUMMYFUNCTION("GOOGLETRANSLATE(B1638,""id"",""en"")"),"['JLEK']")</f>
        <v>['JLEK']</v>
      </c>
      <c r="D1638" s="3">
        <v>1.0</v>
      </c>
    </row>
    <row r="1639" ht="15.75" customHeight="1">
      <c r="A1639" s="1">
        <v>1796.0</v>
      </c>
      <c r="B1639" s="3" t="s">
        <v>1608</v>
      </c>
      <c r="C1639" s="3" t="str">
        <f>IFERROR(__xludf.DUMMYFUNCTION("GOOGLETRANSLATE(B1639,""id"",""en"")"),"['happy', 'USED', 'Indihome', 'access',' work ',' easy ',' do ',' kampung ',' me ',' signal ',' difficult ',' thank you ',' Indihome ']")</f>
        <v>['happy', 'USED', 'Indihome', 'access',' work ',' easy ',' do ',' kampung ',' me ',' signal ',' difficult ',' thank you ',' Indihome ']</v>
      </c>
      <c r="D1639" s="3">
        <v>4.0</v>
      </c>
    </row>
    <row r="1640" ht="15.75" customHeight="1">
      <c r="A1640" s="1">
        <v>1797.0</v>
      </c>
      <c r="B1640" s="3" t="s">
        <v>1609</v>
      </c>
      <c r="C1640" s="3" t="str">
        <f>IFERROR(__xludf.DUMMYFUNCTION("GOOGLETRANSLATE(B1640,""id"",""en"")"),"['', 'Enhanced']")</f>
        <v>['', 'Enhanced']</v>
      </c>
      <c r="D1640" s="3">
        <v>5.0</v>
      </c>
    </row>
    <row r="1641" ht="15.75" customHeight="1">
      <c r="A1641" s="1">
        <v>1798.0</v>
      </c>
      <c r="B1641" s="3" t="s">
        <v>1610</v>
      </c>
      <c r="C1641" s="3" t="str">
        <f>IFERROR(__xludf.DUMMYFUNCTION("GOOGLETRANSLATE(B1641,""id"",""en"")"),"['Network', 'Sometimes', 'Nge', 'lag']")</f>
        <v>['Network', 'Sometimes', 'Nge', 'lag']</v>
      </c>
      <c r="D1641" s="3">
        <v>5.0</v>
      </c>
    </row>
    <row r="1642" ht="15.75" customHeight="1">
      <c r="A1642" s="1">
        <v>1799.0</v>
      </c>
      <c r="B1642" s="3" t="s">
        <v>1611</v>
      </c>
      <c r="C1642" s="3" t="str">
        <f>IFERROR(__xludf.DUMMYFUNCTION("GOOGLETRANSLATE(B1642,""id"",""en"")"),"['Application', 'Good', 'Suggestion', 'Disorders',' Please ',' Accelerated ',' Improvement ',' Waiting ',' Waiting ',' Queue ',' Repair ',' Karna ',' Internet ',' wrong ',' needs', 'primary', 'usage', 'a day', 'tks', ""]")</f>
        <v>['Application', 'Good', 'Suggestion', 'Disorders',' Please ',' Accelerated ',' Improvement ',' Waiting ',' Waiting ',' Queue ',' Repair ',' Karna ',' Internet ',' wrong ',' needs', 'primary', 'usage', 'a day', 'tks', "]</v>
      </c>
      <c r="D1642" s="3">
        <v>5.0</v>
      </c>
    </row>
    <row r="1643" ht="15.75" customHeight="1">
      <c r="A1643" s="1">
        <v>1800.0</v>
      </c>
      <c r="B1643" s="3" t="s">
        <v>1612</v>
      </c>
      <c r="C1643" s="3" t="str">
        <f>IFERROR(__xludf.DUMMYFUNCTION("GOOGLETRANSLATE(B1643,""id"",""en"")"),"['application', 'Sontoloyo', 'list', 'already', 'login']")</f>
        <v>['application', 'Sontoloyo', 'list', 'already', 'login']</v>
      </c>
      <c r="D1643" s="3">
        <v>1.0</v>
      </c>
    </row>
    <row r="1644" ht="15.75" customHeight="1">
      <c r="A1644" s="1">
        <v>1802.0</v>
      </c>
      <c r="B1644" s="3" t="s">
        <v>1613</v>
      </c>
      <c r="C1644" s="3" t="str">
        <f>IFERROR(__xludf.DUMMYFUNCTION("GOOGLETRANSLATE(B1644,""id"",""en"")"),"['poor', '']")</f>
        <v>['poor', '']</v>
      </c>
      <c r="D1644" s="3">
        <v>1.0</v>
      </c>
    </row>
    <row r="1645" ht="15.75" customHeight="1">
      <c r="A1645" s="1">
        <v>1803.0</v>
      </c>
      <c r="B1645" s="3" t="s">
        <v>1614</v>
      </c>
      <c r="C1645" s="3" t="str">
        <f>IFERROR(__xludf.DUMMYFUNCTION("GOOGLETRANSLATE(B1645,""id"",""en"")"),"['The application', 'Good', 'Helping', 'Customer', 'Telkom', 'Information', 'Use', 'Constraints', '']")</f>
        <v>['The application', 'Good', 'Helping', 'Customer', 'Telkom', 'Information', 'Use', 'Constraints', '']</v>
      </c>
      <c r="D1645" s="3">
        <v>5.0</v>
      </c>
    </row>
    <row r="1646" ht="15.75" customHeight="1">
      <c r="A1646" s="1">
        <v>1804.0</v>
      </c>
      <c r="B1646" s="3" t="s">
        <v>1615</v>
      </c>
      <c r="C1646" s="3" t="str">
        <f>IFERROR(__xludf.DUMMYFUNCTION("GOOGLETRANSLATE(B1646,""id"",""en"")"),"['Download', 'Application', 'Easy', 'Features', 'Features', 'Partners', '']")</f>
        <v>['Download', 'Application', 'Easy', 'Features', 'Features', 'Partners', '']</v>
      </c>
      <c r="D1646" s="3">
        <v>5.0</v>
      </c>
    </row>
    <row r="1647" ht="15.75" customHeight="1">
      <c r="A1647" s="1">
        <v>1805.0</v>
      </c>
      <c r="B1647" s="3" t="s">
        <v>1616</v>
      </c>
      <c r="C1647" s="3" t="str">
        <f>IFERROR(__xludf.DUMMYFUNCTION("GOOGLETRANSLATE(B1647,""id"",""en"")"),"['clarity', 'submission', 'diacc', 'no', 'belom', 'installation']")</f>
        <v>['clarity', 'submission', 'diacc', 'no', 'belom', 'installation']</v>
      </c>
      <c r="D1647" s="3">
        <v>1.0</v>
      </c>
    </row>
    <row r="1648" ht="15.75" customHeight="1">
      <c r="A1648" s="1">
        <v>1806.0</v>
      </c>
      <c r="B1648" s="3" t="s">
        <v>1617</v>
      </c>
      <c r="C1648" s="3" t="str">
        <f>IFERROR(__xludf.DUMMYFUNCTION("GOOGLETRANSLATE(B1648,""id"",""en"")"),"['', 'application', 'info', 'product', 'complete', 'price', 'package', 'varies', 'recommended', 'application', 'information', 'indihome']")</f>
        <v>['', 'application', 'info', 'product', 'complete', 'price', 'package', 'varies', 'recommended', 'application', 'information', 'indihome']</v>
      </c>
      <c r="D1648" s="3">
        <v>5.0</v>
      </c>
    </row>
    <row r="1649" ht="15.75" customHeight="1">
      <c r="A1649" s="1">
        <v>1807.0</v>
      </c>
      <c r="B1649" s="3" t="s">
        <v>1618</v>
      </c>
      <c r="C1649" s="3" t="str">
        <f>IFERROR(__xludf.DUMMYFUNCTION("GOOGLETRANSLATE(B1649,""id"",""en"")"),"['Goods', 'really']")</f>
        <v>['Goods', 'really']</v>
      </c>
      <c r="D1649" s="3">
        <v>5.0</v>
      </c>
    </row>
    <row r="1650" ht="15.75" customHeight="1">
      <c r="A1650" s="1">
        <v>1808.0</v>
      </c>
      <c r="B1650" s="3" t="s">
        <v>1619</v>
      </c>
      <c r="C1650" s="3" t="str">
        <f>IFERROR(__xludf.DUMMYFUNCTION("GOOGLETRANSLATE(B1650,""id"",""en"")"),"['Delay', 'Sampe', 'Lined', 'Power', 'Cable', 'Need', 'School', 'Internet']")</f>
        <v>['Delay', 'Sampe', 'Lined', 'Power', 'Cable', 'Need', 'School', 'Internet']</v>
      </c>
      <c r="D1650" s="3">
        <v>2.0</v>
      </c>
    </row>
    <row r="1651" ht="15.75" customHeight="1">
      <c r="A1651" s="1">
        <v>1809.0</v>
      </c>
      <c r="B1651" s="3" t="s">
        <v>1620</v>
      </c>
      <c r="C1651" s="3" t="str">
        <f>IFERROR(__xludf.DUMMYFUNCTION("GOOGLETRANSLATE(B1651,""id"",""en"")"),"['Ngeteleg', 'Trossss']")</f>
        <v>['Ngeteleg', 'Trossss']</v>
      </c>
      <c r="D1651" s="3">
        <v>1.0</v>
      </c>
    </row>
    <row r="1652" ht="15.75" customHeight="1">
      <c r="A1652" s="1">
        <v>1810.0</v>
      </c>
      <c r="B1652" s="3" t="s">
        <v>1621</v>
      </c>
      <c r="C1652" s="3" t="str">
        <f>IFERROR(__xludf.DUMMYFUNCTION("GOOGLETRANSLATE(B1652,""id"",""en"")"),"['Good', 'accurate', 'use', 'FUP', 'Indihomen', '']")</f>
        <v>['Good', 'accurate', 'use', 'FUP', 'Indihomen', '']</v>
      </c>
      <c r="D1652" s="3">
        <v>5.0</v>
      </c>
    </row>
    <row r="1653" ht="15.75" customHeight="1">
      <c r="A1653" s="1">
        <v>1811.0</v>
      </c>
      <c r="B1653" s="3" t="s">
        <v>1622</v>
      </c>
      <c r="C1653" s="3" t="str">
        <f>IFERROR(__xludf.DUMMYFUNCTION("GOOGLETRANSLATE(B1653,""id"",""en"")"),"['UPTET', 'APK', 'Log', 'Out', 'Akunya', 'Have', 'Input', 'Email', 'Enter', 'Email', 'Login', 'Wait', ' Hours', 'Wait', 'Dri', 'Hour', 'Have', 'Wait', 'Clock', 'How', '']")</f>
        <v>['UPTET', 'APK', 'Log', 'Out', 'Akunya', 'Have', 'Input', 'Email', 'Enter', 'Email', 'Login', 'Wait', ' Hours', 'Wait', 'Dri', 'Hour', 'Have', 'Wait', 'Clock', 'How', '']</v>
      </c>
      <c r="D1653" s="3">
        <v>2.0</v>
      </c>
    </row>
    <row r="1654" ht="15.75" customHeight="1">
      <c r="A1654" s="1">
        <v>1812.0</v>
      </c>
      <c r="B1654" s="3" t="s">
        <v>1623</v>
      </c>
      <c r="C1654" s="3" t="str">
        <f>IFERROR(__xludf.DUMMYFUNCTION("GOOGLETRANSLATE(B1654,""id"",""en"")"),"['Service', 'disappointing', 'internet', 'likes', 'Lola', 'disorder', 'home', 'just', 'laptop', 'worst', 'morning', 'internet']")</f>
        <v>['Service', 'disappointing', 'internet', 'likes', 'Lola', 'disorder', 'home', 'just', 'laptop', 'worst', 'morning', 'internet']</v>
      </c>
      <c r="D1654" s="3">
        <v>3.0</v>
      </c>
    </row>
    <row r="1655" ht="15.75" customHeight="1">
      <c r="A1655" s="1">
        <v>1813.0</v>
      </c>
      <c r="B1655" s="3" t="s">
        <v>1624</v>
      </c>
      <c r="C1655" s="3" t="str">
        <f>IFERROR(__xludf.DUMMYFUNCTION("GOOGLETRANSLATE(B1655,""id"",""en"")"),"['already', 'slow', 'list', 'application', 'Season', 'replace', 'provider', 'night', 'wifi', 'slow', 'pay', 'expensive', ' expensive ',' slow ',' kek ',' snail ',' connection ',' ']")</f>
        <v>['already', 'slow', 'list', 'application', 'Season', 'replace', 'provider', 'night', 'wifi', 'slow', 'pay', 'expensive', ' expensive ',' slow ',' kek ',' snail ',' connection ',' ']</v>
      </c>
      <c r="D1655" s="3">
        <v>1.0</v>
      </c>
    </row>
    <row r="1656" ht="15.75" customHeight="1">
      <c r="A1656" s="1">
        <v>1814.0</v>
      </c>
      <c r="B1656" s="3" t="s">
        <v>1625</v>
      </c>
      <c r="C1656" s="3" t="str">
        <f>IFERROR(__xludf.DUMMYFUNCTION("GOOGLETRANSLATE(B1656,""id"",""en"")"),"['network', 'error', 'signal', 'Kenceng', 'Notif', 'Network', 'have', 'access',' internet ',' pay ',' gapernah ',' late ',' Please '""Fix']")</f>
        <v>['network', 'error', 'signal', 'Kenceng', 'Notif', 'Network', 'have', 'access',' internet ',' pay ',' gapernah ',' late ',' Please '"Fix']</v>
      </c>
      <c r="D1656" s="3">
        <v>2.0</v>
      </c>
    </row>
    <row r="1657" ht="15.75" customHeight="1">
      <c r="A1657" s="1">
        <v>1815.0</v>
      </c>
      <c r="B1657" s="3" t="s">
        <v>1626</v>
      </c>
      <c r="C1657" s="3" t="str">
        <f>IFERROR(__xludf.DUMMYFUNCTION("GOOGLETRANSLATE(B1657,""id"",""en"")"),"['Diligently', 'Pay', 'given', 'Disorders', 'Mending', 'Rubuhin', 'GIH', 'Tower', 'Cape', 'Ngaduin', 'complaint', 'Mulu']")</f>
        <v>['Diligently', 'Pay', 'given', 'Disorders', 'Mending', 'Rubuhin', 'GIH', 'Tower', 'Cape', 'Ngaduin', 'complaint', 'Mulu']</v>
      </c>
      <c r="D1657" s="3">
        <v>1.0</v>
      </c>
    </row>
    <row r="1658" ht="15.75" customHeight="1">
      <c r="A1658" s="1">
        <v>1816.0</v>
      </c>
      <c r="B1658" s="3" t="s">
        <v>1627</v>
      </c>
      <c r="C1658" s="3" t="str">
        <f>IFERROR(__xludf.DUMMYFUNCTION("GOOGLETRANSLATE(B1658,""id"",""en"")"),"['already', 'tired', 'complain', 'speed', 'internet', 'chaotic', 'date', 'Mbps',' down ',' sometimes', 'network', 'lost', ' Ogah ',' complain ',' moved ',' Nyari ',' stable ',' Disaster ',' reality ',' Ampek ',' Males', 'complain', ""]")</f>
        <v>['already', 'tired', 'complain', 'speed', 'internet', 'chaotic', 'date', 'Mbps',' down ',' sometimes', 'network', 'lost', ' Ogah ',' complain ',' moved ',' Nyari ',' stable ',' Disaster ',' reality ',' Ampek ',' Males', 'complain', "]</v>
      </c>
      <c r="D1658" s="3">
        <v>1.0</v>
      </c>
    </row>
    <row r="1659" ht="15.75" customHeight="1">
      <c r="A1659" s="1">
        <v>1817.0</v>
      </c>
      <c r="B1659" s="3" t="s">
        <v>1628</v>
      </c>
      <c r="C1659" s="3" t="str">
        <f>IFERROR(__xludf.DUMMYFUNCTION("GOOGLETRANSLATE(B1659,""id"",""en"")"),"['Disruption', 'no', 'direct', 'handling', 'NLP', 'person', 'field', 'retreated', 'Try', 'repaired', '']")</f>
        <v>['Disruption', 'no', 'direct', 'handling', 'NLP', 'person', 'field', 'retreated', 'Try', 'repaired', '']</v>
      </c>
      <c r="D1659" s="3">
        <v>1.0</v>
      </c>
    </row>
    <row r="1660" ht="15.75" customHeight="1">
      <c r="A1660" s="1">
        <v>1818.0</v>
      </c>
      <c r="B1660" s="3" t="s">
        <v>1629</v>
      </c>
      <c r="C1660" s="3" t="str">
        <f>IFERROR(__xludf.DUMMYFUNCTION("GOOGLETRANSLATE(B1660,""id"",""en"")"),"['Already', 'Logindan', 'Normal', 'Login', 'Posts', 'Registered']")</f>
        <v>['Already', 'Logindan', 'Normal', 'Login', 'Posts', 'Registered']</v>
      </c>
      <c r="D1660" s="3">
        <v>2.0</v>
      </c>
    </row>
    <row r="1661" ht="15.75" customHeight="1">
      <c r="A1661" s="1">
        <v>1819.0</v>
      </c>
      <c r="B1661" s="3" t="s">
        <v>1630</v>
      </c>
      <c r="C1661" s="3" t="str">
        <f>IFERROR(__xludf.DUMMYFUNCTION("GOOGLETRANSLATE(B1661,""id"",""en"")"),"['Seep', 'Joss', 'Josss']")</f>
        <v>['Seep', 'Joss', 'Josss']</v>
      </c>
      <c r="D1661" s="3">
        <v>5.0</v>
      </c>
    </row>
    <row r="1662" ht="15.75" customHeight="1">
      <c r="A1662" s="1">
        <v>1820.0</v>
      </c>
      <c r="B1662" s="3" t="s">
        <v>1631</v>
      </c>
      <c r="C1662" s="3" t="str">
        <f>IFERROR(__xludf.DUMMYFUNCTION("GOOGLETRANSLATE(B1662,""id"",""en"")"),"['Indhome', 'Cool', 'Sometimes', 'Ngelag', 'Rain']")</f>
        <v>['Indhome', 'Cool', 'Sometimes', 'Ngelag', 'Rain']</v>
      </c>
      <c r="D1662" s="3">
        <v>5.0</v>
      </c>
    </row>
    <row r="1663" ht="15.75" customHeight="1">
      <c r="A1663" s="1">
        <v>1821.0</v>
      </c>
      <c r="B1663" s="3" t="s">
        <v>1632</v>
      </c>
      <c r="C1663" s="3" t="str">
        <f>IFERROR(__xludf.DUMMYFUNCTION("GOOGLETRANSLATE(B1663,""id"",""en"")"),"['KOQ', 'Login', 'Indihome', 'Yach', '']")</f>
        <v>['KOQ', 'Login', 'Indihome', 'Yach', '']</v>
      </c>
      <c r="D1663" s="3">
        <v>1.0</v>
      </c>
    </row>
    <row r="1664" ht="15.75" customHeight="1">
      <c r="A1664" s="1">
        <v>1822.0</v>
      </c>
      <c r="B1664" s="3" t="s">
        <v>1633</v>
      </c>
      <c r="C1664" s="3" t="str">
        <f>IFERROR(__xludf.DUMMYFUNCTION("GOOGLETRANSLATE(B1664,""id"",""en"")"),"['Hello', 'Indihome', 'Beloved', 'Ticket', 'Process',' Disadvantages', 'Tehnition', 'Covid', 'Covid', 'Karna', 'Tehnisnya', 'Hold', ' Nyaksu ',' company ',' plate ',' red ',' service ',' bad ',' wonder ',' costumer ',' run ',' provider ',' laen ']")</f>
        <v>['Hello', 'Indihome', 'Beloved', 'Ticket', 'Process',' Disadvantages', 'Tehnition', 'Covid', 'Covid', 'Karna', 'Tehnisnya', 'Hold', ' Nyaksu ',' company ',' plate ',' red ',' service ',' bad ',' wonder ',' costumer ',' run ',' provider ',' laen ']</v>
      </c>
      <c r="D1664" s="3">
        <v>1.0</v>
      </c>
    </row>
    <row r="1665" ht="15.75" customHeight="1">
      <c r="A1665" s="1">
        <v>1823.0</v>
      </c>
      <c r="B1665" s="3" t="s">
        <v>1634</v>
      </c>
      <c r="C1665" s="3" t="str">
        <f>IFERROR(__xludf.DUMMYFUNCTION("GOOGLETRANSLATE(B1665,""id"",""en"")"),"['Please', 'fix', 'update', 'enter', 'enter', 'tetep']")</f>
        <v>['Please', 'fix', 'update', 'enter', 'enter', 'tetep']</v>
      </c>
      <c r="D1665" s="3">
        <v>1.0</v>
      </c>
    </row>
    <row r="1666" ht="15.75" customHeight="1">
      <c r="A1666" s="1">
        <v>1824.0</v>
      </c>
      <c r="B1666" s="3" t="s">
        <v>1635</v>
      </c>
      <c r="C1666" s="3" t="str">
        <f>IFERROR(__xludf.DUMMYFUNCTION("GOOGLETRANSLATE(B1666,""id"",""en"")"),"['Display', 'the latest', 'interesting', 'cool', '']")</f>
        <v>['Display', 'the latest', 'interesting', 'cool', '']</v>
      </c>
      <c r="D1666" s="3">
        <v>5.0</v>
      </c>
    </row>
    <row r="1667" ht="15.75" customHeight="1">
      <c r="A1667" s="1">
        <v>1825.0</v>
      </c>
      <c r="B1667" s="3" t="s">
        <v>1636</v>
      </c>
      <c r="C1667" s="3" t="str">
        <f>IFERROR(__xludf.DUMMYFUNCTION("GOOGLETRANSLATE(B1667,""id"",""en"")"),"['Kereeennnn']")</f>
        <v>['Kereeennnn']</v>
      </c>
      <c r="D1667" s="3">
        <v>5.0</v>
      </c>
    </row>
    <row r="1668" ht="15.75" customHeight="1">
      <c r="A1668" s="1">
        <v>1826.0</v>
      </c>
      <c r="B1668" s="3" t="s">
        <v>1637</v>
      </c>
      <c r="C1668" s="3" t="str">
        <f>IFERROR(__xludf.DUMMYFUNCTION("GOOGLETRANSLATE(B1668,""id"",""en"")"),"['poor', 'exceed', 'loanful', 'forget', 'direct', 'fine', 'service', 'turned off', 'turn', 'reason', 'disorder', 'sorry', ' Pandemic ',' PPKM ',' Internet ',' Need ',' Basic ',' BUMN ']")</f>
        <v>['poor', 'exceed', 'loanful', 'forget', 'direct', 'fine', 'service', 'turned off', 'turn', 'reason', 'disorder', 'sorry', ' Pandemic ',' PPKM ',' Internet ',' Need ',' Basic ',' BUMN ']</v>
      </c>
      <c r="D1668" s="3">
        <v>1.0</v>
      </c>
    </row>
    <row r="1669" ht="15.75" customHeight="1">
      <c r="A1669" s="1">
        <v>1827.0</v>
      </c>
      <c r="B1669" s="3" t="s">
        <v>1638</v>
      </c>
      <c r="C1669" s="3" t="str">
        <f>IFERROR(__xludf.DUMMYFUNCTION("GOOGLETRANSLATE(B1669,""id"",""en"")"),"['already', 'kaka', 'internet', 'slow', 'yesterday', 'sya', 'late', 'payment', 'paid', 'change', ""]")</f>
        <v>['already', 'kaka', 'internet', 'slow', 'yesterday', 'sya', 'late', 'payment', 'paid', 'change', "]</v>
      </c>
      <c r="D1669" s="3">
        <v>1.0</v>
      </c>
    </row>
    <row r="1670" ht="15.75" customHeight="1">
      <c r="A1670" s="1">
        <v>1828.0</v>
      </c>
      <c r="B1670" s="3" t="s">
        <v>1639</v>
      </c>
      <c r="C1670" s="3" t="str">
        <f>IFERROR(__xludf.DUMMYFUNCTION("GOOGLETRANSLATE(B1670,""id"",""en"")"),"['activation', 'service', 'bad', 'service']")</f>
        <v>['activation', 'service', 'bad', 'service']</v>
      </c>
      <c r="D1670" s="3">
        <v>1.0</v>
      </c>
    </row>
    <row r="1671" ht="15.75" customHeight="1">
      <c r="A1671" s="1">
        <v>1829.0</v>
      </c>
      <c r="B1671" s="3" t="s">
        <v>1116</v>
      </c>
      <c r="C1671" s="3" t="str">
        <f>IFERROR(__xludf.DUMMYFUNCTION("GOOGLETRANSLATE(B1671,""id"",""en"")"),"['Josss']")</f>
        <v>['Josss']</v>
      </c>
      <c r="D1671" s="3">
        <v>5.0</v>
      </c>
    </row>
    <row r="1672" ht="15.75" customHeight="1">
      <c r="A1672" s="1">
        <v>1830.0</v>
      </c>
      <c r="B1672" s="3" t="s">
        <v>1640</v>
      </c>
      <c r="C1672" s="3" t="str">
        <f>IFERROR(__xludf.DUMMYFUNCTION("GOOGLETRANSLATE(B1672,""id"",""en"")"),"['finished', 'installation', 'payment', 'indihome', 'application', 'change', 'process', 'subscribe', 'disappointed']")</f>
        <v>['finished', 'installation', 'payment', 'indihome', 'application', 'change', 'process', 'subscribe', 'disappointed']</v>
      </c>
      <c r="D1672" s="3">
        <v>1.0</v>
      </c>
    </row>
    <row r="1673" ht="15.75" customHeight="1">
      <c r="A1673" s="1">
        <v>1831.0</v>
      </c>
      <c r="B1673" s="3" t="s">
        <v>1641</v>
      </c>
      <c r="C1673" s="3" t="str">
        <f>IFERROR(__xludf.DUMMYFUNCTION("GOOGLETRANSLATE(B1673,""id"",""en"")"),"['Thanks', 'Myindihome', 'help']")</f>
        <v>['Thanks', 'Myindihome', 'help']</v>
      </c>
      <c r="D1673" s="3">
        <v>4.0</v>
      </c>
    </row>
    <row r="1674" ht="15.75" customHeight="1">
      <c r="A1674" s="1">
        <v>1832.0</v>
      </c>
      <c r="B1674" s="3" t="s">
        <v>1642</v>
      </c>
      <c r="C1674" s="3" t="str">
        <f>IFERROR(__xludf.DUMMYFUNCTION("GOOGLETRANSLATE(B1674,""id"",""en"")"),"['Application', 'Cool', 'Uptodate', 'Pay', 'Use', 'Linkaja', 'Free', 'User', 'Free', 'Costs',' Admin ',' Moving ',' Indihome ',' hope ',' development ',' ']")</f>
        <v>['Application', 'Cool', 'Uptodate', 'Pay', 'Use', 'Linkaja', 'Free', 'User', 'Free', 'Costs',' Admin ',' Moving ',' Indihome ',' hope ',' development ',' ']</v>
      </c>
      <c r="D1674" s="3">
        <v>5.0</v>
      </c>
    </row>
    <row r="1675" ht="15.75" customHeight="1">
      <c r="A1675" s="1">
        <v>1833.0</v>
      </c>
      <c r="B1675" s="3" t="s">
        <v>1643</v>
      </c>
      <c r="C1675" s="3" t="str">
        <f>IFERROR(__xludf.DUMMYFUNCTION("GOOGLETRANSLATE(B1675,""id"",""en"")"),"['hmm', 'the application', 'heavy', 'slow', 'repaired', '']")</f>
        <v>['hmm', 'the application', 'heavy', 'slow', 'repaired', '']</v>
      </c>
      <c r="D1675" s="3">
        <v>5.0</v>
      </c>
    </row>
    <row r="1676" ht="15.75" customHeight="1">
      <c r="A1676" s="1">
        <v>1834.0</v>
      </c>
      <c r="B1676" s="3" t="s">
        <v>1644</v>
      </c>
      <c r="C1676" s="3" t="str">
        <f>IFERROR(__xludf.DUMMYFUNCTION("GOOGLETRANSLATE(B1676,""id"",""en"")"),"['Lebhi', 'complete', 'useraanya', '']")</f>
        <v>['Lebhi', 'complete', 'useraanya', '']</v>
      </c>
      <c r="D1676" s="3">
        <v>5.0</v>
      </c>
    </row>
    <row r="1677" ht="15.75" customHeight="1">
      <c r="A1677" s="1">
        <v>1835.0</v>
      </c>
      <c r="B1677" s="3" t="s">
        <v>1645</v>
      </c>
      <c r="C1677" s="3" t="str">
        <f>IFERROR(__xludf.DUMMYFUNCTION("GOOGLETRANSLATE(B1677,""id"",""en"")"),"['payment', 'easy', 'debit', 'card']")</f>
        <v>['payment', 'easy', 'debit', 'card']</v>
      </c>
      <c r="D1677" s="3">
        <v>5.0</v>
      </c>
    </row>
    <row r="1678" ht="15.75" customHeight="1">
      <c r="A1678" s="1">
        <v>1836.0</v>
      </c>
      <c r="B1678" s="3" t="s">
        <v>1646</v>
      </c>
      <c r="C1678" s="3" t="str">
        <f>IFERROR(__xludf.DUMMYFUNCTION("GOOGLETRANSLATE(B1678,""id"",""en"")"),"['Vitur', 'application', 'steady', 'makes it easier', 'just']")</f>
        <v>['Vitur', 'application', 'steady', 'makes it easier', 'just']</v>
      </c>
      <c r="D1678" s="3">
        <v>5.0</v>
      </c>
    </row>
    <row r="1679" ht="15.75" customHeight="1">
      <c r="A1679" s="1">
        <v>1837.0</v>
      </c>
      <c r="B1679" s="3" t="s">
        <v>1647</v>
      </c>
      <c r="C1679" s="3" t="str">
        <f>IFERROR(__xludf.DUMMYFUNCTION("GOOGLETRANSLATE(B1679,""id"",""en"")"),"['access', 'account', 'Myindihome', 'Say']")</f>
        <v>['access', 'account', 'Myindihome', 'Say']</v>
      </c>
      <c r="D1679" s="3">
        <v>1.0</v>
      </c>
    </row>
    <row r="1680" ht="15.75" customHeight="1">
      <c r="A1680" s="1">
        <v>1838.0</v>
      </c>
      <c r="B1680" s="3" t="s">
        <v>1648</v>
      </c>
      <c r="C1680" s="3" t="str">
        <f>IFERROR(__xludf.DUMMYFUNCTION("GOOGLETRANSLATE(B1680,""id"",""en"")"),"['wifi', 'insumpted']")</f>
        <v>['wifi', 'insumpted']</v>
      </c>
      <c r="D1680" s="3">
        <v>1.0</v>
      </c>
    </row>
    <row r="1681" ht="15.75" customHeight="1">
      <c r="A1681" s="1">
        <v>1839.0</v>
      </c>
      <c r="B1681" s="3" t="s">
        <v>1649</v>
      </c>
      <c r="C1681" s="3" t="str">
        <f>IFERROR(__xludf.DUMMYFUNCTION("GOOGLETRANSLATE(B1681,""id"",""en"")"),"['Increase', 'Yaaah', 'Yemen', 'use', 'your application']")</f>
        <v>['Increase', 'Yaaah', 'Yemen', 'use', 'your application']</v>
      </c>
      <c r="D1681" s="3">
        <v>4.0</v>
      </c>
    </row>
    <row r="1682" ht="15.75" customHeight="1">
      <c r="A1682" s="1">
        <v>1840.0</v>
      </c>
      <c r="B1682" s="3" t="s">
        <v>1650</v>
      </c>
      <c r="C1682" s="3" t="str">
        <f>IFERROR(__xludf.DUMMYFUNCTION("GOOGLETRANSLATE(B1682,""id"",""en"")"),"['Fast', 'response', 'Thanks', '']")</f>
        <v>['Fast', 'response', 'Thanks', '']</v>
      </c>
      <c r="D1682" s="3">
        <v>5.0</v>
      </c>
    </row>
    <row r="1683" ht="15.75" customHeight="1">
      <c r="A1683" s="1">
        <v>1841.0</v>
      </c>
      <c r="B1683" s="3" t="s">
        <v>1651</v>
      </c>
      <c r="C1683" s="3" t="str">
        <f>IFERROR(__xludf.DUMMYFUNCTION("GOOGLETRANSLATE(B1683,""id"",""en"")"),"['Kasi', 'star', 'because', 'process', 'installation']")</f>
        <v>['Kasi', 'star', 'because', 'process', 'installation']</v>
      </c>
      <c r="D1683" s="3">
        <v>3.0</v>
      </c>
    </row>
    <row r="1684" ht="15.75" customHeight="1">
      <c r="A1684" s="1">
        <v>1842.0</v>
      </c>
      <c r="B1684" s="3" t="s">
        <v>1652</v>
      </c>
      <c r="C1684" s="3" t="str">
        <f>IFERROR(__xludf.DUMMYFUNCTION("GOOGLETRANSLATE(B1684,""id"",""en"")"),"['Gabisa', 'Login', 'Euy']")</f>
        <v>['Gabisa', 'Login', 'Euy']</v>
      </c>
      <c r="D1684" s="3">
        <v>1.0</v>
      </c>
    </row>
    <row r="1685" ht="15.75" customHeight="1">
      <c r="A1685" s="1">
        <v>1843.0</v>
      </c>
      <c r="B1685" s="3" t="s">
        <v>1653</v>
      </c>
      <c r="C1685" s="3" t="str">
        <f>IFERROR(__xludf.DUMMYFUNCTION("GOOGLETRANSLATE(B1685,""id"",""en"")"),"['lag', 'indihome', 'defective']")</f>
        <v>['lag', 'indihome', 'defective']</v>
      </c>
      <c r="D1685" s="3">
        <v>1.0</v>
      </c>
    </row>
    <row r="1686" ht="15.75" customHeight="1">
      <c r="A1686" s="1">
        <v>1844.0</v>
      </c>
      <c r="B1686" s="3" t="s">
        <v>1654</v>
      </c>
      <c r="C1686" s="3" t="str">
        <f>IFERROR(__xludf.DUMMYFUNCTION("GOOGLETRANSLATE(B1686,""id"",""en"")"),"['update', 'login', 'until', 'how', ""]")</f>
        <v>['update', 'login', 'until', 'how', "]</v>
      </c>
      <c r="D1686" s="3">
        <v>1.0</v>
      </c>
    </row>
    <row r="1687" ht="15.75" customHeight="1">
      <c r="A1687" s="1">
        <v>1845.0</v>
      </c>
      <c r="B1687" s="3" t="s">
        <v>1655</v>
      </c>
      <c r="C1687" s="3" t="str">
        <f>IFERROR(__xludf.DUMMYFUNCTION("GOOGLETRANSLATE(B1687,""id"",""en"")"),"['application', 'taik', 'upgrade', 'speed', 'buy', 'adss', 'already', 'tranafer', 'active', 'puki', ""]")</f>
        <v>['application', 'taik', 'upgrade', 'speed', 'buy', 'adss', 'already', 'tranafer', 'active', 'puki', "]</v>
      </c>
      <c r="D1687" s="3">
        <v>1.0</v>
      </c>
    </row>
    <row r="1688" ht="15.75" customHeight="1">
      <c r="A1688" s="1">
        <v>1846.0</v>
      </c>
      <c r="B1688" s="3" t="s">
        <v>1656</v>
      </c>
      <c r="C1688" s="3" t="str">
        <f>IFERROR(__xludf.DUMMYFUNCTION("GOOGLETRANSLATE(B1688,""id"",""en"")"),"['slow']")</f>
        <v>['slow']</v>
      </c>
      <c r="D1688" s="3">
        <v>3.0</v>
      </c>
    </row>
    <row r="1689" ht="15.75" customHeight="1">
      <c r="A1689" s="1">
        <v>1847.0</v>
      </c>
      <c r="B1689" s="3" t="s">
        <v>1657</v>
      </c>
      <c r="C1689" s="3" t="str">
        <f>IFERROR(__xludf.DUMMYFUNCTION("GOOGLETRANSLATE(B1689,""id"",""en"")"),"['list', 'already', 'installed']")</f>
        <v>['list', 'already', 'installed']</v>
      </c>
      <c r="D1689" s="3">
        <v>1.0</v>
      </c>
    </row>
    <row r="1690" ht="15.75" customHeight="1">
      <c r="A1690" s="1">
        <v>1848.0</v>
      </c>
      <c r="B1690" s="3" t="s">
        <v>1658</v>
      </c>
      <c r="C1690" s="3" t="str">
        <f>IFERROR(__xludf.DUMMYFUNCTION("GOOGLETRANSLATE(B1690,""id"",""en"")"),"['Help', 'Indihome', 'already', 'week', 'internet', 'slow', 'adehhh', 'what', 'sihhh', ""]")</f>
        <v>['Help', 'Indihome', 'already', 'week', 'internet', 'slow', 'adehhh', 'what', 'sihhh', "]</v>
      </c>
      <c r="D1690" s="3">
        <v>1.0</v>
      </c>
    </row>
    <row r="1691" ht="15.75" customHeight="1">
      <c r="A1691" s="1">
        <v>1849.0</v>
      </c>
      <c r="B1691" s="3" t="s">
        <v>1659</v>
      </c>
      <c r="C1691" s="3" t="str">
        <f>IFERROR(__xludf.DUMMYFUNCTION("GOOGLETRANSLATE(B1691,""id"",""en"")"),"['Login', 'Hadeh', ""]")</f>
        <v>['Login', 'Hadeh', "]</v>
      </c>
      <c r="D1691" s="3">
        <v>1.0</v>
      </c>
    </row>
    <row r="1692" ht="15.75" customHeight="1">
      <c r="A1692" s="1">
        <v>1850.0</v>
      </c>
      <c r="B1692" s="3" t="s">
        <v>1660</v>
      </c>
      <c r="C1692" s="3" t="str">
        <f>IFERROR(__xludf.DUMMYFUNCTION("GOOGLETRANSLATE(B1692,""id"",""en"")"),"['Tool', 'indicator', 'really', 'color', 'red', 'colored', 'red', 'report', 'applied', 'description', 'increase', 'network', ' TRS ',' Login ',' Wait ',' Jam ',' Hadeh ']")</f>
        <v>['Tool', 'indicator', 'really', 'color', 'red', 'colored', 'red', 'report', 'applied', 'description', 'increase', 'network', ' TRS ',' Login ',' Wait ',' Jam ',' Hadeh ']</v>
      </c>
      <c r="D1692" s="3">
        <v>2.0</v>
      </c>
    </row>
    <row r="1693" ht="15.75" customHeight="1">
      <c r="A1693" s="1">
        <v>1851.0</v>
      </c>
      <c r="B1693" s="3" t="s">
        <v>1661</v>
      </c>
      <c r="C1693" s="3" t="str">
        <f>IFERROR(__xludf.DUMMYFUNCTION("GOOGLETRANSLATE(B1693,""id"",""en"")"),"['number', 'Indihome', 'read', 'charging', 'number', 'ngaco', 'application']")</f>
        <v>['number', 'Indihome', 'read', 'charging', 'number', 'ngaco', 'application']</v>
      </c>
      <c r="D1693" s="3">
        <v>1.0</v>
      </c>
    </row>
    <row r="1694" ht="15.75" customHeight="1">
      <c r="A1694" s="1">
        <v>1852.0</v>
      </c>
      <c r="B1694" s="3" t="s">
        <v>1662</v>
      </c>
      <c r="C1694" s="3" t="str">
        <f>IFERROR(__xludf.DUMMYFUNCTION("GOOGLETRANSLATE(B1694,""id"",""en"")"),"['handling', 'slow']")</f>
        <v>['handling', 'slow']</v>
      </c>
      <c r="D1694" s="3">
        <v>1.0</v>
      </c>
    </row>
    <row r="1695" ht="15.75" customHeight="1">
      <c r="A1695" s="1">
        <v>1853.0</v>
      </c>
      <c r="B1695" s="3" t="s">
        <v>1663</v>
      </c>
      <c r="C1695" s="3" t="str">
        <f>IFERROR(__xludf.DUMMYFUNCTION("GOOGLETRANSLATE(B1695,""id"",""en"")"),"['Registration', '']")</f>
        <v>['Registration', '']</v>
      </c>
      <c r="D1695" s="3">
        <v>3.0</v>
      </c>
    </row>
    <row r="1696" ht="15.75" customHeight="1">
      <c r="A1696" s="1">
        <v>1854.0</v>
      </c>
      <c r="B1696" s="3" t="s">
        <v>1664</v>
      </c>
      <c r="C1696" s="3" t="str">
        <f>IFERROR(__xludf.DUMMYFUNCTION("GOOGLETRANSLATE(B1696,""id"",""en"")"),"['Application', 'Nidak', 'Server', 'Error', 'Bill', 'Different', 'Sales']")</f>
        <v>['Application', 'Nidak', 'Server', 'Error', 'Bill', 'Different', 'Sales']</v>
      </c>
      <c r="D1696" s="3">
        <v>1.0</v>
      </c>
    </row>
    <row r="1697" ht="15.75" customHeight="1">
      <c r="A1697" s="1">
        <v>1855.0</v>
      </c>
      <c r="B1697" s="3" t="s">
        <v>1665</v>
      </c>
      <c r="C1697" s="3" t="str">
        <f>IFERROR(__xludf.DUMMYFUNCTION("GOOGLETRANSLATE(B1697,""id"",""en"")"),"['Impression', 'trusted']")</f>
        <v>['Impression', 'trusted']</v>
      </c>
      <c r="D1697" s="3">
        <v>4.0</v>
      </c>
    </row>
    <row r="1698" ht="15.75" customHeight="1">
      <c r="A1698" s="1">
        <v>1856.0</v>
      </c>
      <c r="B1698" s="3" t="s">
        <v>1666</v>
      </c>
      <c r="C1698" s="3" t="str">
        <f>IFERROR(__xludf.DUMMYFUNCTION("GOOGLETRANSLATE(B1698,""id"",""en"")"),"['', 'use', 'application', 'written', 'Mbps', 'skrg', 'use', 'application', 'Mbps', ""]")</f>
        <v>['', 'use', 'application', 'written', 'Mbps', 'skrg', 'use', 'application', 'Mbps', "]</v>
      </c>
      <c r="D1698" s="3">
        <v>1.0</v>
      </c>
    </row>
    <row r="1699" ht="15.75" customHeight="1">
      <c r="A1699" s="1">
        <v>1857.0</v>
      </c>
      <c r="B1699" s="3" t="s">
        <v>1667</v>
      </c>
      <c r="C1699" s="3" t="str">
        <f>IFERROR(__xludf.DUMMYFUNCTION("GOOGLETRANSLATE(B1699,""id"",""en"")"),"['Service', 'Indihome', 'Customer', 'Satisfied', 'Thank "",' Love ',""]")</f>
        <v>['Service', 'Indihome', 'Customer', 'Satisfied', 'Thank ",' Love ',"]</v>
      </c>
      <c r="D1699" s="3">
        <v>5.0</v>
      </c>
    </row>
    <row r="1700" ht="15.75" customHeight="1">
      <c r="A1700" s="1">
        <v>1858.0</v>
      </c>
      <c r="B1700" s="3" t="s">
        <v>1668</v>
      </c>
      <c r="C1700" s="3" t="str">
        <f>IFERROR(__xludf.DUMMYFUNCTION("GOOGLETRANSLATE(B1700,""id"",""en"")"),"['sippppp']")</f>
        <v>['sippppp']</v>
      </c>
      <c r="D1700" s="3">
        <v>4.0</v>
      </c>
    </row>
    <row r="1701" ht="15.75" customHeight="1">
      <c r="A1701" s="1">
        <v>1860.0</v>
      </c>
      <c r="B1701" s="3" t="s">
        <v>1669</v>
      </c>
      <c r="C1701" s="3" t="str">
        <f>IFERROR(__xludf.DUMMYFUNCTION("GOOGLETRANSLATE(B1701,""id"",""en"")"),"['Ribet', 'really']")</f>
        <v>['Ribet', 'really']</v>
      </c>
      <c r="D1701" s="3">
        <v>1.0</v>
      </c>
    </row>
    <row r="1702" ht="15.75" customHeight="1">
      <c r="A1702" s="1">
        <v>1861.0</v>
      </c>
      <c r="B1702" s="3" t="s">
        <v>1670</v>
      </c>
      <c r="C1702" s="3" t="str">
        <f>IFERROR(__xludf.DUMMYFUNCTION("GOOGLETRANSLATE(B1702,""id"",""en"")"),"['submit', 'move', 'house']")</f>
        <v>['submit', 'move', 'house']</v>
      </c>
      <c r="D1702" s="3">
        <v>3.0</v>
      </c>
    </row>
    <row r="1703" ht="15.75" customHeight="1">
      <c r="A1703" s="1">
        <v>1862.0</v>
      </c>
      <c r="B1703" s="3" t="s">
        <v>1671</v>
      </c>
      <c r="C1703" s="3" t="str">
        <f>IFERROR(__xludf.DUMMYFUNCTION("GOOGLETRANSLATE(B1703,""id"",""en"")"),"['writing', 'error', 'code', 'gatau', 'codenya']")</f>
        <v>['writing', 'error', 'code', 'gatau', 'codenya']</v>
      </c>
      <c r="D1703" s="3">
        <v>2.0</v>
      </c>
    </row>
    <row r="1704" ht="15.75" customHeight="1">
      <c r="A1704" s="1">
        <v>1863.0</v>
      </c>
      <c r="B1704" s="3" t="s">
        <v>1672</v>
      </c>
      <c r="C1704" s="3" t="str">
        <f>IFERROR(__xludf.DUMMYFUNCTION("GOOGLETRANSLATE(B1704,""id"",""en"")"),"['Network', 'Calace', 'Closed', 'Give', 'Service', ""]")</f>
        <v>['Network', 'Calace', 'Closed', 'Give', 'Service', "]</v>
      </c>
      <c r="D1704" s="3">
        <v>1.0</v>
      </c>
    </row>
    <row r="1705" ht="15.75" customHeight="1">
      <c r="A1705" s="1">
        <v>1864.0</v>
      </c>
      <c r="B1705" s="3" t="s">
        <v>1673</v>
      </c>
      <c r="C1705" s="3" t="str">
        <f>IFERROR(__xludf.DUMMYFUNCTION("GOOGLETRANSLATE(B1705,""id"",""en"")"),"['Please', 'Sorry', 'Network', 'slow', 'even though', 'fix', 'the result', 'hope']")</f>
        <v>['Please', 'Sorry', 'Network', 'slow', 'even though', 'fix', 'the result', 'hope']</v>
      </c>
      <c r="D1705" s="3">
        <v>1.0</v>
      </c>
    </row>
    <row r="1706" ht="15.75" customHeight="1">
      <c r="A1706" s="1">
        <v>1865.0</v>
      </c>
      <c r="B1706" s="3" t="s">
        <v>1674</v>
      </c>
      <c r="C1706" s="3" t="str">
        <f>IFERROR(__xludf.DUMMYFUNCTION("GOOGLETRANSLATE(B1706,""id"",""en"")"),"['Ouch', 'devices', 'seamless', 'hard', 'mercy', 'indihome']")</f>
        <v>['Ouch', 'devices', 'seamless', 'hard', 'mercy', 'indihome']</v>
      </c>
      <c r="D1706" s="3">
        <v>1.0</v>
      </c>
    </row>
    <row r="1707" ht="15.75" customHeight="1">
      <c r="A1707" s="1">
        <v>1866.0</v>
      </c>
      <c r="B1707" s="3" t="s">
        <v>1675</v>
      </c>
      <c r="C1707" s="3" t="str">
        <f>IFERROR(__xludf.DUMMYFUNCTION("GOOGLETRANSLATE(B1707,""id"",""en"")"),"['thank', 'love', 'app', 'access', 'follow', 'instructions', 'open', 'link', 'informed', '']")</f>
        <v>['thank', 'love', 'app', 'access', 'follow', 'instructions', 'open', 'link', 'informed', '']</v>
      </c>
      <c r="D1707" s="3">
        <v>5.0</v>
      </c>
    </row>
    <row r="1708" ht="15.75" customHeight="1">
      <c r="A1708" s="1">
        <v>1867.0</v>
      </c>
      <c r="B1708" s="3" t="s">
        <v>1676</v>
      </c>
      <c r="C1708" s="3" t="str">
        <f>IFERROR(__xludf.DUMMYFUNCTION("GOOGLETRANSLATE(B1708,""id"",""en"")"),"['Application', 'Haram', 'Ajing']")</f>
        <v>['Application', 'Haram', 'Ajing']</v>
      </c>
      <c r="D1708" s="3">
        <v>1.0</v>
      </c>
    </row>
    <row r="1709" ht="15.75" customHeight="1">
      <c r="A1709" s="1">
        <v>1868.0</v>
      </c>
      <c r="B1709" s="3" t="s">
        <v>1677</v>
      </c>
      <c r="C1709" s="3" t="str">
        <f>IFERROR(__xludf.DUMMYFUNCTION("GOOGLETRANSLATE(B1709,""id"",""en"")"),"['Please', 'Fix', 'Network', 'Install', 'Network', 'Good', 'Good', 'Network', '']")</f>
        <v>['Please', 'Fix', 'Network', 'Install', 'Network', 'Good', 'Good', 'Network', '']</v>
      </c>
      <c r="D1709" s="3">
        <v>1.0</v>
      </c>
    </row>
    <row r="1710" ht="15.75" customHeight="1">
      <c r="A1710" s="1">
        <v>1869.0</v>
      </c>
      <c r="B1710" s="3" t="s">
        <v>1678</v>
      </c>
      <c r="C1710" s="3" t="str">
        <f>IFERROR(__xludf.DUMMYFUNCTION("GOOGLETRANSLATE(B1710,""id"",""en"")"),"['Internet', 'slow', 'speed', 'below', 'Mbps']")</f>
        <v>['Internet', 'slow', 'speed', 'below', 'Mbps']</v>
      </c>
      <c r="D1710" s="3">
        <v>2.0</v>
      </c>
    </row>
    <row r="1711" ht="15.75" customHeight="1">
      <c r="A1711" s="1">
        <v>1871.0</v>
      </c>
      <c r="B1711" s="3" t="s">
        <v>1679</v>
      </c>
      <c r="C1711" s="3" t="str">
        <f>IFERROR(__xludf.DUMMYFUNCTION("GOOGLETRANSLATE(B1711,""id"",""en"")"),"['Disappointed', 'Service', 'Gajelas', 'Signal', 'Lemot']")</f>
        <v>['Disappointed', 'Service', 'Gajelas', 'Signal', 'Lemot']</v>
      </c>
      <c r="D1711" s="3">
        <v>1.0</v>
      </c>
    </row>
    <row r="1712" ht="15.75" customHeight="1">
      <c r="A1712" s="1">
        <v>1872.0</v>
      </c>
      <c r="B1712" s="3" t="s">
        <v>1680</v>
      </c>
      <c r="C1712" s="3" t="str">
        <f>IFERROR(__xludf.DUMMYFUNCTION("GOOGLETRANSLATE(B1712,""id"",""en"")"),"['How', 'Have', 'Login', 'Hard', 'Entering', 'How', 'Try', ""]")</f>
        <v>['How', 'Have', 'Login', 'Hard', 'Entering', 'How', 'Try', "]</v>
      </c>
      <c r="D1712" s="3">
        <v>2.0</v>
      </c>
    </row>
    <row r="1713" ht="15.75" customHeight="1">
      <c r="A1713" s="1">
        <v>1873.0</v>
      </c>
      <c r="B1713" s="3" t="s">
        <v>1681</v>
      </c>
      <c r="C1713" s="3" t="str">
        <f>IFERROR(__xludf.DUMMYFUNCTION("GOOGLETRANSLATE(B1713,""id"",""en"")"),"['Indihome', 'noon', 'disruption', 'please', 'repaired', 'loss',' effort ',' child ',' child ',' cafe ',' paid ',' late ',' Happy ',' fine ',' ']")</f>
        <v>['Indihome', 'noon', 'disruption', 'please', 'repaired', 'loss',' effort ',' child ',' child ',' cafe ',' paid ',' late ',' Happy ',' fine ',' ']</v>
      </c>
      <c r="D1713" s="3">
        <v>1.0</v>
      </c>
    </row>
    <row r="1714" ht="15.75" customHeight="1">
      <c r="A1714" s="1">
        <v>1874.0</v>
      </c>
      <c r="B1714" s="3" t="s">
        <v>1682</v>
      </c>
      <c r="C1714" s="3" t="str">
        <f>IFERROR(__xludf.DUMMYFUNCTION("GOOGLETRANSLATE(B1714,""id"",""en"")"),"['What', 'account', 'gabisa', 'told', 'enter', 'telephone', 'code', 'verification', 'traveled', 'enter', 'enter', 'please', ' Code ',' Verifikasi ',' repaired ',' already ',' Try ',' Many ',' times', 'enter', 'enter', 'code']")</f>
        <v>['What', 'account', 'gabisa', 'told', 'enter', 'telephone', 'code', 'verification', 'traveled', 'enter', 'enter', 'please', ' Code ',' Verifikasi ',' repaired ',' already ',' Try ',' Many ',' times', 'enter', 'enter', 'code']</v>
      </c>
      <c r="D1714" s="3">
        <v>1.0</v>
      </c>
    </row>
    <row r="1715" ht="15.75" customHeight="1">
      <c r="A1715" s="1">
        <v>1875.0</v>
      </c>
      <c r="B1715" s="3" t="s">
        <v>1683</v>
      </c>
      <c r="C1715" s="3" t="str">
        <f>IFERROR(__xludf.DUMMYFUNCTION("GOOGLETRANSLATE(B1715,""id"",""en"")"),"['Email', 'Sudh', 'Bener', 'Invalid', 'Format', 'satisfying']")</f>
        <v>['Email', 'Sudh', 'Bener', 'Invalid', 'Format', 'satisfying']</v>
      </c>
      <c r="D1715" s="3">
        <v>1.0</v>
      </c>
    </row>
    <row r="1716" ht="15.75" customHeight="1">
      <c r="A1716" s="1">
        <v>1876.0</v>
      </c>
      <c r="B1716" s="3" t="s">
        <v>1684</v>
      </c>
      <c r="C1716" s="3" t="str">
        <f>IFERROR(__xludf.DUMMYFUNCTION("GOOGLETRANSLATE(B1716,""id"",""en"")"),"['', 'usage', 'internet', 'application', 'install', 'reset']")</f>
        <v>['', 'usage', 'internet', 'application', 'install', 'reset']</v>
      </c>
      <c r="D1716" s="3">
        <v>3.0</v>
      </c>
    </row>
    <row r="1717" ht="15.75" customHeight="1">
      <c r="A1717" s="1">
        <v>1877.0</v>
      </c>
      <c r="B1717" s="3" t="s">
        <v>1685</v>
      </c>
      <c r="C1717" s="3" t="str">
        <f>IFERROR(__xludf.DUMMYFUNCTION("GOOGLETRANSLATE(B1717,""id"",""en"")"),"['App', 'help', 'makes it easy', 'needs', 'customer', 'complicated', 'deh', '']")</f>
        <v>['App', 'help', 'makes it easy', 'needs', 'customer', 'complicated', 'deh', '']</v>
      </c>
      <c r="D1717" s="3">
        <v>5.0</v>
      </c>
    </row>
    <row r="1718" ht="15.75" customHeight="1">
      <c r="A1718" s="1">
        <v>1878.0</v>
      </c>
      <c r="B1718" s="3" t="s">
        <v>1686</v>
      </c>
      <c r="C1718" s="3" t="str">
        <f>IFERROR(__xludf.DUMMYFUNCTION("GOOGLETRANSLATE(B1718,""id"",""en"")"),"['Severe', 'Gabisa', 'Login', 'Email', 'Tel', 'Already', 'Bener', 'Tetep', 'Gabisa', 'Gabisa', ""]")</f>
        <v>['Severe', 'Gabisa', 'Login', 'Email', 'Tel', 'Already', 'Bener', 'Tetep', 'Gabisa', 'Gabisa', "]</v>
      </c>
      <c r="D1718" s="3">
        <v>1.0</v>
      </c>
    </row>
    <row r="1719" ht="15.75" customHeight="1">
      <c r="A1719" s="1">
        <v>1879.0</v>
      </c>
      <c r="B1719" s="3" t="s">
        <v>1687</v>
      </c>
      <c r="C1719" s="3" t="str">
        <f>IFERROR(__xludf.DUMMYFUNCTION("GOOGLETRANSLATE(B1719,""id"",""en"")"),"['trash', 'pairs', 'GPS', 'gabisa', 'detect', 'set', 'active', 'already', 'customer', 'it seems', ""]")</f>
        <v>['trash', 'pairs', 'GPS', 'gabisa', 'detect', 'set', 'active', 'already', 'customer', 'it seems', "]</v>
      </c>
      <c r="D1719" s="3">
        <v>1.0</v>
      </c>
    </row>
    <row r="1720" ht="15.75" customHeight="1">
      <c r="A1720" s="1">
        <v>1880.0</v>
      </c>
      <c r="B1720" s="3" t="s">
        <v>1688</v>
      </c>
      <c r="C1720" s="3" t="str">
        <f>IFERROR(__xludf.DUMMYFUNCTION("GOOGLETRANSLATE(B1720,""id"",""en"")"),"['handle', 'slow', 'register', 'a week', 'process', 'belom', 'pairs', 'disappointed', '']")</f>
        <v>['handle', 'slow', 'register', 'a week', 'process', 'belom', 'pairs', 'disappointed', '']</v>
      </c>
      <c r="D1720" s="3">
        <v>1.0</v>
      </c>
    </row>
    <row r="1721" ht="15.75" customHeight="1">
      <c r="A1721" s="1">
        <v>1881.0</v>
      </c>
      <c r="B1721" s="3" t="s">
        <v>1689</v>
      </c>
      <c r="C1721" s="3" t="str">
        <f>IFERROR(__xludf.DUMMYFUNCTION("GOOGLETRANSLATE(B1721,""id"",""en"")"),"['Help', 'Indita', 'Useful', 'Very', 'Chat', 'Bales',' Network ',' Indihome ',' PON ',' Red ',' Mulu ',' Udh ',' Diawelin ',' ']")</f>
        <v>['Help', 'Indita', 'Useful', 'Very', 'Chat', 'Bales',' Network ',' Indihome ',' PON ',' Red ',' Mulu ',' Udh ',' Diawelin ',' ']</v>
      </c>
      <c r="D1721" s="3">
        <v>2.0</v>
      </c>
    </row>
    <row r="1722" ht="15.75" customHeight="1">
      <c r="A1722" s="1">
        <v>1882.0</v>
      </c>
      <c r="B1722" s="3" t="s">
        <v>239</v>
      </c>
      <c r="C1722" s="3" t="str">
        <f>IFERROR(__xludf.DUMMYFUNCTION("GOOGLETRANSLATE(B1722,""id"",""en"")"),"['', '']")</f>
        <v>['', '']</v>
      </c>
      <c r="D1722" s="3">
        <v>1.0</v>
      </c>
    </row>
    <row r="1723" ht="15.75" customHeight="1">
      <c r="A1723" s="1">
        <v>1883.0</v>
      </c>
      <c r="B1723" s="3" t="s">
        <v>1690</v>
      </c>
      <c r="C1723" s="3" t="str">
        <f>IFERROR(__xludf.DUMMYFUNCTION("GOOGLETRANSLATE(B1723,""id"",""en"")"),"['Complaints', 'Indihome', 'processed', 'contact', 'Follow', 'Try', 'Report', 'Processed', 'Fast', 'Change', 'Star']")</f>
        <v>['Complaints', 'Indihome', 'processed', 'contact', 'Follow', 'Try', 'Report', 'Processed', 'Fast', 'Change', 'Star']</v>
      </c>
      <c r="D1723" s="3">
        <v>1.0</v>
      </c>
    </row>
    <row r="1724" ht="15.75" customHeight="1">
      <c r="A1724" s="1">
        <v>1884.0</v>
      </c>
      <c r="B1724" s="3" t="s">
        <v>1691</v>
      </c>
      <c r="C1724" s="3" t="str">
        <f>IFERROR(__xludf.DUMMYFUNCTION("GOOGLETRANSLATE(B1724,""id"",""en"")"),"['Nomer', 'WMS', 'DAFFTRA', 'Application', 'App', 'Indihomex']")</f>
        <v>['Nomer', 'WMS', 'DAFFTRA', 'Application', 'App', 'Indihomex']</v>
      </c>
      <c r="D1724" s="3">
        <v>2.0</v>
      </c>
    </row>
    <row r="1725" ht="15.75" customHeight="1">
      <c r="A1725" s="1">
        <v>1885.0</v>
      </c>
      <c r="B1725" s="3" t="s">
        <v>1692</v>
      </c>
      <c r="C1725" s="3" t="str">
        <f>IFERROR(__xludf.DUMMYFUNCTION("GOOGLETRANSLATE(B1725,""id"",""en"")"),"['Delicious', 'Used', 'Application', 'Hopefully', 'In the future', 'Features', 'provided', 'application', ""]")</f>
        <v>['Delicious', 'Used', 'Application', 'Hopefully', 'In the future', 'Features', 'provided', 'application', "]</v>
      </c>
      <c r="D1725" s="3">
        <v>5.0</v>
      </c>
    </row>
    <row r="1726" ht="15.75" customHeight="1">
      <c r="A1726" s="1">
        <v>1886.0</v>
      </c>
      <c r="B1726" s="3" t="s">
        <v>1693</v>
      </c>
      <c r="C1726" s="3" t="str">
        <f>IFERROR(__xludf.DUMMYFUNCTION("GOOGLETRANSLATE(B1726,""id"",""en"")"),"['wifi', 'night', 'bgelag', 'idiot']")</f>
        <v>['wifi', 'night', 'bgelag', 'idiot']</v>
      </c>
      <c r="D1726" s="3">
        <v>1.0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2022-02-26T04:11:32Z</dcterms:created>
  <dc:creator>openpyxl</dc:creator>
</cp:coreProperties>
</file>